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70" windowWidth="15420" windowHeight="3915" tabRatio="855" activeTab="0"/>
  </bookViews>
  <sheets>
    <sheet name="cert" sheetId="1" r:id="rId1"/>
    <sheet name="computation" sheetId="2" r:id="rId2"/>
    <sheet name="mvalloc" sheetId="3" r:id="rId3"/>
    <sheet name="transfers" sheetId="4" r:id="rId4"/>
    <sheet name="debt" sheetId="5" r:id="rId5"/>
    <sheet name="lpform" sheetId="6" r:id="rId6"/>
    <sheet name="general" sheetId="7" r:id="rId7"/>
    <sheet name="bondint" sheetId="8" r:id="rId8"/>
    <sheet name="elections" sheetId="9" r:id="rId9"/>
    <sheet name="aging" sheetId="10" r:id="rId10"/>
    <sheet name="mental.health" sheetId="11" r:id="rId11"/>
    <sheet name="dev.dis health" sheetId="12" r:id="rId12"/>
    <sheet name="cifi cons.parks" sheetId="13" r:id="rId13"/>
    <sheet name="trustee" sheetId="14" r:id="rId14"/>
    <sheet name="Jail C Reg of Deeds" sheetId="15" r:id="rId15"/>
    <sheet name="nonbudA" sheetId="16" r:id="rId16"/>
    <sheet name="nonbudB" sheetId="17" r:id="rId17"/>
    <sheet name="Comp Library" sheetId="18" r:id="rId18"/>
    <sheet name="Library" sheetId="19" r:id="rId19"/>
    <sheet name="summ" sheetId="20" r:id="rId20"/>
    <sheet name="gen-detail" sheetId="21" r:id="rId21"/>
    <sheet name="inputOth" sheetId="22" r:id="rId22"/>
    <sheet name="inputPrYr" sheetId="23" r:id="rId23"/>
    <sheet name="cert2" sheetId="24" r:id="rId24"/>
    <sheet name="instructions" sheetId="25" r:id="rId25"/>
    <sheet name="inputBudSum" sheetId="26" r:id="rId26"/>
    <sheet name="NonBudFunds" sheetId="27" r:id="rId27"/>
    <sheet name="Nhood" sheetId="28" r:id="rId28"/>
    <sheet name="TransfersStatutes" sheetId="29" r:id="rId29"/>
    <sheet name="Resolution" sheetId="30" r:id="rId30"/>
    <sheet name="Tab A" sheetId="31" r:id="rId31"/>
    <sheet name="Tab B" sheetId="32" r:id="rId32"/>
    <sheet name="Tab C" sheetId="33" r:id="rId33"/>
    <sheet name="Tab D" sheetId="34" r:id="rId34"/>
    <sheet name="Tab E" sheetId="35" r:id="rId35"/>
    <sheet name="Mill Rate Computation" sheetId="36" r:id="rId36"/>
    <sheet name="Helpful Links" sheetId="37" r:id="rId37"/>
    <sheet name="legend" sheetId="38" r:id="rId38"/>
  </sheets>
  <externalReferences>
    <externalReference r:id="rId41"/>
  </externalReferences>
  <definedNames>
    <definedName name="_xlnm.Print_Area" localSheetId="7">'bondint'!$B$1:$F$43</definedName>
    <definedName name="_xlnm.Print_Area" localSheetId="6">'general'!$B$1:$F$98</definedName>
    <definedName name="_xlnm.Print_Area" localSheetId="22">'inputPrYr'!$A$1:$F$69</definedName>
    <definedName name="_xlnm.Print_Area" localSheetId="24">'instructions'!$A$1:$A$104</definedName>
    <definedName name="_xlnm.Print_Area" localSheetId="19">'summ'!$A$1:$H$50</definedName>
    <definedName name="_xlnm.Print_Titles" localSheetId="6">'general'!$1:$5</definedName>
  </definedNames>
  <calcPr fullCalcOnLoad="1"/>
</workbook>
</file>

<file path=xl/comments13.xml><?xml version="1.0" encoding="utf-8"?>
<comments xmlns="http://schemas.openxmlformats.org/spreadsheetml/2006/main">
  <authors>
    <author>ug</author>
  </authors>
  <commentList>
    <comment ref="F87" authorId="0">
      <text>
        <r>
          <rPr>
            <b/>
            <sz val="8"/>
            <rFont val="Tahoma"/>
            <family val="2"/>
          </rPr>
          <t>LL; JFK - 150,0000 to be modified</t>
        </r>
        <r>
          <rPr>
            <sz val="8"/>
            <rFont val="Tahoma"/>
            <family val="2"/>
          </rPr>
          <t xml:space="preserve">
</t>
        </r>
      </text>
    </comment>
  </commentList>
</comments>
</file>

<file path=xl/comments7.xml><?xml version="1.0" encoding="utf-8"?>
<comments xmlns="http://schemas.openxmlformats.org/spreadsheetml/2006/main">
  <authors>
    <author>ug</author>
  </authors>
  <commentList>
    <comment ref="E48" authorId="0">
      <text>
        <r>
          <rPr>
            <b/>
            <sz val="8"/>
            <rFont val="Tahoma"/>
            <family val="2"/>
          </rPr>
          <t>LL: reduced by CIFI transfer</t>
        </r>
        <r>
          <rPr>
            <sz val="8"/>
            <rFont val="Tahoma"/>
            <family val="2"/>
          </rPr>
          <t xml:space="preserve">
</t>
        </r>
      </text>
    </comment>
  </commentList>
</comments>
</file>

<file path=xl/sharedStrings.xml><?xml version="1.0" encoding="utf-8"?>
<sst xmlns="http://schemas.openxmlformats.org/spreadsheetml/2006/main" count="2152" uniqueCount="1058">
  <si>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</si>
  <si>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</si>
  <si>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</si>
  <si>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</si>
  <si>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</si>
  <si>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</si>
  <si>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</si>
  <si>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</si>
  <si>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</si>
  <si>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</si>
  <si>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</si>
  <si>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</si>
  <si>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</si>
  <si>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</si>
  <si>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</si>
  <si>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</si>
  <si>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</si>
  <si>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</si>
  <si>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</si>
  <si>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</si>
  <si>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</si>
  <si>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Other non-tax levy fund names:</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</si>
  <si>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</si>
  <si>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</si>
  <si>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</si>
  <si>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</si>
  <si>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</si>
  <si>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</si>
  <si>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</si>
  <si>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</si>
  <si>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</si>
  <si>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</si>
  <si>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</si>
  <si>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</si>
  <si>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</si>
  <si>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</si>
  <si>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</si>
  <si>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</si>
  <si>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</si>
  <si>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</si>
  <si>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</si>
  <si>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</si>
  <si>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</si>
  <si>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</si>
  <si>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</si>
  <si>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</si>
  <si>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</si>
  <si>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</si>
  <si>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</si>
  <si>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</si>
  <si>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</si>
  <si>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</si>
  <si>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</si>
  <si>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</si>
  <si>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</si>
  <si>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</si>
  <si>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</si>
  <si>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Allocation Veh Taxes, Slider &amp; Neigh Revital</t>
  </si>
  <si>
    <t>County Treasurers Slider Estimate</t>
  </si>
  <si>
    <t>Slider Factor</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</si>
  <si>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</si>
  <si>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</si>
  <si>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</si>
  <si>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</si>
  <si>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</si>
  <si>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</si>
  <si>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</si>
  <si>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Allocation of Motor, Recreational, 16/20M Vehicle Taxes &amp; Slider</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</si>
  <si>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</si>
  <si>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</si>
  <si>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</si>
  <si>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</si>
  <si>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</si>
  <si>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</si>
  <si>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</si>
  <si>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</si>
  <si>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</si>
  <si>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</si>
  <si>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</si>
  <si>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</si>
  <si>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</si>
  <si>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</si>
  <si>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</si>
  <si>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</si>
  <si>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</si>
  <si>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</si>
  <si>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</si>
  <si>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</si>
  <si>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</si>
  <si>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</si>
  <si>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</si>
  <si>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</si>
  <si>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</si>
  <si>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</si>
  <si>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</si>
  <si>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</si>
  <si>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</si>
  <si>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</si>
  <si>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</si>
  <si>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</si>
  <si>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</si>
  <si>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</si>
  <si>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</si>
  <si>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</si>
  <si>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</si>
  <si>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</si>
  <si>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</si>
  <si>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</si>
  <si>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</si>
  <si>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</si>
  <si>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</si>
  <si>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</si>
  <si>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</si>
  <si>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</si>
  <si>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</si>
  <si>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</si>
  <si>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</si>
  <si>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</si>
  <si>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</si>
  <si>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</si>
  <si>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</si>
  <si>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</si>
  <si>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</si>
  <si>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</si>
  <si>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</si>
  <si>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</si>
  <si>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</si>
  <si>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</si>
  <si>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</si>
  <si>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</si>
  <si>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</si>
  <si>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</si>
  <si>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</si>
  <si>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</si>
  <si>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</si>
  <si>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</si>
  <si>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</si>
  <si>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</si>
  <si>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</si>
  <si>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</si>
  <si>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</si>
  <si>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</si>
  <si>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</si>
  <si>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</si>
  <si>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</si>
  <si>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</si>
  <si>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</si>
  <si>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</si>
  <si>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</si>
  <si>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County Treasurers Recreational Vehicle Estimate</t>
  </si>
  <si>
    <t>Motor Vehicle Factor</t>
  </si>
  <si>
    <t>MVT</t>
  </si>
  <si>
    <t>Totals</t>
  </si>
  <si>
    <t>District Court</t>
  </si>
  <si>
    <t>Juvenile Detention</t>
  </si>
  <si>
    <t>Adopted Budget</t>
  </si>
  <si>
    <t>Ad Valorem Tax</t>
  </si>
  <si>
    <t>Delinquent Tax</t>
  </si>
  <si>
    <t>Motor Vehicle Tax</t>
  </si>
  <si>
    <t>Recreational Vehicle Tax</t>
  </si>
  <si>
    <t>Total Receipts</t>
  </si>
  <si>
    <t>Resources Available:</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</si>
  <si>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</si>
  <si>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</si>
  <si>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</si>
  <si>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</si>
  <si>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</si>
  <si>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</si>
  <si>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</si>
  <si>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</si>
  <si>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</si>
  <si>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</si>
  <si>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</si>
  <si>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</si>
  <si>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Alcohol &amp; Drug Abuse</t>
  </si>
  <si>
    <t>Ambulance</t>
  </si>
  <si>
    <t>Animal Control</t>
  </si>
  <si>
    <t>Appraisal</t>
  </si>
  <si>
    <t>Building</t>
  </si>
  <si>
    <t>County Attorney/Counselor</t>
  </si>
  <si>
    <t>County Commission</t>
  </si>
  <si>
    <t>County Treasurer</t>
  </si>
  <si>
    <t>Debt Service</t>
  </si>
  <si>
    <t xml:space="preserve">  Principal</t>
  </si>
  <si>
    <t xml:space="preserve">  Interest</t>
  </si>
  <si>
    <t xml:space="preserve">  Commission</t>
  </si>
  <si>
    <t>Economic Development</t>
  </si>
  <si>
    <t>Election</t>
  </si>
  <si>
    <t>Emergency Services</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</si>
  <si>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</si>
  <si>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</si>
  <si>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</si>
  <si>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</si>
  <si>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</si>
  <si>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</si>
  <si>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</si>
  <si>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</si>
  <si>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</si>
  <si>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</si>
  <si>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</si>
  <si>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</si>
  <si>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</si>
  <si>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</si>
  <si>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</si>
  <si>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</si>
  <si>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</si>
  <si>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</si>
  <si>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</si>
  <si>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</si>
  <si>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</si>
  <si>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</si>
  <si>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</si>
  <si>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</si>
  <si>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</si>
  <si>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</si>
  <si>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</si>
  <si>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</si>
  <si>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</si>
  <si>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</si>
  <si>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</si>
  <si>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</si>
  <si>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</si>
  <si>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</si>
  <si>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</si>
  <si>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</si>
  <si>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</si>
  <si>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</si>
  <si>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</si>
  <si>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</si>
  <si>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</si>
  <si>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</si>
  <si>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</si>
  <si>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</si>
  <si>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</si>
  <si>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</si>
  <si>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</si>
  <si>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</si>
  <si>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</si>
  <si>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</si>
  <si>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</si>
  <si>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</si>
  <si>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</si>
  <si>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</si>
  <si>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</si>
  <si>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</si>
  <si>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</si>
  <si>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</si>
  <si>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</si>
  <si>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</si>
  <si>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</si>
  <si>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</si>
  <si>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</si>
  <si>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</si>
  <si>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</si>
  <si>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</si>
  <si>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</si>
  <si>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</si>
  <si>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</si>
  <si>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</si>
  <si>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</si>
  <si>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</si>
  <si>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</si>
  <si>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</si>
  <si>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</si>
  <si>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</si>
  <si>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</si>
  <si>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</si>
  <si>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</si>
  <si>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</si>
  <si>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</si>
  <si>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</si>
  <si>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</si>
  <si>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</si>
  <si>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</si>
  <si>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</si>
  <si>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</si>
  <si>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</si>
  <si>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</si>
  <si>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</si>
  <si>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</si>
  <si>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</si>
  <si>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</si>
  <si>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</si>
  <si>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</si>
  <si>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</si>
  <si>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</si>
  <si>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</si>
  <si>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</si>
  <si>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</si>
  <si>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7.</t>
  </si>
  <si>
    <t>8.</t>
  </si>
  <si>
    <t>Balance On</t>
  </si>
  <si>
    <t>16/20M Veh</t>
  </si>
  <si>
    <t>Tax Levy Excluding Debt Service</t>
  </si>
  <si>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</si>
  <si>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</si>
  <si>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</si>
  <si>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</si>
  <si>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</si>
  <si>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</si>
  <si>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</si>
  <si>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</si>
  <si>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</si>
  <si>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</si>
  <si>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</si>
  <si>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</si>
  <si>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</si>
  <si>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</si>
  <si>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</si>
  <si>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</si>
  <si>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</si>
  <si>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</si>
  <si>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</si>
  <si>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</si>
  <si>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</si>
  <si>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</si>
  <si>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</si>
  <si>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</si>
  <si>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</si>
  <si>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</si>
  <si>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</si>
  <si>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</si>
  <si>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</si>
  <si>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</si>
  <si>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</si>
  <si>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</si>
  <si>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</si>
  <si>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</si>
  <si>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</si>
  <si>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</si>
  <si>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</si>
  <si>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</si>
  <si>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</si>
  <si>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</si>
  <si>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</si>
  <si>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</si>
  <si>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</si>
  <si>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</si>
  <si>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</si>
  <si>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</si>
  <si>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</si>
  <si>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</si>
  <si>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</si>
  <si>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</si>
  <si>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</si>
  <si>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</si>
  <si>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</si>
  <si>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</si>
  <si>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</si>
  <si>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</si>
  <si>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</si>
  <si>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</si>
  <si>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</si>
  <si>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</si>
  <si>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</si>
  <si>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</si>
  <si>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</si>
  <si>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</si>
  <si>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</si>
  <si>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</si>
  <si>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</si>
  <si>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</si>
  <si>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</si>
  <si>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</si>
  <si>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</si>
  <si>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</si>
  <si>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</si>
  <si>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</si>
  <si>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</si>
  <si>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</si>
  <si>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</si>
  <si>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</si>
  <si>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</si>
  <si>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</si>
  <si>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</si>
  <si>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</si>
  <si>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</si>
  <si>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</si>
  <si>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</si>
  <si>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</si>
  <si>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</si>
  <si>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</si>
  <si>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</si>
  <si>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</si>
  <si>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</si>
  <si>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</si>
  <si>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</si>
  <si>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</si>
  <si>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</si>
  <si>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</si>
  <si>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</si>
  <si>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</si>
  <si>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</si>
  <si>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</si>
  <si>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</si>
  <si>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</si>
  <si>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</si>
  <si>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</si>
  <si>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</si>
  <si>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</si>
  <si>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</si>
  <si>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</si>
  <si>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</si>
  <si>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</si>
  <si>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</si>
  <si>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</si>
  <si>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</si>
  <si>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</si>
  <si>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</si>
  <si>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</si>
  <si>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</si>
  <si>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</si>
  <si>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</si>
  <si>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</si>
  <si>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</si>
  <si>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</si>
  <si>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</si>
  <si>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</si>
  <si>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</si>
  <si>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</si>
  <si>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</si>
  <si>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</si>
  <si>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</si>
  <si>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</si>
  <si>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</si>
  <si>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</si>
  <si>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</si>
  <si>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</si>
  <si>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</si>
  <si>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</si>
  <si>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</si>
  <si>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</si>
  <si>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</si>
  <si>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</si>
  <si>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</si>
  <si>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</si>
  <si>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</si>
  <si>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</si>
  <si>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</si>
  <si>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</si>
  <si>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</si>
  <si>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</si>
  <si>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</si>
  <si>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</si>
  <si>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</si>
  <si>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</si>
  <si>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</si>
  <si>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</si>
  <si>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</si>
  <si>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</si>
  <si>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</si>
  <si>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</si>
  <si>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</si>
  <si>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</si>
  <si>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</si>
  <si>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</si>
  <si>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</si>
  <si>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</si>
  <si>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</si>
  <si>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</si>
  <si>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</si>
  <si>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</si>
  <si>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</si>
  <si>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</si>
  <si>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</si>
  <si>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</si>
  <si>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</si>
  <si>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</si>
  <si>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</si>
  <si>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</si>
  <si>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</si>
  <si>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</si>
  <si>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</si>
  <si>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</si>
  <si>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</si>
  <si>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</si>
  <si>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</si>
  <si>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</si>
  <si>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</si>
  <si>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</si>
  <si>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</si>
  <si>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</si>
  <si>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</si>
  <si>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</si>
  <si>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</si>
  <si>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</si>
  <si>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</si>
  <si>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</si>
  <si>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</si>
  <si>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</si>
  <si>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</si>
  <si>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</si>
  <si>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</si>
  <si>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</si>
  <si>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</si>
  <si>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</si>
  <si>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</si>
  <si>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</si>
  <si>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</si>
  <si>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</si>
  <si>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</si>
  <si>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</si>
  <si>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</si>
  <si>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</si>
  <si>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</si>
  <si>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</si>
  <si>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</si>
  <si>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</si>
  <si>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</si>
  <si>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</si>
  <si>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</si>
  <si>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</si>
  <si>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</si>
  <si>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</si>
  <si>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</si>
  <si>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</si>
  <si>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</si>
  <si>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</si>
  <si>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</si>
  <si>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</si>
  <si>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</si>
  <si>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</si>
  <si>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</si>
  <si>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</si>
  <si>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</si>
  <si>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</si>
  <si>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</si>
  <si>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</si>
  <si>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</si>
  <si>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</si>
  <si>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</si>
  <si>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</si>
  <si>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</si>
  <si>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</si>
  <si>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</si>
  <si>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</si>
  <si>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</si>
  <si>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</si>
  <si>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</si>
  <si>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</si>
  <si>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</si>
  <si>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</si>
  <si>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</si>
  <si>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</si>
  <si>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</si>
  <si>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</si>
  <si>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</si>
  <si>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</si>
  <si>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</si>
  <si>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</si>
  <si>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</si>
  <si>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</si>
  <si>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</si>
  <si>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</si>
  <si>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</si>
  <si>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</si>
  <si>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</si>
  <si>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</si>
  <si>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</si>
  <si>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</si>
  <si>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</si>
  <si>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</si>
  <si>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</si>
  <si>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</si>
  <si>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</si>
  <si>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</si>
  <si>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</si>
  <si>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</si>
  <si>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</si>
  <si>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</si>
  <si>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</si>
  <si>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</si>
  <si>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</si>
  <si>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</si>
  <si>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</si>
  <si>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</si>
  <si>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</si>
  <si>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</si>
  <si>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</si>
  <si>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</si>
  <si>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</si>
  <si>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</si>
  <si>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</si>
  <si>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</si>
  <si>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</si>
  <si>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</si>
  <si>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</si>
  <si>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</si>
  <si>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</si>
  <si>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</si>
  <si>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</si>
  <si>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</si>
  <si>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</si>
  <si>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</si>
  <si>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</si>
  <si>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</si>
  <si>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</si>
  <si>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</si>
  <si>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</si>
  <si>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</si>
  <si>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</si>
  <si>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</si>
  <si>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</si>
  <si>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</si>
  <si>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</si>
  <si>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</si>
  <si>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</si>
  <si>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</si>
  <si>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</si>
  <si>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</si>
  <si>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</si>
  <si>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</si>
  <si>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</si>
  <si>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</si>
  <si>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</si>
  <si>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</si>
  <si>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</si>
  <si>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</si>
  <si>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</si>
  <si>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</si>
  <si>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</si>
  <si>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</si>
  <si>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</si>
  <si>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</si>
  <si>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</si>
  <si>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</si>
  <si>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</si>
  <si>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</si>
  <si>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</si>
  <si>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</si>
  <si>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</si>
  <si>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</si>
  <si>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</si>
  <si>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</si>
  <si>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</si>
  <si>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</si>
  <si>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</si>
  <si>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</si>
  <si>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</si>
  <si>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</si>
  <si>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</si>
  <si>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</si>
  <si>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</si>
  <si>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</si>
  <si>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</si>
  <si>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</si>
  <si>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</si>
  <si>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</si>
  <si>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</si>
  <si>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</si>
  <si>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</si>
  <si>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</si>
  <si>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</si>
  <si>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</si>
  <si>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</si>
  <si>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</si>
  <si>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</si>
  <si>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</si>
  <si>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</si>
  <si>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</si>
  <si>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</si>
  <si>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</si>
  <si>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</si>
  <si>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</si>
  <si>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</si>
  <si>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</si>
  <si>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</si>
  <si>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</si>
  <si>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</si>
  <si>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</si>
  <si>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</si>
  <si>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</si>
  <si>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</si>
  <si>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</si>
  <si>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fourth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</si>
  <si>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</si>
  <si>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</si>
  <si>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</si>
  <si>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</si>
  <si>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</si>
  <si>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</si>
  <si>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</si>
  <si>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</si>
  <si>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</si>
  <si>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</si>
  <si>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</si>
  <si>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</si>
  <si>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</si>
  <si>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</si>
  <si>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</si>
  <si>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</si>
  <si>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</si>
  <si>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</si>
  <si>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</si>
  <si>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</si>
  <si>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</si>
  <si>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</si>
  <si>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</si>
  <si>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</si>
  <si>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</si>
  <si>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</si>
  <si>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</si>
  <si>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</si>
  <si>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</si>
  <si>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</si>
  <si>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</si>
  <si>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</si>
  <si>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</si>
  <si>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</si>
  <si>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</si>
  <si>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</si>
  <si>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</si>
  <si>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</si>
  <si>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</si>
  <si>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</si>
  <si>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</si>
  <si>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</si>
  <si>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</si>
  <si>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</si>
  <si>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</si>
  <si>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</si>
  <si>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</si>
  <si>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</si>
  <si>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</si>
  <si>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</si>
  <si>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</si>
  <si>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</si>
  <si>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</si>
  <si>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</si>
  <si>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</si>
  <si>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</si>
  <si>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</si>
  <si>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</si>
  <si>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</si>
  <si>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</si>
  <si>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</si>
  <si>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</si>
  <si>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</si>
  <si>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</si>
  <si>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</si>
  <si>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</si>
  <si>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</si>
  <si>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</si>
  <si>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</si>
  <si>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</si>
  <si>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</si>
  <si>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</si>
  <si>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</si>
  <si>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</si>
  <si>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</si>
  <si>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</si>
  <si>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</si>
  <si>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</si>
  <si>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</si>
  <si>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</si>
  <si>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</si>
  <si>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</si>
  <si>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</si>
  <si>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</si>
  <si>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</si>
  <si>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</si>
  <si>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</si>
  <si>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</si>
  <si>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</si>
  <si>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</si>
  <si>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</si>
  <si>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</si>
  <si>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</si>
  <si>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</si>
  <si>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</si>
  <si>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</si>
  <si>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</si>
  <si>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</si>
  <si>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</si>
  <si>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</si>
  <si>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</si>
  <si>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</si>
  <si>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</si>
  <si>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</si>
  <si>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</si>
  <si>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</si>
  <si>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</si>
  <si>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</si>
  <si>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</si>
  <si>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</si>
  <si>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</si>
  <si>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</si>
  <si>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</si>
  <si>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</si>
  <si>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</si>
  <si>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</si>
  <si>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</si>
  <si>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</si>
  <si>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</si>
  <si>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</si>
  <si>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</si>
  <si>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</si>
  <si>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</si>
  <si>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</si>
  <si>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</si>
  <si>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</si>
  <si>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</si>
  <si>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</si>
  <si>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</si>
  <si>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</si>
  <si>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</si>
  <si>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</si>
  <si>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</si>
  <si>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</si>
  <si>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</si>
  <si>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</si>
  <si>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</si>
  <si>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</si>
  <si>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</si>
  <si>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</si>
  <si>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</si>
  <si>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</si>
  <si>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</si>
  <si>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</si>
  <si>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</si>
  <si>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</si>
  <si>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</si>
  <si>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</si>
  <si>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</si>
  <si>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</si>
  <si>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</si>
  <si>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</si>
  <si>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10g.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</si>
  <si>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</si>
  <si>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</si>
  <si>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</si>
  <si>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</si>
  <si>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</si>
  <si>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</si>
  <si>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</si>
  <si>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</si>
  <si>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</si>
  <si>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</si>
  <si>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</si>
  <si>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</si>
  <si>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</si>
  <si>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</si>
  <si>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</si>
  <si>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</si>
  <si>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</si>
  <si>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</si>
  <si>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</si>
  <si>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</si>
  <si>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</si>
  <si>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</si>
  <si>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</si>
  <si>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</si>
  <si>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</si>
  <si>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</si>
  <si>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</si>
  <si>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Wyandotte County</t>
  </si>
  <si>
    <t>Bond and Interest</t>
  </si>
  <si>
    <t>County Elections</t>
  </si>
  <si>
    <t>19-3435a</t>
  </si>
  <si>
    <t>19-2803</t>
  </si>
  <si>
    <t>Aging</t>
  </si>
  <si>
    <t>12-1680</t>
  </si>
  <si>
    <t>19-4004</t>
  </si>
  <si>
    <t>Developmental Disabilities</t>
  </si>
  <si>
    <t>County Health</t>
  </si>
  <si>
    <t>65-204</t>
  </si>
  <si>
    <t>County Initiative for Funding Infrastructure</t>
  </si>
  <si>
    <t>19-120</t>
  </si>
  <si>
    <t>Consolidated Parks General Fund</t>
  </si>
  <si>
    <t>Court Trustee</t>
  </si>
  <si>
    <t>Jail Commissary</t>
  </si>
  <si>
    <t>Register of Deeds Technology</t>
  </si>
  <si>
    <t>Special Prosecutor's Trust</t>
  </si>
  <si>
    <t>Aging Grants</t>
  </si>
  <si>
    <t>Community Corrections Grants</t>
  </si>
  <si>
    <t>Developmental Disabilities Grants</t>
  </si>
  <si>
    <t>County Grants</t>
  </si>
  <si>
    <t>Health Grants</t>
  </si>
  <si>
    <t>Slider (Machinery Equipment Reim.)</t>
  </si>
  <si>
    <t>IRB PILOT/Tax Abatement Tax</t>
  </si>
  <si>
    <t>Motor Vehicle Rent Excise Tax</t>
  </si>
  <si>
    <t>Sales Tax - County</t>
  </si>
  <si>
    <t>Compensating Use Tax-County</t>
  </si>
  <si>
    <t>Liquor Tax-Alcohol Liquor Tax</t>
  </si>
  <si>
    <t>Mortgage Registration Tax</t>
  </si>
  <si>
    <t>Gaming Revenue Tax</t>
  </si>
  <si>
    <t>Antique Vehicle License</t>
  </si>
  <si>
    <t>Auto License Fees</t>
  </si>
  <si>
    <t>Pass Through-Ks Div of Emerg Mgmt</t>
  </si>
  <si>
    <t>Reproduction And Copying Fees</t>
  </si>
  <si>
    <t>Computer Services</t>
  </si>
  <si>
    <t>Vending/Telephone Commissions</t>
  </si>
  <si>
    <t>Jail Fee</t>
  </si>
  <si>
    <t>Sale of Chemicals</t>
  </si>
  <si>
    <t>Parking - Monthly Permits</t>
  </si>
  <si>
    <t>Sandstone Facility Use Fee</t>
  </si>
  <si>
    <t>Fines-Pre-Trial Services</t>
  </si>
  <si>
    <t>Penalty Fee-Bad Check Collect</t>
  </si>
  <si>
    <t>Register of Deeds Officer Fee</t>
  </si>
  <si>
    <t>Treasurer Fees</t>
  </si>
  <si>
    <t>Sheriff Officer Fees</t>
  </si>
  <si>
    <t>District Court Office Fees</t>
  </si>
  <si>
    <t>Interest - Investments</t>
  </si>
  <si>
    <t>Interest on Delinquent Taxes</t>
  </si>
  <si>
    <t>Sand Royalties</t>
  </si>
  <si>
    <t>Sale Scrap/Residual Materials</t>
  </si>
  <si>
    <t>Landbank Sales</t>
  </si>
  <si>
    <t>Miscellaneous Receipts</t>
  </si>
  <si>
    <t>Reim Expense-Indirect Cost</t>
  </si>
  <si>
    <t>Reim Expense-District Court</t>
  </si>
  <si>
    <t>Reim Expense-Other</t>
  </si>
  <si>
    <t>Reim Expense-Overtime</t>
  </si>
  <si>
    <t>Reim Expense-Restitution</t>
  </si>
  <si>
    <t>Reim Expense-District Coroner</t>
  </si>
  <si>
    <t>Reimb-Juvenile Crt/Limited Act</t>
  </si>
  <si>
    <t>Reimb Exp - Advertising</t>
  </si>
  <si>
    <t>Reimb Exp - Abstract Fees</t>
  </si>
  <si>
    <t>Reimb - NRA Fee</t>
  </si>
  <si>
    <t>Cancelled Encumbrances</t>
  </si>
  <si>
    <t>Sale of Land</t>
  </si>
  <si>
    <t>Residual Equity Transfer 2002 MMRS Grant</t>
  </si>
  <si>
    <t>Operating Transfers-From Reg. Deeds Tech.</t>
  </si>
  <si>
    <t>Operating Transfer from County Init. Infrastructure</t>
  </si>
  <si>
    <t>Operating Transfer from Health Fund</t>
  </si>
  <si>
    <t>Appropriation from City General Fund</t>
  </si>
  <si>
    <t>Original Budget</t>
  </si>
  <si>
    <t>Prior Year</t>
  </si>
  <si>
    <t>Actual 2010</t>
  </si>
  <si>
    <t>Current Year</t>
  </si>
  <si>
    <t>Amended 2011</t>
  </si>
  <si>
    <t>Year 2010</t>
  </si>
  <si>
    <t>Proposed Budget</t>
  </si>
  <si>
    <t>Personnel</t>
  </si>
  <si>
    <t>Services</t>
  </si>
  <si>
    <t>Supplies</t>
  </si>
  <si>
    <t>Grants, Claims</t>
  </si>
  <si>
    <t>Capital Outlay</t>
  </si>
  <si>
    <t>Delinquent Special Assessment</t>
  </si>
  <si>
    <t>Transfers to County General Fund</t>
  </si>
  <si>
    <r>
      <rPr>
        <b/>
        <sz val="12"/>
        <color indexed="10"/>
        <rFont val="Arial"/>
        <family val="2"/>
      </rPr>
      <t>*</t>
    </r>
    <r>
      <rPr>
        <b/>
        <sz val="12"/>
        <rFont val="Arial"/>
        <family val="2"/>
      </rPr>
      <t>If amended, then use the amended figures.</t>
    </r>
    <r>
      <rPr>
        <b/>
        <sz val="12"/>
        <color indexed="10"/>
        <rFont val="Arial"/>
        <family val="2"/>
      </rPr>
      <t>*</t>
    </r>
  </si>
  <si>
    <r>
      <rPr>
        <sz val="12"/>
        <color indexed="10"/>
        <rFont val="Arial"/>
        <family val="2"/>
      </rPr>
      <t>*</t>
    </r>
    <r>
      <rPr>
        <sz val="12"/>
        <rFont val="Arial"/>
        <family val="2"/>
      </rPr>
      <t>Expenditures</t>
    </r>
    <r>
      <rPr>
        <sz val="12"/>
        <color indexed="10"/>
        <rFont val="Arial"/>
        <family val="2"/>
      </rPr>
      <t>*</t>
    </r>
  </si>
  <si>
    <t>County Park Shelter Rentals</t>
  </si>
  <si>
    <t>Renaissance Festival</t>
  </si>
  <si>
    <t>Reim Expense - Other</t>
  </si>
  <si>
    <t>Year 2012</t>
  </si>
  <si>
    <t>Library Fund</t>
  </si>
  <si>
    <t>Reim-SPE</t>
  </si>
  <si>
    <t>Reimbursed Expense Other</t>
  </si>
  <si>
    <t>Operating Transfer In</t>
  </si>
  <si>
    <t>Transfers, Other</t>
  </si>
  <si>
    <t>Retail Grocery License</t>
  </si>
  <si>
    <t>Child Care License</t>
  </si>
  <si>
    <t>Swimming Pool Permit</t>
  </si>
  <si>
    <t>Hauling Permits</t>
  </si>
  <si>
    <t>Septic Tank Inspection Permit</t>
  </si>
  <si>
    <t>State-Migrant Health</t>
  </si>
  <si>
    <t>State-KDHE</t>
  </si>
  <si>
    <t>Slider-(Machinery Equipment Reim.)</t>
  </si>
  <si>
    <t>General Clinic</t>
  </si>
  <si>
    <t>Dental Clinic</t>
  </si>
  <si>
    <t>Laboratory Fees</t>
  </si>
  <si>
    <t>Immunizations</t>
  </si>
  <si>
    <t>Home Loan Insp Fee</t>
  </si>
  <si>
    <t>Water Analysis</t>
  </si>
  <si>
    <t>Refugee Screening</t>
  </si>
  <si>
    <t>Other Inspection Fees</t>
  </si>
  <si>
    <t>Reim Expense-Indirect Costs</t>
  </si>
  <si>
    <t>Motor Vehicle Rental Excise Tax</t>
  </si>
  <si>
    <t>Slider -(Machinery Equipment Reim.)</t>
  </si>
  <si>
    <t>Transfers from County General Fund</t>
  </si>
  <si>
    <t>Reimbursements</t>
  </si>
  <si>
    <t>Miscellaneous Expense-Reserves</t>
  </si>
  <si>
    <t>Transfer to County General Fund</t>
  </si>
  <si>
    <t>Class Fees</t>
  </si>
  <si>
    <t>League - Basketball</t>
  </si>
  <si>
    <t>League - Softball</t>
  </si>
  <si>
    <t>League - Volleyball</t>
  </si>
  <si>
    <t>Lesson and League Fees</t>
  </si>
  <si>
    <t>Summer Playground Fees</t>
  </si>
  <si>
    <t>Weight Room Membership Fees</t>
  </si>
  <si>
    <t>League - Soccer</t>
  </si>
  <si>
    <t>Swimming Pool Fees</t>
  </si>
  <si>
    <t>Youth Activity Fees</t>
  </si>
  <si>
    <t>Recreation Center Rentals</t>
  </si>
  <si>
    <t>Park Field Rentals</t>
  </si>
  <si>
    <t>Special Events User Fee</t>
  </si>
  <si>
    <t>Annual Appropriation City General Fund</t>
  </si>
  <si>
    <t>Transfer From County Parks</t>
  </si>
  <si>
    <t>OTHER NET</t>
  </si>
  <si>
    <t>Parking - Lot receipts</t>
  </si>
  <si>
    <t>Document/Preparation/Atty Fees</t>
  </si>
  <si>
    <t>Reim Expense-Garage</t>
  </si>
  <si>
    <t>Operating Transfers-In</t>
  </si>
  <si>
    <t/>
  </si>
  <si>
    <t>Reserves</t>
  </si>
  <si>
    <t>Reim. Exp -Commissary</t>
  </si>
  <si>
    <t>Reim-Other</t>
  </si>
  <si>
    <t>Miscellaneous Revenue</t>
  </si>
  <si>
    <t>District Court Trustee Fees</t>
  </si>
  <si>
    <t>Series 2011 B</t>
  </si>
  <si>
    <t>Feb/Aug</t>
  </si>
  <si>
    <t>Aug</t>
  </si>
  <si>
    <t>Temporary Notes 2010-III</t>
  </si>
  <si>
    <t>Speedway Surplus</t>
  </si>
  <si>
    <t>Annex Usage Fees</t>
  </si>
  <si>
    <r>
      <t xml:space="preserve">Total Valuation Adjustment </t>
    </r>
    <r>
      <rPr>
        <sz val="11"/>
        <rFont val="Arial"/>
        <family val="2"/>
      </rPr>
      <t>(Sum of 4, 5c, and 6)</t>
    </r>
  </si>
  <si>
    <t>Operating Transfer from Consolidated Parks</t>
  </si>
  <si>
    <t>Wyandotte County Library</t>
  </si>
  <si>
    <t>Residual Equity</t>
  </si>
  <si>
    <t>Warning system</t>
  </si>
  <si>
    <t>2006 Lease Pkg Sch 12</t>
  </si>
  <si>
    <t>2007 Lease Pkg Sch 15</t>
  </si>
  <si>
    <t>2007 Lease Pkg Sch 16</t>
  </si>
  <si>
    <t>2007 Lease Pkg Sch 17</t>
  </si>
  <si>
    <t>2010 Lease - Court Services Bldg</t>
  </si>
  <si>
    <t>Tax Revenue</t>
  </si>
  <si>
    <t>Intergovt. Revenues</t>
  </si>
  <si>
    <t>Charges for Services</t>
  </si>
  <si>
    <t>Interest Income</t>
  </si>
  <si>
    <t>Fines, Forfeits, Fees</t>
  </si>
  <si>
    <t>Transfer-in</t>
  </si>
  <si>
    <t>Contractual Services</t>
  </si>
  <si>
    <t>Commodities</t>
  </si>
  <si>
    <t>Grant, claims</t>
  </si>
  <si>
    <t>Transfer-out</t>
  </si>
  <si>
    <t>County General Fund</t>
  </si>
  <si>
    <t>Health Levy Fund</t>
  </si>
  <si>
    <t>28-115a</t>
  </si>
  <si>
    <t>County Init. Infrastructure</t>
  </si>
  <si>
    <t>2002 MMRS Grant</t>
  </si>
  <si>
    <t>12-1663</t>
  </si>
  <si>
    <t>Consolidated Parks</t>
  </si>
  <si>
    <t>Lew Levin, Chief Financial Officer</t>
  </si>
  <si>
    <t>will meet on July 28, 2011 at 5:00 PM in the Commission Chambers of the Municipal Office Building for the purpose of hearing and</t>
  </si>
  <si>
    <t>Transfer To County General Fund</t>
  </si>
  <si>
    <t>Comp to Determine Library Limit</t>
  </si>
  <si>
    <t>County Library Fund</t>
  </si>
  <si>
    <t>WY-2</t>
  </si>
  <si>
    <t>WY-3</t>
  </si>
  <si>
    <t>WY-4</t>
  </si>
  <si>
    <t>WY-5</t>
  </si>
  <si>
    <t>WY-6</t>
  </si>
  <si>
    <t>WY-7</t>
  </si>
  <si>
    <t>WY-9</t>
  </si>
  <si>
    <t>WY-10</t>
  </si>
  <si>
    <t>WY-11</t>
  </si>
  <si>
    <t>WY-12</t>
  </si>
  <si>
    <t>WY-13</t>
  </si>
  <si>
    <t>WY-14</t>
  </si>
  <si>
    <t>WY-15</t>
  </si>
  <si>
    <t>WY-16</t>
  </si>
  <si>
    <t>WY-17</t>
  </si>
  <si>
    <t>WY-18</t>
  </si>
  <si>
    <t>WY-19</t>
  </si>
  <si>
    <t>WY-20</t>
  </si>
  <si>
    <t>WY-21</t>
  </si>
  <si>
    <r>
      <t>Adjustments</t>
    </r>
    <r>
      <rPr>
        <sz val="11"/>
        <color indexed="10"/>
        <rFont val="Arial"/>
        <family val="2"/>
      </rPr>
      <t>*</t>
    </r>
  </si>
  <si>
    <t>Res-46-11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</si>
</sst>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0000"/>
  </numFmts>
  <fonts count="10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2"/>
      <name val="Arial"/>
      <family val="2"/>
    </font>
    <font>
      <sz val="11"/>
      <name val="Arial"/>
      <family val="2"/>
    </font>
    <font>
      <b/>
      <sz val="12"/>
      <name val="Arial"/>
      <family val="2"/>
    </font>
    <font>
      <sz val="12"/>
      <color indexed="10"/>
      <name val="Arial"/>
      <family val="2"/>
    </font>
    <font>
      <b/>
      <u val="single"/>
      <sz val="10"/>
      <name val="Arial"/>
      <family val="2"/>
    </font>
    <font>
      <sz val="10"/>
      <name val="Arial"/>
      <family val="2"/>
    </font>
    <font>
      <sz val="10"/>
      <color indexed="10"/>
      <name val="Arial"/>
      <family val="2"/>
    </font>
    <font>
      <b/>
      <sz val="12"/>
      <color indexed="10"/>
      <name val="Arial"/>
      <family val="2"/>
    </font>
    <font>
      <b/>
      <u val="single"/>
      <sz val="12"/>
      <color indexed="10"/>
      <name val="Arial"/>
      <family val="2"/>
    </font>
    <font>
      <b/>
      <sz val="10"/>
      <name val="Arial"/>
      <family val="2"/>
    </font>
    <font>
      <b/>
      <u val="single"/>
      <sz val="8"/>
      <name val="Arial"/>
      <family val="2"/>
    </font>
    <font>
      <b/>
      <u val="single"/>
      <sz val="12"/>
      <name val="Arial"/>
      <family val="2"/>
    </font>
    <font>
      <sz val="8"/>
      <name val="Arial"/>
      <family val="2"/>
    </font>
    <font>
      <u val="single"/>
      <sz val="12"/>
      <name val="Arial"/>
      <family val="2"/>
    </font>
    <font>
      <b/>
      <sz val="11"/>
      <name val="Arial"/>
      <family val="2"/>
    </font>
    <font>
      <b/>
      <u val="single"/>
      <sz val="11"/>
      <name val="Arial"/>
      <family val="2"/>
    </font>
    <font>
      <u val="single"/>
      <sz val="11"/>
      <name val="Arial"/>
      <family val="2"/>
    </font>
    <font>
      <sz val="11"/>
      <color indexed="10"/>
      <name val="Arial"/>
      <family val="2"/>
    </font>
    <font>
      <b/>
      <u val="single"/>
      <sz val="11"/>
      <color indexed="10"/>
      <name val="Arial"/>
      <family val="2"/>
    </font>
    <font>
      <sz val="8"/>
      <name val="Tahoma"/>
      <family val="2"/>
    </font>
    <font>
      <b/>
      <sz val="8"/>
      <name val="Tahoma"/>
      <family val="2"/>
    </font>
    <font>
      <i/>
      <sz val="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b/>
      <sz val="11"/>
      <color indexed="10"/>
      <name val="Arial"/>
      <family val="2"/>
    </font>
    <font>
      <u val="single"/>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b/>
      <sz val="12"/>
      <color rgb="FFFF0000"/>
      <name val="Arial"/>
      <family val="2"/>
    </font>
    <font>
      <b/>
      <sz val="11"/>
      <color rgb="FFFF0000"/>
      <name val="Arial"/>
      <family val="2"/>
    </font>
    <font>
      <u val="single"/>
      <sz val="11"/>
      <color rgb="FFFF0000"/>
      <name val="Arial"/>
      <family val="2"/>
    </font>
    <font>
      <b/>
      <sz val="8"/>
      <name val="Courier"/>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
      <patternFill patternType="solid">
        <fgColor theme="6"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style="thin"/>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s>
  <cellStyleXfs count="4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9"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904">
    <xf numFmtId="0" fontId="0" fillId="0" borderId="0" xfId="0" applyAlignment="1">
      <alignment/>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0" fontId="4" fillId="34" borderId="0" xfId="0" applyFont="1" applyFill="1" applyAlignment="1">
      <alignment/>
    </xf>
    <xf numFmtId="0" fontId="13" fillId="0" borderId="0" xfId="0" applyFont="1" applyAlignment="1">
      <alignment horizontal="center" vertical="top"/>
    </xf>
    <xf numFmtId="0" fontId="0" fillId="0" borderId="0" xfId="0" applyAlignment="1">
      <alignment vertical="top"/>
    </xf>
    <xf numFmtId="0" fontId="13" fillId="0" borderId="0" xfId="0" applyFont="1" applyAlignment="1">
      <alignment vertical="top"/>
    </xf>
    <xf numFmtId="0" fontId="11" fillId="0" borderId="0" xfId="403" applyAlignment="1">
      <alignment vertical="top"/>
      <protection/>
    </xf>
    <xf numFmtId="0" fontId="11" fillId="0" borderId="0" xfId="403">
      <alignment/>
      <protection/>
    </xf>
    <xf numFmtId="0" fontId="14" fillId="0" borderId="0" xfId="0" applyFont="1" applyAlignment="1">
      <alignment vertical="top"/>
    </xf>
    <xf numFmtId="0" fontId="7" fillId="0" borderId="0" xfId="0" applyFont="1" applyAlignment="1">
      <alignment horizontal="center" vertical="top"/>
    </xf>
    <xf numFmtId="0" fontId="13"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5" fillId="0" borderId="0" xfId="0" applyFont="1" applyAlignment="1">
      <alignment/>
    </xf>
    <xf numFmtId="0" fontId="15" fillId="0" borderId="0" xfId="0" applyNumberFormat="1" applyFont="1" applyAlignment="1">
      <alignment/>
    </xf>
    <xf numFmtId="0" fontId="7" fillId="0" borderId="0" xfId="0" applyFont="1" applyAlignment="1">
      <alignment/>
    </xf>
    <xf numFmtId="0" fontId="7" fillId="0" borderId="0" xfId="0" applyFont="1" applyAlignment="1">
      <alignment/>
    </xf>
    <xf numFmtId="0" fontId="16" fillId="0" borderId="0" xfId="0" applyFont="1" applyAlignment="1">
      <alignment/>
    </xf>
    <xf numFmtId="0" fontId="4" fillId="0" borderId="0" xfId="0" applyFont="1" applyAlignment="1">
      <alignment vertical="top"/>
    </xf>
    <xf numFmtId="0" fontId="4" fillId="0" borderId="0" xfId="403" applyFont="1" applyAlignment="1">
      <alignment vertical="top"/>
      <protection/>
    </xf>
    <xf numFmtId="0" fontId="17" fillId="0" borderId="0" xfId="0" applyNumberFormat="1" applyFont="1" applyAlignment="1">
      <alignment vertical="top"/>
    </xf>
    <xf numFmtId="0" fontId="17" fillId="0" borderId="0" xfId="0" applyFont="1" applyAlignment="1">
      <alignment/>
    </xf>
    <xf numFmtId="0" fontId="4" fillId="0" borderId="0" xfId="403" applyFont="1">
      <alignment/>
      <protection/>
    </xf>
    <xf numFmtId="0" fontId="4" fillId="0" borderId="0" xfId="0" applyFont="1" applyAlignment="1">
      <alignment horizontal="right"/>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3"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5"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xf>
    <xf numFmtId="0" fontId="4" fillId="34" borderId="0" xfId="0" applyFont="1" applyFill="1" applyAlignment="1" applyProtection="1">
      <alignment horizontal="centerContinuous" vertical="center"/>
      <protection/>
    </xf>
    <xf numFmtId="0" fontId="4" fillId="35" borderId="0" xfId="0" applyFont="1" applyFill="1" applyAlignment="1" applyProtection="1">
      <alignment vertical="center"/>
      <protection/>
    </xf>
    <xf numFmtId="37" fontId="4" fillId="34" borderId="0" xfId="0" applyNumberFormat="1" applyFont="1" applyFill="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37" fontId="5" fillId="37"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7"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34" borderId="0" xfId="0" applyFont="1" applyFill="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5"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0" fontId="0" fillId="34" borderId="0" xfId="0" applyFill="1" applyAlignment="1">
      <alignment vertical="center"/>
    </xf>
    <xf numFmtId="0" fontId="4" fillId="35" borderId="16" xfId="0" applyFont="1" applyFill="1" applyBorder="1" applyAlignment="1">
      <alignment horizontal="center" vertical="center"/>
    </xf>
    <xf numFmtId="0" fontId="4" fillId="35" borderId="17" xfId="0" applyFont="1" applyFill="1" applyBorder="1" applyAlignment="1">
      <alignment horizontal="center" vertical="center"/>
    </xf>
    <xf numFmtId="0" fontId="20" fillId="34" borderId="0" xfId="0" applyFont="1" applyFill="1" applyAlignment="1">
      <alignment vertical="center"/>
    </xf>
    <xf numFmtId="0" fontId="24" fillId="34" borderId="0" xfId="0" applyFont="1" applyFill="1" applyAlignment="1">
      <alignment vertical="center"/>
    </xf>
    <xf numFmtId="0" fontId="4" fillId="35" borderId="18" xfId="0" applyFont="1" applyFill="1" applyBorder="1" applyAlignment="1">
      <alignment horizontal="center" vertical="center"/>
    </xf>
    <xf numFmtId="37" fontId="4" fillId="34" borderId="18" xfId="0" applyNumberFormat="1" applyFont="1" applyFill="1" applyBorder="1" applyAlignment="1">
      <alignment vertical="center"/>
    </xf>
    <xf numFmtId="3" fontId="4" fillId="33" borderId="18" xfId="0" applyNumberFormat="1" applyFont="1" applyFill="1" applyBorder="1" applyAlignment="1" applyProtection="1">
      <alignment vertical="center"/>
      <protection locked="0"/>
    </xf>
    <xf numFmtId="0" fontId="0" fillId="0" borderId="0" xfId="0" applyAlignment="1">
      <alignment vertical="center"/>
    </xf>
    <xf numFmtId="183" fontId="4" fillId="34"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centerContinuous" vertical="center"/>
      <protection/>
    </xf>
    <xf numFmtId="37" fontId="4" fillId="34" borderId="15" xfId="0" applyNumberFormat="1"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37" fontId="4" fillId="34" borderId="16"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left" vertical="center"/>
      <protection/>
    </xf>
    <xf numFmtId="37" fontId="4" fillId="34" borderId="18"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8" borderId="19" xfId="0" applyNumberFormat="1" applyFont="1" applyFill="1" applyBorder="1" applyAlignment="1" applyProtection="1">
      <alignment vertical="center"/>
      <protection/>
    </xf>
    <xf numFmtId="183" fontId="4" fillId="38" borderId="19"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3" fontId="5" fillId="38" borderId="19" xfId="0" applyNumberFormat="1" applyFont="1" applyFill="1" applyBorder="1" applyAlignment="1" applyProtection="1">
      <alignment vertical="center"/>
      <protection/>
    </xf>
    <xf numFmtId="0" fontId="4" fillId="0" borderId="0" xfId="0" applyFont="1" applyBorder="1" applyAlignment="1">
      <alignment vertical="center"/>
    </xf>
    <xf numFmtId="0" fontId="4" fillId="36" borderId="0" xfId="401"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left" vertical="center"/>
      <protection/>
    </xf>
    <xf numFmtId="1" fontId="4" fillId="34" borderId="18"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locked="0"/>
    </xf>
    <xf numFmtId="0" fontId="4" fillId="33" borderId="15" xfId="0" applyFont="1" applyFill="1" applyBorder="1" applyAlignment="1" applyProtection="1">
      <alignment horizontal="left" vertical="center"/>
      <protection locked="0"/>
    </xf>
    <xf numFmtId="37" fontId="5" fillId="38"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8" xfId="0" applyNumberFormat="1" applyFont="1" applyFill="1" applyBorder="1" applyAlignment="1" applyProtection="1">
      <alignment horizontal="center" vertical="center"/>
      <protection/>
    </xf>
    <xf numFmtId="37" fontId="4" fillId="38" borderId="10" xfId="0" applyNumberFormat="1" applyFont="1" applyFill="1" applyBorder="1" applyAlignment="1" applyProtection="1">
      <alignment vertical="center"/>
      <protection/>
    </xf>
    <xf numFmtId="0" fontId="20" fillId="0" borderId="0" xfId="0" applyFont="1" applyAlignment="1">
      <alignment vertical="center"/>
    </xf>
    <xf numFmtId="0" fontId="4" fillId="34" borderId="0" xfId="0" applyFont="1" applyFill="1" applyAlignment="1">
      <alignment horizontal="right" vertical="center"/>
    </xf>
    <xf numFmtId="1" fontId="4" fillId="34" borderId="16"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8" borderId="16"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8" borderId="0" xfId="0" applyFont="1" applyFill="1" applyAlignment="1" applyProtection="1">
      <alignment horizontal="left" vertical="center"/>
      <protection/>
    </xf>
    <xf numFmtId="37" fontId="5" fillId="39" borderId="19" xfId="0" applyNumberFormat="1" applyFont="1" applyFill="1" applyBorder="1" applyAlignment="1" applyProtection="1">
      <alignment vertical="center"/>
      <protection/>
    </xf>
    <xf numFmtId="0" fontId="20" fillId="36" borderId="0" xfId="0" applyFont="1" applyFill="1" applyAlignment="1">
      <alignment vertical="center"/>
    </xf>
    <xf numFmtId="37" fontId="4" fillId="36" borderId="0" xfId="0" applyNumberFormat="1" applyFont="1" applyFill="1" applyAlignment="1">
      <alignment vertical="center"/>
    </xf>
    <xf numFmtId="37" fontId="4" fillId="0" borderId="0" xfId="0" applyNumberFormat="1" applyFont="1" applyAlignment="1">
      <alignment vertical="center"/>
    </xf>
    <xf numFmtId="3" fontId="20" fillId="40" borderId="10"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locked="0"/>
    </xf>
    <xf numFmtId="0" fontId="4" fillId="34" borderId="16"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locked="0"/>
    </xf>
    <xf numFmtId="3" fontId="4" fillId="34" borderId="19" xfId="0" applyNumberFormat="1" applyFont="1" applyFill="1" applyBorder="1" applyAlignment="1" applyProtection="1">
      <alignment horizontal="center" vertical="center"/>
      <protection/>
    </xf>
    <xf numFmtId="184" fontId="4" fillId="34" borderId="19"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84" fontId="4" fillId="34" borderId="11"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1"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1"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26" fillId="0" borderId="0" xfId="0" applyFont="1" applyAlignment="1">
      <alignment horizontal="center" vertical="center"/>
    </xf>
    <xf numFmtId="0" fontId="5" fillId="0" borderId="0" xfId="0" applyFont="1" applyAlignment="1">
      <alignment vertical="center" wrapText="1"/>
    </xf>
    <xf numFmtId="0" fontId="4" fillId="0" borderId="0" xfId="357" applyNumberFormat="1" applyFont="1" applyAlignment="1">
      <alignment vertical="center" wrapText="1"/>
      <protection/>
    </xf>
    <xf numFmtId="0" fontId="4" fillId="0" borderId="0" xfId="366" applyNumberFormat="1" applyFont="1" applyAlignment="1">
      <alignment vertical="center" wrapText="1"/>
      <protection/>
    </xf>
    <xf numFmtId="0" fontId="4" fillId="0" borderId="0" xfId="373" applyFont="1" applyAlignment="1">
      <alignment vertical="center" wrapText="1"/>
      <protection/>
    </xf>
    <xf numFmtId="0" fontId="4" fillId="0" borderId="0" xfId="185" applyFont="1" applyAlignment="1">
      <alignment vertical="center" wrapText="1"/>
      <protection/>
    </xf>
    <xf numFmtId="0" fontId="0" fillId="0" borderId="0" xfId="0" applyAlignment="1">
      <alignment/>
    </xf>
    <xf numFmtId="0" fontId="4" fillId="0" borderId="0" xfId="393" applyFont="1" applyAlignment="1">
      <alignment vertical="center"/>
      <protection/>
    </xf>
    <xf numFmtId="0" fontId="11" fillId="0" borderId="0" xfId="381" applyFont="1">
      <alignment/>
      <protection/>
    </xf>
    <xf numFmtId="0" fontId="11" fillId="0" borderId="0" xfId="381" applyNumberFormat="1" applyFont="1" applyAlignment="1">
      <alignment horizontal="left" vertical="center"/>
      <protection/>
    </xf>
    <xf numFmtId="0" fontId="4" fillId="0" borderId="0" xfId="381" applyFont="1" applyAlignment="1">
      <alignment horizontal="left" vertical="center"/>
      <protection/>
    </xf>
    <xf numFmtId="49" fontId="4" fillId="33" borderId="0" xfId="381" applyNumberFormat="1" applyFont="1" applyFill="1" applyAlignment="1" applyProtection="1">
      <alignment horizontal="left" vertical="center"/>
      <protection locked="0"/>
    </xf>
    <xf numFmtId="185" fontId="18" fillId="0" borderId="0" xfId="381" applyNumberFormat="1" applyFont="1" applyAlignment="1">
      <alignment horizontal="left" vertical="center"/>
      <protection/>
    </xf>
    <xf numFmtId="49" fontId="4" fillId="0" borderId="0" xfId="381" applyNumberFormat="1" applyFont="1" applyAlignment="1">
      <alignment horizontal="left" vertical="center"/>
      <protection/>
    </xf>
    <xf numFmtId="0" fontId="18" fillId="0" borderId="0" xfId="381" applyFont="1" applyAlignment="1">
      <alignment horizontal="left" vertical="center"/>
      <protection/>
    </xf>
    <xf numFmtId="186" fontId="18" fillId="0" borderId="0" xfId="381" applyNumberFormat="1" applyFont="1" applyAlignment="1">
      <alignment horizontal="left" vertical="center"/>
      <protection/>
    </xf>
    <xf numFmtId="0" fontId="4" fillId="33" borderId="0" xfId="381" applyFont="1" applyFill="1" applyAlignment="1" applyProtection="1">
      <alignment horizontal="left" vertical="center"/>
      <protection locked="0"/>
    </xf>
    <xf numFmtId="0" fontId="11" fillId="33" borderId="0" xfId="381" applyFont="1" applyFill="1" applyAlignment="1" applyProtection="1">
      <alignment horizontal="left" vertical="center"/>
      <protection locked="0"/>
    </xf>
    <xf numFmtId="0" fontId="6" fillId="0" borderId="0" xfId="121" applyFont="1" applyAlignment="1">
      <alignment vertical="center"/>
      <protection/>
    </xf>
    <xf numFmtId="0" fontId="4" fillId="0" borderId="0" xfId="125" applyFont="1" applyAlignment="1">
      <alignment vertical="center"/>
      <protection/>
    </xf>
    <xf numFmtId="0" fontId="22"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2" applyFont="1">
      <alignment/>
      <protection/>
    </xf>
    <xf numFmtId="0" fontId="0" fillId="0" borderId="0" xfId="202" applyFont="1" applyFill="1">
      <alignment/>
      <protection/>
    </xf>
    <xf numFmtId="0" fontId="0" fillId="0" borderId="0" xfId="0" applyFont="1" applyAlignment="1">
      <alignment/>
    </xf>
    <xf numFmtId="0" fontId="1" fillId="0" borderId="0" xfId="0" applyFont="1" applyAlignment="1">
      <alignment horizontal="center"/>
    </xf>
    <xf numFmtId="0" fontId="4" fillId="0" borderId="0" xfId="398" applyFont="1" applyAlignment="1">
      <alignment vertical="center" wrapText="1"/>
      <protection/>
    </xf>
    <xf numFmtId="0" fontId="4" fillId="0" borderId="0" xfId="74" applyFont="1" applyAlignment="1">
      <alignment vertical="center" wrapText="1"/>
      <protection/>
    </xf>
    <xf numFmtId="0" fontId="6" fillId="0" borderId="0" xfId="120" applyFont="1" applyAlignment="1">
      <alignment vertical="center"/>
      <protection/>
    </xf>
    <xf numFmtId="37" fontId="4" fillId="41" borderId="10" xfId="0" applyNumberFormat="1" applyFont="1" applyFill="1" applyBorder="1" applyAlignment="1" applyProtection="1">
      <alignment vertical="center"/>
      <protection locked="0"/>
    </xf>
    <xf numFmtId="184" fontId="4" fillId="33" borderId="10" xfId="0" applyNumberFormat="1" applyFont="1" applyFill="1" applyBorder="1" applyAlignment="1" applyProtection="1">
      <alignment vertical="center"/>
      <protection locked="0"/>
    </xf>
    <xf numFmtId="184" fontId="4" fillId="33" borderId="10" xfId="0" applyNumberFormat="1" applyFont="1" applyFill="1" applyBorder="1" applyAlignment="1" applyProtection="1">
      <alignment vertical="center"/>
      <protection locked="0"/>
    </xf>
    <xf numFmtId="37" fontId="7" fillId="34" borderId="16"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28" fillId="0" borderId="0" xfId="0" applyFont="1" applyAlignment="1">
      <alignment/>
    </xf>
    <xf numFmtId="0" fontId="27"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4" fillId="0" borderId="0" xfId="0" applyFont="1" applyAlignment="1">
      <alignment wrapText="1"/>
    </xf>
    <xf numFmtId="0" fontId="31" fillId="0" borderId="0" xfId="0" applyFont="1" applyAlignment="1">
      <alignment vertical="center"/>
    </xf>
    <xf numFmtId="0" fontId="32" fillId="0" borderId="0" xfId="0" applyFont="1" applyAlignment="1">
      <alignment horizontal="center"/>
    </xf>
    <xf numFmtId="37" fontId="4" fillId="34" borderId="17" xfId="76" applyNumberFormat="1" applyFont="1" applyFill="1" applyBorder="1" applyAlignment="1" applyProtection="1">
      <alignment horizontal="center" vertical="center"/>
      <protection/>
    </xf>
    <xf numFmtId="37" fontId="4" fillId="34" borderId="18" xfId="76" applyNumberFormat="1" applyFont="1" applyFill="1" applyBorder="1" applyAlignment="1" applyProtection="1">
      <alignment horizontal="center" vertical="center"/>
      <protection/>
    </xf>
    <xf numFmtId="0" fontId="28" fillId="0" borderId="0" xfId="0" applyFont="1" applyAlignment="1">
      <alignment vertical="center"/>
    </xf>
    <xf numFmtId="0" fontId="38" fillId="0" borderId="0" xfId="0" applyFont="1" applyBorder="1" applyAlignment="1">
      <alignment horizontal="centerContinuous"/>
    </xf>
    <xf numFmtId="0" fontId="38" fillId="0" borderId="0" xfId="0" applyFont="1" applyBorder="1" applyAlignment="1">
      <alignment/>
    </xf>
    <xf numFmtId="0" fontId="38" fillId="0" borderId="0" xfId="0" applyFont="1" applyAlignment="1">
      <alignment/>
    </xf>
    <xf numFmtId="0" fontId="4" fillId="0" borderId="0" xfId="76" applyFont="1" applyAlignment="1">
      <alignment vertical="center"/>
      <protection/>
    </xf>
    <xf numFmtId="0" fontId="4" fillId="0" borderId="0" xfId="88" applyFont="1" applyAlignment="1">
      <alignment vertical="center"/>
      <protection/>
    </xf>
    <xf numFmtId="0" fontId="4" fillId="0" borderId="0" xfId="76" applyFont="1">
      <alignment/>
      <protection/>
    </xf>
    <xf numFmtId="0" fontId="39" fillId="0" borderId="0" xfId="76" applyFont="1" applyAlignment="1">
      <alignment horizontal="center"/>
      <protection/>
    </xf>
    <xf numFmtId="0" fontId="4" fillId="0" borderId="0" xfId="76" applyFont="1" applyAlignment="1">
      <alignment wrapText="1"/>
      <protection/>
    </xf>
    <xf numFmtId="0" fontId="40" fillId="0" borderId="0" xfId="66" applyFont="1" applyAlignment="1" applyProtection="1">
      <alignment/>
      <protection/>
    </xf>
    <xf numFmtId="1" fontId="7" fillId="34" borderId="16" xfId="0" applyNumberFormat="1" applyFont="1" applyFill="1" applyBorder="1" applyAlignment="1" applyProtection="1">
      <alignment horizontal="center" vertical="center"/>
      <protection/>
    </xf>
    <xf numFmtId="0" fontId="4" fillId="0" borderId="0" xfId="88" applyFont="1" applyAlignment="1">
      <alignment vertical="center" wrapText="1"/>
      <protection/>
    </xf>
    <xf numFmtId="0" fontId="100" fillId="42" borderId="0" xfId="0" applyFont="1" applyFill="1" applyAlignment="1">
      <alignment horizontal="center"/>
    </xf>
    <xf numFmtId="0" fontId="100" fillId="42" borderId="0" xfId="0" applyFont="1" applyFill="1" applyAlignment="1">
      <alignment/>
    </xf>
    <xf numFmtId="0" fontId="100" fillId="42" borderId="21" xfId="0" applyFont="1" applyFill="1" applyBorder="1" applyAlignment="1">
      <alignment/>
    </xf>
    <xf numFmtId="0" fontId="101" fillId="0" borderId="0" xfId="0" applyFont="1" applyBorder="1" applyAlignment="1">
      <alignment/>
    </xf>
    <xf numFmtId="0" fontId="100" fillId="0" borderId="0" xfId="0" applyFont="1" applyBorder="1" applyAlignment="1">
      <alignment horizontal="centerContinuous"/>
    </xf>
    <xf numFmtId="0" fontId="100" fillId="42" borderId="0" xfId="0" applyFont="1" applyFill="1" applyAlignment="1">
      <alignment horizontal="center" wrapText="1"/>
    </xf>
    <xf numFmtId="0" fontId="100" fillId="42" borderId="21" xfId="0" applyFont="1" applyFill="1" applyBorder="1" applyAlignment="1">
      <alignment/>
    </xf>
    <xf numFmtId="0" fontId="100" fillId="42" borderId="22" xfId="0" applyFont="1" applyFill="1" applyBorder="1" applyAlignment="1">
      <alignment horizontal="centerContinuous" vertical="center"/>
    </xf>
    <xf numFmtId="190" fontId="100" fillId="42" borderId="0" xfId="0" applyNumberFormat="1" applyFont="1" applyFill="1" applyBorder="1" applyAlignment="1">
      <alignment horizontal="centerContinuous" vertical="center"/>
    </xf>
    <xf numFmtId="0" fontId="100" fillId="42" borderId="0" xfId="0" applyFont="1" applyFill="1" applyBorder="1" applyAlignment="1">
      <alignment horizontal="centerContinuous" vertical="center"/>
    </xf>
    <xf numFmtId="184" fontId="100" fillId="42" borderId="0" xfId="0" applyNumberFormat="1" applyFont="1" applyFill="1" applyBorder="1" applyAlignment="1" applyProtection="1">
      <alignment horizontal="centerContinuous" vertical="center"/>
      <protection locked="0"/>
    </xf>
    <xf numFmtId="191" fontId="100" fillId="42" borderId="0" xfId="0" applyNumberFormat="1" applyFont="1" applyFill="1" applyBorder="1" applyAlignment="1">
      <alignment horizontal="centerContinuous" vertical="center"/>
    </xf>
    <xf numFmtId="0" fontId="100" fillId="42" borderId="23" xfId="0" applyFont="1" applyFill="1" applyBorder="1" applyAlignment="1">
      <alignment horizontal="centerContinuous" vertical="center"/>
    </xf>
    <xf numFmtId="0" fontId="100" fillId="42" borderId="22" xfId="0" applyFont="1" applyFill="1" applyBorder="1" applyAlignment="1">
      <alignment horizontal="centerContinuous"/>
    </xf>
    <xf numFmtId="190" fontId="100" fillId="42" borderId="0" xfId="0" applyNumberFormat="1" applyFont="1" applyFill="1" applyBorder="1" applyAlignment="1">
      <alignment horizontal="centerContinuous"/>
    </xf>
    <xf numFmtId="0" fontId="100" fillId="42" borderId="0" xfId="0" applyFont="1" applyFill="1" applyBorder="1" applyAlignment="1">
      <alignment horizontal="centerContinuous"/>
    </xf>
    <xf numFmtId="184" fontId="100" fillId="42" borderId="0" xfId="0" applyNumberFormat="1" applyFont="1" applyFill="1" applyBorder="1" applyAlignment="1" applyProtection="1">
      <alignment horizontal="centerContinuous"/>
      <protection locked="0"/>
    </xf>
    <xf numFmtId="191" fontId="100" fillId="42" borderId="0" xfId="0" applyNumberFormat="1" applyFont="1" applyFill="1" applyBorder="1" applyAlignment="1">
      <alignment horizontal="centerContinuous"/>
    </xf>
    <xf numFmtId="0" fontId="100" fillId="42" borderId="23" xfId="0" applyFont="1" applyFill="1" applyBorder="1" applyAlignment="1">
      <alignment horizontal="centerContinuous"/>
    </xf>
    <xf numFmtId="0" fontId="38" fillId="43" borderId="0" xfId="0" applyFont="1" applyFill="1" applyAlignment="1">
      <alignment/>
    </xf>
    <xf numFmtId="0" fontId="38" fillId="42" borderId="0" xfId="0" applyFont="1" applyFill="1" applyAlignment="1">
      <alignment/>
    </xf>
    <xf numFmtId="0" fontId="100" fillId="43" borderId="0" xfId="0" applyFont="1" applyFill="1" applyAlignment="1">
      <alignment horizontal="center" wrapText="1"/>
    </xf>
    <xf numFmtId="0" fontId="38" fillId="42" borderId="0" xfId="0" applyFont="1" applyFill="1" applyAlignment="1">
      <alignment horizontal="center"/>
    </xf>
    <xf numFmtId="190" fontId="38" fillId="42" borderId="0" xfId="0" applyNumberFormat="1" applyFont="1" applyFill="1" applyAlignment="1">
      <alignment horizontal="center"/>
    </xf>
    <xf numFmtId="0" fontId="38" fillId="42" borderId="24" xfId="0" applyFont="1" applyFill="1" applyBorder="1" applyAlignment="1">
      <alignment/>
    </xf>
    <xf numFmtId="0" fontId="38" fillId="42" borderId="25" xfId="0" applyFont="1" applyFill="1" applyBorder="1" applyAlignment="1">
      <alignment/>
    </xf>
    <xf numFmtId="190" fontId="38" fillId="42" borderId="26" xfId="0" applyNumberFormat="1" applyFont="1" applyFill="1" applyBorder="1" applyAlignment="1">
      <alignment/>
    </xf>
    <xf numFmtId="0" fontId="38" fillId="42" borderId="0" xfId="0" applyFont="1" applyFill="1" applyBorder="1" applyAlignment="1">
      <alignment/>
    </xf>
    <xf numFmtId="0" fontId="38" fillId="42" borderId="0" xfId="0" applyFont="1" applyFill="1" applyBorder="1" applyAlignment="1">
      <alignment horizontal="center"/>
    </xf>
    <xf numFmtId="190" fontId="38" fillId="42" borderId="11" xfId="0" applyNumberFormat="1" applyFont="1" applyFill="1" applyBorder="1" applyAlignment="1">
      <alignment horizontal="center"/>
    </xf>
    <xf numFmtId="0" fontId="38" fillId="42" borderId="23" xfId="0" applyFont="1" applyFill="1" applyBorder="1" applyAlignment="1">
      <alignment/>
    </xf>
    <xf numFmtId="0" fontId="38"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190" fontId="38" fillId="42" borderId="0" xfId="0" applyNumberFormat="1" applyFont="1" applyFill="1" applyAlignment="1">
      <alignment/>
    </xf>
    <xf numFmtId="0" fontId="38" fillId="42" borderId="21" xfId="0" applyFont="1" applyFill="1" applyBorder="1" applyAlignment="1">
      <alignment/>
    </xf>
    <xf numFmtId="0" fontId="38" fillId="42" borderId="22" xfId="0" applyFont="1" applyFill="1" applyBorder="1" applyAlignment="1">
      <alignment/>
    </xf>
    <xf numFmtId="190" fontId="38" fillId="41" borderId="26" xfId="0" applyNumberFormat="1" applyFont="1" applyFill="1" applyBorder="1" applyAlignment="1" applyProtection="1">
      <alignment horizontal="center"/>
      <protection locked="0"/>
    </xf>
    <xf numFmtId="184" fontId="38" fillId="42" borderId="0" xfId="0" applyNumberFormat="1" applyFont="1" applyFill="1" applyBorder="1" applyAlignment="1">
      <alignment horizontal="center"/>
    </xf>
    <xf numFmtId="190" fontId="38" fillId="0" borderId="0" xfId="0" applyNumberFormat="1" applyFont="1" applyAlignment="1">
      <alignment/>
    </xf>
    <xf numFmtId="0" fontId="38" fillId="43" borderId="0" xfId="0" applyFont="1" applyFill="1" applyBorder="1" applyAlignment="1">
      <alignment/>
    </xf>
    <xf numFmtId="190" fontId="38" fillId="42" borderId="0" xfId="0" applyNumberFormat="1" applyFont="1" applyFill="1" applyBorder="1" applyAlignment="1">
      <alignment horizontal="center"/>
    </xf>
    <xf numFmtId="0" fontId="38" fillId="42" borderId="30" xfId="0" applyFont="1" applyFill="1" applyBorder="1" applyAlignment="1">
      <alignment/>
    </xf>
    <xf numFmtId="0" fontId="38" fillId="42" borderId="31" xfId="0" applyFont="1" applyFill="1" applyBorder="1" applyAlignment="1">
      <alignment/>
    </xf>
    <xf numFmtId="0" fontId="38" fillId="42" borderId="31" xfId="0" applyFont="1" applyFill="1" applyBorder="1" applyAlignment="1">
      <alignment horizontal="center"/>
    </xf>
    <xf numFmtId="0" fontId="38" fillId="42" borderId="32" xfId="0" applyFont="1" applyFill="1" applyBorder="1" applyAlignment="1">
      <alignment/>
    </xf>
    <xf numFmtId="191" fontId="38" fillId="42" borderId="0" xfId="0" applyNumberFormat="1" applyFont="1" applyFill="1" applyBorder="1" applyAlignment="1">
      <alignment horizontal="center"/>
    </xf>
    <xf numFmtId="5" fontId="38" fillId="42" borderId="28" xfId="0" applyNumberFormat="1" applyFont="1" applyFill="1" applyBorder="1" applyAlignment="1">
      <alignment horizontal="center"/>
    </xf>
    <xf numFmtId="0" fontId="38" fillId="42" borderId="28" xfId="0" applyFont="1" applyFill="1" applyBorder="1" applyAlignment="1">
      <alignment horizontal="center"/>
    </xf>
    <xf numFmtId="184" fontId="38" fillId="42" borderId="28" xfId="0" applyNumberFormat="1" applyFont="1" applyFill="1" applyBorder="1" applyAlignment="1">
      <alignment horizontal="center"/>
    </xf>
    <xf numFmtId="191" fontId="38" fillId="42" borderId="28" xfId="0" applyNumberFormat="1" applyFont="1" applyFill="1" applyBorder="1" applyAlignment="1">
      <alignment horizontal="center"/>
    </xf>
    <xf numFmtId="0" fontId="38" fillId="42" borderId="0" xfId="0" applyFont="1" applyFill="1" applyAlignment="1">
      <alignment horizontal="center" wrapText="1"/>
    </xf>
    <xf numFmtId="0" fontId="38" fillId="42" borderId="24" xfId="0" applyFont="1" applyFill="1" applyBorder="1" applyAlignment="1">
      <alignment/>
    </xf>
    <xf numFmtId="0" fontId="38" fillId="42" borderId="25" xfId="0" applyFont="1" applyFill="1" applyBorder="1" applyAlignment="1">
      <alignment/>
    </xf>
    <xf numFmtId="0" fontId="38" fillId="42" borderId="22" xfId="0" applyFont="1" applyFill="1" applyBorder="1" applyAlignment="1">
      <alignment/>
    </xf>
    <xf numFmtId="0" fontId="38" fillId="42" borderId="0" xfId="0" applyFont="1" applyFill="1" applyBorder="1" applyAlignment="1">
      <alignment/>
    </xf>
    <xf numFmtId="0" fontId="38" fillId="42" borderId="23" xfId="0" applyFont="1" applyFill="1" applyBorder="1" applyAlignment="1">
      <alignment/>
    </xf>
    <xf numFmtId="0" fontId="38" fillId="42" borderId="30" xfId="0" applyFont="1" applyFill="1" applyBorder="1" applyAlignment="1">
      <alignment/>
    </xf>
    <xf numFmtId="0" fontId="38" fillId="42" borderId="31" xfId="0" applyFont="1" applyFill="1" applyBorder="1" applyAlignment="1">
      <alignment/>
    </xf>
    <xf numFmtId="0" fontId="38" fillId="42" borderId="32" xfId="0" applyFont="1" applyFill="1" applyBorder="1" applyAlignment="1">
      <alignment/>
    </xf>
    <xf numFmtId="183" fontId="38" fillId="42" borderId="0" xfId="0" applyNumberFormat="1" applyFont="1" applyFill="1" applyBorder="1" applyAlignment="1">
      <alignment horizontal="center"/>
    </xf>
    <xf numFmtId="0" fontId="38" fillId="42" borderId="27" xfId="0" applyFont="1" applyFill="1" applyBorder="1" applyAlignment="1">
      <alignment/>
    </xf>
    <xf numFmtId="0" fontId="38" fillId="42" borderId="29" xfId="0" applyFont="1" applyFill="1" applyBorder="1" applyAlignment="1">
      <alignment/>
    </xf>
    <xf numFmtId="5" fontId="38" fillId="42" borderId="0" xfId="0" applyNumberFormat="1" applyFont="1" applyFill="1" applyBorder="1" applyAlignment="1">
      <alignment horizontal="center"/>
    </xf>
    <xf numFmtId="0" fontId="38" fillId="43" borderId="0" xfId="0" applyFont="1" applyFill="1" applyAlignment="1">
      <alignment/>
    </xf>
    <xf numFmtId="184" fontId="38" fillId="41" borderId="11" xfId="0" applyNumberFormat="1" applyFont="1" applyFill="1" applyBorder="1" applyAlignment="1" applyProtection="1">
      <alignment horizontal="center"/>
      <protection locked="0"/>
    </xf>
    <xf numFmtId="191" fontId="38" fillId="42" borderId="0" xfId="0" applyNumberFormat="1" applyFont="1" applyFill="1" applyBorder="1" applyAlignment="1">
      <alignment/>
    </xf>
    <xf numFmtId="190" fontId="38" fillId="42" borderId="28" xfId="0" applyNumberFormat="1" applyFont="1" applyFill="1" applyBorder="1" applyAlignment="1">
      <alignment horizontal="center"/>
    </xf>
    <xf numFmtId="184" fontId="38" fillId="42" borderId="28" xfId="0" applyNumberFormat="1" applyFont="1" applyFill="1" applyBorder="1" applyAlignment="1" applyProtection="1">
      <alignment horizontal="center"/>
      <protection locked="0"/>
    </xf>
    <xf numFmtId="191" fontId="38" fillId="42" borderId="28" xfId="0" applyNumberFormat="1" applyFont="1" applyFill="1" applyBorder="1" applyAlignment="1">
      <alignment/>
    </xf>
    <xf numFmtId="184" fontId="38" fillId="42" borderId="0" xfId="0" applyNumberFormat="1" applyFont="1" applyFill="1" applyBorder="1" applyAlignment="1" applyProtection="1">
      <alignment horizontal="center"/>
      <protection locked="0"/>
    </xf>
    <xf numFmtId="190" fontId="38" fillId="42" borderId="24" xfId="0" applyNumberFormat="1" applyFont="1" applyFill="1" applyBorder="1" applyAlignment="1">
      <alignment horizontal="center"/>
    </xf>
    <xf numFmtId="0" fontId="38" fillId="42" borderId="24" xfId="0" applyFont="1" applyFill="1" applyBorder="1" applyAlignment="1">
      <alignment horizontal="center"/>
    </xf>
    <xf numFmtId="184" fontId="38" fillId="42" borderId="24" xfId="0" applyNumberFormat="1" applyFont="1" applyFill="1" applyBorder="1" applyAlignment="1" applyProtection="1">
      <alignment horizontal="center"/>
      <protection locked="0"/>
    </xf>
    <xf numFmtId="191" fontId="38" fillId="42" borderId="24" xfId="0" applyNumberFormat="1" applyFont="1" applyFill="1" applyBorder="1" applyAlignment="1">
      <alignment/>
    </xf>
    <xf numFmtId="190" fontId="38" fillId="41" borderId="11" xfId="0" applyNumberFormat="1" applyFont="1" applyFill="1" applyBorder="1" applyAlignment="1" applyProtection="1">
      <alignment horizontal="center"/>
      <protection locked="0"/>
    </xf>
    <xf numFmtId="190" fontId="38" fillId="42" borderId="0" xfId="0" applyNumberFormat="1" applyFont="1" applyFill="1" applyBorder="1" applyAlignment="1" applyProtection="1">
      <alignment horizontal="center"/>
      <protection locked="0"/>
    </xf>
    <xf numFmtId="0" fontId="38" fillId="44" borderId="0" xfId="0" applyFont="1" applyFill="1" applyAlignment="1">
      <alignment/>
    </xf>
    <xf numFmtId="37" fontId="41" fillId="34" borderId="10" xfId="0" applyNumberFormat="1" applyFont="1" applyFill="1" applyBorder="1" applyAlignment="1" applyProtection="1">
      <alignment horizontal="left" vertical="center"/>
      <protection/>
    </xf>
    <xf numFmtId="0" fontId="41" fillId="34" borderId="10" xfId="0" applyFont="1" applyFill="1" applyBorder="1" applyAlignment="1" applyProtection="1">
      <alignment vertical="center"/>
      <protection locked="0"/>
    </xf>
    <xf numFmtId="37" fontId="42" fillId="34" borderId="10" xfId="0" applyNumberFormat="1" applyFont="1" applyFill="1" applyBorder="1" applyAlignment="1" applyProtection="1">
      <alignment horizontal="left"/>
      <protection/>
    </xf>
    <xf numFmtId="0" fontId="41" fillId="33" borderId="10" xfId="0" applyFont="1" applyFill="1" applyBorder="1" applyAlignment="1" applyProtection="1">
      <alignment horizontal="left"/>
      <protection locked="0"/>
    </xf>
    <xf numFmtId="0" fontId="41" fillId="33" borderId="10" xfId="0" applyFont="1" applyFill="1" applyBorder="1" applyAlignment="1" applyProtection="1">
      <alignment/>
      <protection locked="0"/>
    </xf>
    <xf numFmtId="164" fontId="41" fillId="33" borderId="10" xfId="0" applyNumberFormat="1" applyFont="1" applyFill="1" applyBorder="1" applyAlignment="1" applyProtection="1">
      <alignment/>
      <protection locked="0"/>
    </xf>
    <xf numFmtId="37" fontId="41" fillId="34" borderId="10" xfId="0" applyNumberFormat="1" applyFont="1" applyFill="1" applyBorder="1" applyAlignment="1" applyProtection="1">
      <alignment vertical="center"/>
      <protection/>
    </xf>
    <xf numFmtId="0" fontId="41" fillId="0" borderId="0" xfId="0" applyFont="1" applyAlignment="1">
      <alignment vertical="center"/>
    </xf>
    <xf numFmtId="0" fontId="41" fillId="34" borderId="33" xfId="76" applyFont="1" applyFill="1" applyBorder="1" applyAlignment="1" applyProtection="1">
      <alignment vertical="center"/>
      <protection/>
    </xf>
    <xf numFmtId="0" fontId="41" fillId="34" borderId="0" xfId="76" applyFont="1" applyFill="1" applyBorder="1" applyAlignment="1" applyProtection="1">
      <alignment vertical="center"/>
      <protection/>
    </xf>
    <xf numFmtId="0" fontId="41" fillId="34" borderId="34" xfId="76" applyFont="1" applyFill="1" applyBorder="1" applyAlignment="1" applyProtection="1">
      <alignment vertical="center"/>
      <protection/>
    </xf>
    <xf numFmtId="190" fontId="46" fillId="34" borderId="33" xfId="76" applyNumberFormat="1" applyFont="1" applyFill="1" applyBorder="1" applyAlignment="1" applyProtection="1">
      <alignment horizontal="center" vertical="center"/>
      <protection/>
    </xf>
    <xf numFmtId="0" fontId="46" fillId="34" borderId="0" xfId="76" applyFont="1" applyFill="1" applyBorder="1" applyAlignment="1" applyProtection="1">
      <alignment horizontal="left" vertical="center"/>
      <protection/>
    </xf>
    <xf numFmtId="0" fontId="46" fillId="34" borderId="34" xfId="76" applyFont="1" applyFill="1" applyBorder="1" applyAlignment="1" applyProtection="1">
      <alignment vertical="center"/>
      <protection/>
    </xf>
    <xf numFmtId="0" fontId="44" fillId="0" borderId="0" xfId="0" applyFont="1" applyAlignment="1">
      <alignment vertical="center"/>
    </xf>
    <xf numFmtId="0" fontId="46" fillId="34" borderId="0" xfId="76" applyFont="1" applyFill="1" applyBorder="1" applyAlignment="1" applyProtection="1">
      <alignment vertical="center"/>
      <protection/>
    </xf>
    <xf numFmtId="0" fontId="47" fillId="0" borderId="0" xfId="0" applyFont="1" applyAlignment="1">
      <alignment vertical="center"/>
    </xf>
    <xf numFmtId="190" fontId="46" fillId="34" borderId="35" xfId="76" applyNumberFormat="1" applyFont="1" applyFill="1" applyBorder="1" applyAlignment="1" applyProtection="1">
      <alignment horizontal="center" vertical="center"/>
      <protection/>
    </xf>
    <xf numFmtId="190" fontId="46" fillId="34" borderId="33" xfId="76" applyNumberFormat="1" applyFont="1" applyFill="1" applyBorder="1" applyAlignment="1" applyProtection="1">
      <alignment vertical="center"/>
      <protection/>
    </xf>
    <xf numFmtId="190" fontId="50" fillId="39" borderId="35" xfId="76" applyNumberFormat="1" applyFont="1" applyFill="1" applyBorder="1" applyAlignment="1" applyProtection="1">
      <alignment horizontal="center" vertical="center"/>
      <protection/>
    </xf>
    <xf numFmtId="0" fontId="50" fillId="39" borderId="11" xfId="76" applyFont="1" applyFill="1" applyBorder="1" applyAlignment="1" applyProtection="1">
      <alignment vertical="center"/>
      <protection/>
    </xf>
    <xf numFmtId="0" fontId="46" fillId="39" borderId="13" xfId="76" applyFont="1" applyFill="1" applyBorder="1" applyAlignment="1" applyProtection="1">
      <alignment vertical="center"/>
      <protection/>
    </xf>
    <xf numFmtId="0" fontId="41" fillId="39" borderId="13" xfId="76" applyFont="1" applyFill="1" applyBorder="1" applyAlignment="1" applyProtection="1">
      <alignment vertical="center"/>
      <protection/>
    </xf>
    <xf numFmtId="0" fontId="41" fillId="0" borderId="0" xfId="76" applyFont="1">
      <alignment/>
      <protection/>
    </xf>
    <xf numFmtId="184" fontId="45" fillId="34" borderId="15" xfId="76" applyNumberFormat="1" applyFont="1" applyFill="1" applyBorder="1" applyAlignment="1" applyProtection="1">
      <alignment horizontal="center" vertical="center"/>
      <protection/>
    </xf>
    <xf numFmtId="0" fontId="46" fillId="34" borderId="14" xfId="76" applyFont="1" applyFill="1" applyBorder="1" applyAlignment="1" applyProtection="1">
      <alignment horizontal="left" vertical="center"/>
      <protection/>
    </xf>
    <xf numFmtId="0" fontId="45" fillId="34" borderId="14" xfId="76" applyFont="1" applyFill="1" applyBorder="1" applyAlignment="1" applyProtection="1">
      <alignment horizontal="center" vertical="center"/>
      <protection/>
    </xf>
    <xf numFmtId="0" fontId="41" fillId="34" borderId="12" xfId="76" applyFont="1" applyFill="1" applyBorder="1" applyAlignment="1" applyProtection="1">
      <alignment vertical="center"/>
      <protection/>
    </xf>
    <xf numFmtId="0" fontId="41" fillId="0" borderId="0" xfId="76" applyFont="1" applyFill="1" applyBorder="1" applyAlignment="1" applyProtection="1">
      <alignment vertical="center"/>
      <protection/>
    </xf>
    <xf numFmtId="0" fontId="46" fillId="34" borderId="33" xfId="76" applyFont="1" applyFill="1" applyBorder="1" applyAlignment="1" applyProtection="1">
      <alignment vertical="center"/>
      <protection/>
    </xf>
    <xf numFmtId="190" fontId="46" fillId="34" borderId="34" xfId="76" applyNumberFormat="1" applyFont="1" applyFill="1" applyBorder="1" applyAlignment="1" applyProtection="1">
      <alignment horizontal="center" vertical="center"/>
      <protection/>
    </xf>
    <xf numFmtId="0" fontId="46" fillId="34" borderId="33" xfId="76" applyFont="1" applyFill="1" applyBorder="1" applyAlignment="1" applyProtection="1">
      <alignment horizontal="left" vertical="center"/>
      <protection/>
    </xf>
    <xf numFmtId="190" fontId="46" fillId="33" borderId="10" xfId="76" applyNumberFormat="1" applyFont="1" applyFill="1" applyBorder="1" applyAlignment="1" applyProtection="1">
      <alignment horizontal="center" vertical="center"/>
      <protection locked="0"/>
    </xf>
    <xf numFmtId="0" fontId="50" fillId="34" borderId="13" xfId="76" applyFont="1" applyFill="1" applyBorder="1" applyAlignment="1" applyProtection="1">
      <alignment horizontal="center" vertical="center"/>
      <protection/>
    </xf>
    <xf numFmtId="0" fontId="50" fillId="39" borderId="35" xfId="76" applyFont="1" applyFill="1" applyBorder="1" applyAlignment="1" applyProtection="1">
      <alignment vertical="center"/>
      <protection/>
    </xf>
    <xf numFmtId="0" fontId="41" fillId="39" borderId="11" xfId="76" applyFont="1" applyFill="1" applyBorder="1" applyAlignment="1" applyProtection="1">
      <alignment vertical="center"/>
      <protection/>
    </xf>
    <xf numFmtId="0" fontId="46" fillId="39" borderId="11" xfId="76" applyFont="1" applyFill="1" applyBorder="1" applyAlignment="1" applyProtection="1">
      <alignment vertical="center"/>
      <protection/>
    </xf>
    <xf numFmtId="190" fontId="50" fillId="39" borderId="13" xfId="76" applyNumberFormat="1" applyFont="1" applyFill="1" applyBorder="1" applyAlignment="1" applyProtection="1">
      <alignment horizontal="center" vertical="center"/>
      <protection/>
    </xf>
    <xf numFmtId="37" fontId="41" fillId="42" borderId="0" xfId="0" applyNumberFormat="1" applyFont="1" applyFill="1" applyAlignment="1" applyProtection="1">
      <alignment vertical="center"/>
      <protection/>
    </xf>
    <xf numFmtId="0" fontId="41" fillId="42" borderId="0" xfId="0" applyFont="1" applyFill="1" applyAlignment="1" applyProtection="1">
      <alignment vertical="center"/>
      <protection/>
    </xf>
    <xf numFmtId="0" fontId="41" fillId="42" borderId="0" xfId="0" applyNumberFormat="1" applyFont="1" applyFill="1" applyAlignment="1" applyProtection="1">
      <alignment horizontal="right" vertical="center"/>
      <protection/>
    </xf>
    <xf numFmtId="37" fontId="41" fillId="42" borderId="0" xfId="0" applyNumberFormat="1" applyFont="1" applyFill="1" applyAlignment="1" applyProtection="1">
      <alignment horizontal="right" vertical="center"/>
      <protection/>
    </xf>
    <xf numFmtId="0" fontId="43" fillId="42" borderId="0" xfId="0" applyFont="1" applyFill="1" applyAlignment="1" applyProtection="1">
      <alignment vertical="center"/>
      <protection/>
    </xf>
    <xf numFmtId="0" fontId="41" fillId="42" borderId="0" xfId="0" applyFont="1" applyFill="1" applyAlignment="1" applyProtection="1" quotePrefix="1">
      <alignment horizontal="right" vertical="center"/>
      <protection/>
    </xf>
    <xf numFmtId="0" fontId="41" fillId="42" borderId="0" xfId="0" applyFont="1" applyFill="1" applyAlignment="1" applyProtection="1">
      <alignment horizontal="left" vertical="center"/>
      <protection/>
    </xf>
    <xf numFmtId="1" fontId="42" fillId="42" borderId="36" xfId="0" applyNumberFormat="1" applyFont="1" applyFill="1" applyBorder="1" applyAlignment="1" applyProtection="1">
      <alignment horizontal="center" vertical="center"/>
      <protection/>
    </xf>
    <xf numFmtId="37" fontId="42" fillId="42" borderId="36" xfId="0" applyNumberFormat="1" applyFont="1" applyFill="1" applyBorder="1" applyAlignment="1" applyProtection="1">
      <alignment horizontal="center" vertical="center"/>
      <protection/>
    </xf>
    <xf numFmtId="37" fontId="42" fillId="42" borderId="16" xfId="0" applyNumberFormat="1" applyFont="1" applyFill="1" applyBorder="1" applyAlignment="1" applyProtection="1">
      <alignment horizontal="center" vertical="center"/>
      <protection/>
    </xf>
    <xf numFmtId="37" fontId="43" fillId="42" borderId="0" xfId="0" applyNumberFormat="1" applyFont="1" applyFill="1" applyBorder="1" applyAlignment="1" applyProtection="1">
      <alignment vertical="center"/>
      <protection/>
    </xf>
    <xf numFmtId="0" fontId="41" fillId="42" borderId="35" xfId="0" applyNumberFormat="1" applyFont="1" applyFill="1" applyBorder="1" applyAlignment="1" applyProtection="1">
      <alignment horizontal="center" vertical="center"/>
      <protection/>
    </xf>
    <xf numFmtId="1" fontId="41" fillId="42" borderId="18" xfId="0" applyNumberFormat="1" applyFont="1" applyFill="1" applyBorder="1" applyAlignment="1" applyProtection="1">
      <alignment horizontal="center" vertical="center"/>
      <protection/>
    </xf>
    <xf numFmtId="0" fontId="41" fillId="42" borderId="15" xfId="0" applyFont="1" applyFill="1" applyBorder="1" applyAlignment="1" applyProtection="1">
      <alignment horizontal="left" vertical="center"/>
      <protection/>
    </xf>
    <xf numFmtId="37" fontId="41" fillId="42" borderId="15" xfId="0" applyNumberFormat="1" applyFont="1" applyFill="1" applyBorder="1" applyAlignment="1" applyProtection="1">
      <alignment vertical="center"/>
      <protection/>
    </xf>
    <xf numFmtId="3" fontId="41" fillId="42" borderId="15" xfId="0" applyNumberFormat="1" applyFont="1" applyFill="1" applyBorder="1" applyAlignment="1" applyProtection="1">
      <alignment vertical="center"/>
      <protection/>
    </xf>
    <xf numFmtId="3" fontId="41" fillId="42" borderId="10" xfId="0" applyNumberFormat="1" applyFont="1" applyFill="1" applyBorder="1" applyAlignment="1" applyProtection="1">
      <alignment vertical="center"/>
      <protection/>
    </xf>
    <xf numFmtId="0" fontId="41" fillId="42" borderId="35" xfId="0" applyFont="1" applyFill="1" applyBorder="1" applyAlignment="1" applyProtection="1">
      <alignment horizontal="left" vertical="center"/>
      <protection/>
    </xf>
    <xf numFmtId="0" fontId="42" fillId="42" borderId="15" xfId="0" applyFont="1" applyFill="1" applyBorder="1" applyAlignment="1" applyProtection="1">
      <alignment horizontal="left"/>
      <protection/>
    </xf>
    <xf numFmtId="3" fontId="41" fillId="42" borderId="15" xfId="0" applyNumberFormat="1" applyFont="1" applyFill="1" applyBorder="1" applyAlignment="1" applyProtection="1">
      <alignment vertical="center"/>
      <protection locked="0"/>
    </xf>
    <xf numFmtId="37" fontId="41" fillId="42" borderId="10" xfId="0" applyNumberFormat="1" applyFont="1" applyFill="1" applyBorder="1" applyAlignment="1" applyProtection="1">
      <alignment horizontal="fill" vertical="center"/>
      <protection/>
    </xf>
    <xf numFmtId="37" fontId="41" fillId="42" borderId="10" xfId="0" applyNumberFormat="1" applyFont="1" applyFill="1" applyBorder="1" applyAlignment="1" applyProtection="1">
      <alignment vertical="center"/>
      <protection locked="0"/>
    </xf>
    <xf numFmtId="37" fontId="42" fillId="42" borderId="15" xfId="0" applyNumberFormat="1" applyFont="1" applyFill="1" applyBorder="1" applyAlignment="1" applyProtection="1">
      <alignment/>
      <protection/>
    </xf>
    <xf numFmtId="0" fontId="41" fillId="42" borderId="15" xfId="0" applyFont="1" applyFill="1" applyBorder="1" applyAlignment="1" applyProtection="1">
      <alignment vertical="center"/>
      <protection/>
    </xf>
    <xf numFmtId="37" fontId="43" fillId="42" borderId="15" xfId="0" applyNumberFormat="1" applyFont="1" applyFill="1" applyBorder="1" applyAlignment="1" applyProtection="1">
      <alignment horizontal="left" vertical="center"/>
      <protection/>
    </xf>
    <xf numFmtId="3" fontId="43" fillId="42" borderId="15" xfId="0" applyNumberFormat="1" applyFont="1" applyFill="1" applyBorder="1" applyAlignment="1" applyProtection="1">
      <alignment vertical="center"/>
      <protection/>
    </xf>
    <xf numFmtId="3" fontId="43" fillId="42" borderId="10" xfId="0" applyNumberFormat="1" applyFont="1" applyFill="1" applyBorder="1" applyAlignment="1" applyProtection="1">
      <alignment vertical="center"/>
      <protection/>
    </xf>
    <xf numFmtId="0" fontId="43" fillId="42" borderId="0" xfId="0" applyFont="1" applyFill="1" applyAlignment="1" applyProtection="1">
      <alignment horizontal="left" vertical="center"/>
      <protection/>
    </xf>
    <xf numFmtId="0" fontId="41" fillId="42" borderId="0" xfId="0" applyFont="1" applyFill="1" applyAlignment="1" applyProtection="1">
      <alignment horizontal="fill" vertical="center"/>
      <protection/>
    </xf>
    <xf numFmtId="0" fontId="41" fillId="42" borderId="11" xfId="0" applyFont="1" applyFill="1" applyBorder="1" applyAlignment="1" applyProtection="1">
      <alignment vertical="center"/>
      <protection/>
    </xf>
    <xf numFmtId="3" fontId="41" fillId="42" borderId="10" xfId="0" applyNumberFormat="1" applyFont="1" applyFill="1" applyBorder="1" applyAlignment="1" applyProtection="1">
      <alignment vertical="center"/>
      <protection locked="0"/>
    </xf>
    <xf numFmtId="37" fontId="41" fillId="42" borderId="15" xfId="0" applyNumberFormat="1" applyFont="1" applyFill="1" applyBorder="1" applyAlignment="1" applyProtection="1">
      <alignment horizontal="left" vertical="center"/>
      <protection/>
    </xf>
    <xf numFmtId="0" fontId="41" fillId="42" borderId="0" xfId="0" applyFont="1" applyFill="1" applyAlignment="1" applyProtection="1">
      <alignment horizontal="right" vertical="center"/>
      <protection/>
    </xf>
    <xf numFmtId="3" fontId="41" fillId="42" borderId="10" xfId="0" applyNumberFormat="1" applyFont="1" applyFill="1" applyBorder="1" applyAlignment="1" applyProtection="1">
      <alignment horizontal="center" vertical="center"/>
      <protection/>
    </xf>
    <xf numFmtId="0" fontId="102" fillId="42" borderId="0" xfId="0" applyFont="1" applyFill="1" applyAlignment="1" applyProtection="1">
      <alignment horizontal="center" vertical="center"/>
      <protection/>
    </xf>
    <xf numFmtId="0" fontId="49" fillId="42" borderId="0" xfId="0" applyFont="1" applyFill="1" applyAlignment="1" applyProtection="1">
      <alignment horizontal="center" vertical="center"/>
      <protection/>
    </xf>
    <xf numFmtId="0" fontId="41" fillId="42" borderId="0" xfId="88" applyFont="1" applyFill="1" applyAlignment="1" applyProtection="1">
      <alignment horizontal="right" vertical="center"/>
      <protection/>
    </xf>
    <xf numFmtId="184" fontId="41" fillId="42" borderId="0" xfId="0" applyNumberFormat="1" applyFont="1" applyFill="1" applyAlignment="1">
      <alignment horizontal="center" vertical="center"/>
    </xf>
    <xf numFmtId="0" fontId="41" fillId="45" borderId="15" xfId="0" applyFont="1" applyFill="1" applyBorder="1" applyAlignment="1" applyProtection="1">
      <alignment vertical="center"/>
      <protection/>
    </xf>
    <xf numFmtId="3" fontId="44" fillId="45" borderId="15" xfId="0" applyNumberFormat="1" applyFont="1" applyFill="1" applyBorder="1" applyAlignment="1" applyProtection="1">
      <alignment horizontal="center" vertical="center"/>
      <protection/>
    </xf>
    <xf numFmtId="3" fontId="44" fillId="45" borderId="10" xfId="0" applyNumberFormat="1" applyFont="1" applyFill="1" applyBorder="1" applyAlignment="1" applyProtection="1">
      <alignment horizontal="center" vertical="center"/>
      <protection/>
    </xf>
    <xf numFmtId="3" fontId="41" fillId="45" borderId="10" xfId="0" applyNumberFormat="1" applyFont="1" applyFill="1" applyBorder="1" applyAlignment="1" applyProtection="1">
      <alignment vertical="center"/>
      <protection/>
    </xf>
    <xf numFmtId="0" fontId="41" fillId="42" borderId="0" xfId="0" applyFont="1" applyFill="1" applyAlignment="1" applyProtection="1">
      <alignment horizontal="center" vertical="center"/>
      <protection/>
    </xf>
    <xf numFmtId="37" fontId="42" fillId="34" borderId="15" xfId="0" applyNumberFormat="1" applyFont="1" applyFill="1" applyBorder="1" applyAlignment="1" applyProtection="1">
      <alignment horizontal="left"/>
      <protection/>
    </xf>
    <xf numFmtId="0" fontId="41" fillId="0" borderId="0" xfId="0" applyFont="1" applyAlignment="1" applyProtection="1">
      <alignment vertical="center"/>
      <protection locked="0"/>
    </xf>
    <xf numFmtId="37" fontId="41" fillId="34" borderId="0" xfId="0" applyNumberFormat="1" applyFont="1" applyFill="1" applyAlignment="1" applyProtection="1">
      <alignment horizontal="left" vertical="center"/>
      <protection/>
    </xf>
    <xf numFmtId="190" fontId="53" fillId="34" borderId="33" xfId="76" applyNumberFormat="1" applyFont="1" applyFill="1" applyBorder="1" applyAlignment="1" applyProtection="1">
      <alignment horizontal="center" vertical="center"/>
      <protection/>
    </xf>
    <xf numFmtId="0" fontId="53" fillId="34" borderId="0" xfId="76" applyFont="1" applyFill="1" applyBorder="1" applyAlignment="1" applyProtection="1">
      <alignment horizontal="left" vertical="center"/>
      <protection/>
    </xf>
    <xf numFmtId="0" fontId="44" fillId="0" borderId="0" xfId="0" applyFont="1" applyAlignment="1" applyProtection="1">
      <alignment vertical="center"/>
      <protection/>
    </xf>
    <xf numFmtId="0" fontId="53" fillId="34" borderId="0" xfId="76" applyFont="1" applyFill="1" applyBorder="1" applyAlignment="1" applyProtection="1">
      <alignment vertical="center"/>
      <protection/>
    </xf>
    <xf numFmtId="3" fontId="41" fillId="33" borderId="10" xfId="0" applyNumberFormat="1" applyFont="1" applyFill="1" applyBorder="1" applyAlignment="1" applyProtection="1">
      <alignment vertical="center"/>
      <protection locked="0"/>
    </xf>
    <xf numFmtId="0" fontId="47" fillId="0" borderId="0" xfId="0" applyFont="1" applyAlignment="1" applyProtection="1">
      <alignment vertical="center"/>
      <protection/>
    </xf>
    <xf numFmtId="190" fontId="53" fillId="34" borderId="35" xfId="76" applyNumberFormat="1" applyFont="1" applyFill="1" applyBorder="1" applyAlignment="1" applyProtection="1">
      <alignment horizontal="center" vertical="center"/>
      <protection/>
    </xf>
    <xf numFmtId="3" fontId="41" fillId="38" borderId="10" xfId="0" applyNumberFormat="1" applyFont="1" applyFill="1" applyBorder="1" applyAlignment="1" applyProtection="1">
      <alignment vertical="center"/>
      <protection/>
    </xf>
    <xf numFmtId="190" fontId="53" fillId="34" borderId="33" xfId="76" applyNumberFormat="1" applyFont="1" applyFill="1" applyBorder="1" applyAlignment="1" applyProtection="1">
      <alignment vertical="center"/>
      <protection/>
    </xf>
    <xf numFmtId="190" fontId="53" fillId="39" borderId="35" xfId="76" applyNumberFormat="1" applyFont="1" applyFill="1" applyBorder="1" applyAlignment="1" applyProtection="1">
      <alignment horizontal="center" vertical="center"/>
      <protection/>
    </xf>
    <xf numFmtId="0" fontId="53" fillId="39" borderId="11" xfId="76" applyFont="1" applyFill="1" applyBorder="1" applyAlignment="1" applyProtection="1">
      <alignment vertical="center"/>
      <protection/>
    </xf>
    <xf numFmtId="1" fontId="41" fillId="42" borderId="0" xfId="0" applyNumberFormat="1" applyFont="1" applyFill="1" applyBorder="1" applyAlignment="1" applyProtection="1">
      <alignment horizontal="right" vertical="center"/>
      <protection/>
    </xf>
    <xf numFmtId="166" fontId="41" fillId="42" borderId="0" xfId="0" applyNumberFormat="1" applyFont="1" applyFill="1" applyAlignment="1" applyProtection="1">
      <alignment vertical="center"/>
      <protection/>
    </xf>
    <xf numFmtId="37" fontId="41" fillId="42" borderId="0" xfId="0" applyNumberFormat="1" applyFont="1" applyFill="1" applyAlignment="1" applyProtection="1" quotePrefix="1">
      <alignment horizontal="right" vertical="center"/>
      <protection/>
    </xf>
    <xf numFmtId="37" fontId="41" fillId="42" borderId="0" xfId="0" applyNumberFormat="1" applyFont="1" applyFill="1" applyAlignment="1" applyProtection="1">
      <alignment horizontal="fill" vertical="center"/>
      <protection/>
    </xf>
    <xf numFmtId="37" fontId="41" fillId="42" borderId="0" xfId="0" applyNumberFormat="1" applyFont="1" applyFill="1" applyAlignment="1" applyProtection="1">
      <alignment horizontal="left" vertical="center"/>
      <protection/>
    </xf>
    <xf numFmtId="3" fontId="41" fillId="42" borderId="15" xfId="0" applyNumberFormat="1" applyFont="1" applyFill="1" applyBorder="1" applyAlignment="1" applyProtection="1">
      <alignment horizontal="right" vertical="center"/>
      <protection locked="0"/>
    </xf>
    <xf numFmtId="3" fontId="41" fillId="42" borderId="15" xfId="42" applyNumberFormat="1" applyFont="1" applyFill="1" applyBorder="1" applyAlignment="1" applyProtection="1">
      <alignment horizontal="right" vertical="center"/>
      <protection/>
    </xf>
    <xf numFmtId="3" fontId="41" fillId="42" borderId="10" xfId="42" applyNumberFormat="1" applyFont="1" applyFill="1" applyBorder="1" applyAlignment="1" applyProtection="1">
      <alignment horizontal="right" vertical="center"/>
      <protection/>
    </xf>
    <xf numFmtId="37" fontId="41" fillId="42" borderId="35" xfId="0" applyNumberFormat="1" applyFont="1" applyFill="1" applyBorder="1" applyAlignment="1" applyProtection="1">
      <alignment horizontal="left" vertical="center"/>
      <protection/>
    </xf>
    <xf numFmtId="3" fontId="41" fillId="42" borderId="15" xfId="0" applyNumberFormat="1" applyFont="1" applyFill="1" applyBorder="1" applyAlignment="1" applyProtection="1">
      <alignment horizontal="right" vertical="center"/>
      <protection/>
    </xf>
    <xf numFmtId="37" fontId="42" fillId="42" borderId="15" xfId="0" applyNumberFormat="1" applyFont="1" applyFill="1" applyBorder="1" applyAlignment="1" applyProtection="1">
      <alignment horizontal="left"/>
      <protection/>
    </xf>
    <xf numFmtId="3" fontId="41" fillId="42" borderId="10" xfId="0" applyNumberFormat="1" applyFont="1" applyFill="1" applyBorder="1" applyAlignment="1" applyProtection="1">
      <alignment horizontal="fill" vertical="center"/>
      <protection/>
    </xf>
    <xf numFmtId="3" fontId="41" fillId="42" borderId="10" xfId="0" applyNumberFormat="1" applyFont="1" applyFill="1" applyBorder="1" applyAlignment="1" applyProtection="1">
      <alignment horizontal="right" vertical="center"/>
      <protection locked="0"/>
    </xf>
    <xf numFmtId="3" fontId="41" fillId="42" borderId="10" xfId="0" applyNumberFormat="1" applyFont="1" applyFill="1" applyBorder="1" applyAlignment="1" applyProtection="1">
      <alignment horizontal="right" vertical="center"/>
      <protection/>
    </xf>
    <xf numFmtId="3" fontId="43" fillId="42" borderId="35" xfId="0" applyNumberFormat="1" applyFont="1" applyFill="1" applyBorder="1" applyAlignment="1" applyProtection="1">
      <alignment horizontal="right" vertical="center"/>
      <protection/>
    </xf>
    <xf numFmtId="3" fontId="43" fillId="42" borderId="15" xfId="0" applyNumberFormat="1" applyFont="1" applyFill="1" applyBorder="1" applyAlignment="1" applyProtection="1">
      <alignment horizontal="right" vertical="center"/>
      <protection/>
    </xf>
    <xf numFmtId="3" fontId="43" fillId="42" borderId="18" xfId="0" applyNumberFormat="1" applyFont="1" applyFill="1" applyBorder="1" applyAlignment="1" applyProtection="1">
      <alignment horizontal="right" vertical="center"/>
      <protection/>
    </xf>
    <xf numFmtId="3" fontId="43" fillId="42" borderId="10" xfId="0" applyNumberFormat="1" applyFont="1" applyFill="1" applyBorder="1" applyAlignment="1" applyProtection="1">
      <alignment horizontal="right" vertical="center"/>
      <protection/>
    </xf>
    <xf numFmtId="37" fontId="41" fillId="34" borderId="10" xfId="0" applyNumberFormat="1" applyFont="1" applyFill="1" applyBorder="1" applyAlignment="1" applyProtection="1">
      <alignment horizontal="left"/>
      <protection/>
    </xf>
    <xf numFmtId="0" fontId="41" fillId="33" borderId="11" xfId="0" applyFont="1" applyFill="1" applyBorder="1" applyAlignment="1" applyProtection="1">
      <alignment vertical="center"/>
      <protection locked="0"/>
    </xf>
    <xf numFmtId="0" fontId="41" fillId="33" borderId="11" xfId="0" applyFont="1" applyFill="1" applyBorder="1" applyAlignment="1" applyProtection="1">
      <alignment vertical="center"/>
      <protection/>
    </xf>
    <xf numFmtId="37" fontId="41" fillId="33" borderId="11" xfId="0" applyNumberFormat="1" applyFont="1" applyFill="1" applyBorder="1" applyAlignment="1" applyProtection="1">
      <alignment horizontal="left" vertical="center"/>
      <protection locked="0"/>
    </xf>
    <xf numFmtId="0" fontId="41" fillId="34" borderId="0" xfId="0" applyFont="1" applyFill="1" applyBorder="1" applyAlignment="1" applyProtection="1">
      <alignment vertical="center"/>
      <protection/>
    </xf>
    <xf numFmtId="37" fontId="41" fillId="34" borderId="0" xfId="0" applyNumberFormat="1" applyFont="1" applyFill="1" applyBorder="1" applyAlignment="1" applyProtection="1">
      <alignment horizontal="left" vertical="center"/>
      <protection locked="0"/>
    </xf>
    <xf numFmtId="0" fontId="43" fillId="33" borderId="10" xfId="0" applyFont="1" applyFill="1" applyBorder="1" applyAlignment="1" applyProtection="1">
      <alignment horizontal="center" vertical="center"/>
      <protection locked="0"/>
    </xf>
    <xf numFmtId="0" fontId="43" fillId="34" borderId="0" xfId="0" applyFont="1" applyFill="1" applyBorder="1" applyAlignment="1" applyProtection="1">
      <alignment horizontal="center" vertical="center"/>
      <protection locked="0"/>
    </xf>
    <xf numFmtId="37" fontId="43" fillId="34" borderId="0" xfId="0" applyNumberFormat="1" applyFont="1" applyFill="1" applyAlignment="1" applyProtection="1">
      <alignment horizontal="centerContinuous" vertical="center"/>
      <protection/>
    </xf>
    <xf numFmtId="0" fontId="41" fillId="34" borderId="0" xfId="0" applyFont="1" applyFill="1" applyAlignment="1" applyProtection="1">
      <alignment horizontal="centerContinuous" vertical="center"/>
      <protection/>
    </xf>
    <xf numFmtId="0" fontId="43" fillId="35" borderId="0" xfId="0" applyFont="1" applyFill="1" applyAlignment="1" applyProtection="1">
      <alignment vertical="center"/>
      <protection/>
    </xf>
    <xf numFmtId="0" fontId="41" fillId="35" borderId="0" xfId="0" applyFont="1" applyFill="1" applyAlignment="1" applyProtection="1">
      <alignment vertical="center"/>
      <protection/>
    </xf>
    <xf numFmtId="37" fontId="43" fillId="35" borderId="0" xfId="0" applyNumberFormat="1" applyFont="1" applyFill="1" applyAlignment="1" applyProtection="1">
      <alignment horizontal="left" vertical="center"/>
      <protection/>
    </xf>
    <xf numFmtId="0" fontId="41" fillId="35" borderId="16" xfId="0" applyFont="1" applyFill="1" applyBorder="1" applyAlignment="1" applyProtection="1">
      <alignment horizontal="center" vertical="center"/>
      <protection/>
    </xf>
    <xf numFmtId="37" fontId="41" fillId="35" borderId="16" xfId="0" applyNumberFormat="1" applyFont="1" applyFill="1" applyBorder="1" applyAlignment="1" applyProtection="1">
      <alignment horizontal="center" vertical="center"/>
      <protection/>
    </xf>
    <xf numFmtId="0" fontId="41" fillId="35" borderId="16" xfId="0" applyNumberFormat="1" applyFont="1" applyFill="1" applyBorder="1" applyAlignment="1" applyProtection="1">
      <alignment horizontal="center" vertical="center"/>
      <protection/>
    </xf>
    <xf numFmtId="37" fontId="41" fillId="34" borderId="0" xfId="0" applyNumberFormat="1" applyFont="1" applyFill="1" applyAlignment="1" applyProtection="1">
      <alignment horizontal="center" vertical="center"/>
      <protection/>
    </xf>
    <xf numFmtId="37" fontId="41" fillId="35" borderId="18" xfId="0" applyNumberFormat="1" applyFont="1" applyFill="1" applyBorder="1" applyAlignment="1" applyProtection="1">
      <alignment horizontal="center" vertical="center"/>
      <protection/>
    </xf>
    <xf numFmtId="3" fontId="41" fillId="33" borderId="10" xfId="0" applyNumberFormat="1" applyFont="1" applyFill="1" applyBorder="1" applyAlignment="1" applyProtection="1">
      <alignment vertical="center"/>
      <protection locked="0"/>
    </xf>
    <xf numFmtId="3" fontId="41" fillId="33" borderId="10" xfId="0" applyNumberFormat="1" applyFont="1" applyFill="1" applyBorder="1" applyAlignment="1" applyProtection="1">
      <alignment vertical="center" wrapText="1"/>
      <protection locked="0"/>
    </xf>
    <xf numFmtId="164" fontId="41" fillId="33" borderId="10" xfId="0" applyNumberFormat="1" applyFont="1" applyFill="1" applyBorder="1" applyAlignment="1" applyProtection="1">
      <alignment vertical="center"/>
      <protection locked="0"/>
    </xf>
    <xf numFmtId="164" fontId="41" fillId="33" borderId="10" xfId="0" applyNumberFormat="1" applyFont="1" applyFill="1" applyBorder="1" applyAlignment="1" applyProtection="1">
      <alignment vertical="center"/>
      <protection locked="0"/>
    </xf>
    <xf numFmtId="0" fontId="41" fillId="33" borderId="10" xfId="0" applyFont="1" applyFill="1" applyBorder="1" applyAlignment="1" applyProtection="1">
      <alignment horizontal="left" vertical="center"/>
      <protection locked="0"/>
    </xf>
    <xf numFmtId="49" fontId="41" fillId="33" borderId="10" xfId="0" applyNumberFormat="1" applyFont="1" applyFill="1" applyBorder="1" applyAlignment="1" applyProtection="1">
      <alignment horizontal="center" vertical="center"/>
      <protection locked="0"/>
    </xf>
    <xf numFmtId="183" fontId="41" fillId="0" borderId="0" xfId="0" applyNumberFormat="1" applyFont="1" applyAlignment="1">
      <alignment vertical="center"/>
    </xf>
    <xf numFmtId="37" fontId="41" fillId="34" borderId="11" xfId="0" applyNumberFormat="1" applyFont="1" applyFill="1" applyBorder="1" applyAlignment="1" applyProtection="1">
      <alignment horizontal="left" vertical="center"/>
      <protection/>
    </xf>
    <xf numFmtId="0" fontId="41" fillId="34" borderId="12" xfId="0" applyFont="1" applyFill="1" applyBorder="1" applyAlignment="1" applyProtection="1">
      <alignment vertical="center"/>
      <protection/>
    </xf>
    <xf numFmtId="3" fontId="41" fillId="38" borderId="12" xfId="0" applyNumberFormat="1" applyFont="1" applyFill="1" applyBorder="1" applyAlignment="1" applyProtection="1">
      <alignment vertical="center"/>
      <protection/>
    </xf>
    <xf numFmtId="164" fontId="41" fillId="38" borderId="10" xfId="0" applyNumberFormat="1" applyFont="1" applyFill="1" applyBorder="1" applyAlignment="1" applyProtection="1">
      <alignment vertical="center"/>
      <protection/>
    </xf>
    <xf numFmtId="164" fontId="41" fillId="34" borderId="11" xfId="0" applyNumberFormat="1" applyFont="1" applyFill="1" applyBorder="1" applyAlignment="1" applyProtection="1">
      <alignment vertical="center"/>
      <protection locked="0"/>
    </xf>
    <xf numFmtId="0" fontId="41" fillId="34" borderId="13" xfId="0" applyFont="1" applyFill="1" applyBorder="1" applyAlignment="1" applyProtection="1">
      <alignment vertical="center"/>
      <protection/>
    </xf>
    <xf numFmtId="37" fontId="41" fillId="34" borderId="0" xfId="0" applyNumberFormat="1" applyFont="1" applyFill="1" applyBorder="1" applyAlignment="1" applyProtection="1">
      <alignment horizontal="left" vertical="center"/>
      <protection/>
    </xf>
    <xf numFmtId="164" fontId="41" fillId="34" borderId="0" xfId="0" applyNumberFormat="1" applyFont="1" applyFill="1" applyBorder="1" applyAlignment="1" applyProtection="1">
      <alignment vertical="center"/>
      <protection locked="0"/>
    </xf>
    <xf numFmtId="3" fontId="41" fillId="34" borderId="0" xfId="0" applyNumberFormat="1" applyFont="1" applyFill="1" applyBorder="1" applyAlignment="1" applyProtection="1">
      <alignment vertical="center"/>
      <protection/>
    </xf>
    <xf numFmtId="37" fontId="43" fillId="37" borderId="0" xfId="0" applyNumberFormat="1" applyFont="1" applyFill="1" applyAlignment="1" applyProtection="1">
      <alignment horizontal="left" vertical="center"/>
      <protection/>
    </xf>
    <xf numFmtId="0" fontId="41" fillId="34" borderId="0" xfId="0" applyFont="1" applyFill="1" applyAlignment="1">
      <alignment vertical="center"/>
    </xf>
    <xf numFmtId="0" fontId="41" fillId="37" borderId="0" xfId="0" applyFont="1" applyFill="1" applyAlignment="1" applyProtection="1">
      <alignment vertical="center"/>
      <protection/>
    </xf>
    <xf numFmtId="37" fontId="41" fillId="35" borderId="11" xfId="0" applyNumberFormat="1" applyFont="1" applyFill="1" applyBorder="1" applyAlignment="1" applyProtection="1">
      <alignment horizontal="left" vertical="center"/>
      <protection/>
    </xf>
    <xf numFmtId="0" fontId="41" fillId="35" borderId="11" xfId="0" applyFont="1" applyFill="1" applyBorder="1" applyAlignment="1" applyProtection="1">
      <alignment vertical="center"/>
      <protection/>
    </xf>
    <xf numFmtId="37" fontId="41" fillId="35" borderId="14" xfId="0" applyNumberFormat="1" applyFont="1" applyFill="1" applyBorder="1" applyAlignment="1" applyProtection="1">
      <alignment horizontal="left" vertical="center"/>
      <protection/>
    </xf>
    <xf numFmtId="0" fontId="41" fillId="35" borderId="14" xfId="0" applyFont="1" applyFill="1" applyBorder="1" applyAlignment="1" applyProtection="1">
      <alignment vertical="center"/>
      <protection/>
    </xf>
    <xf numFmtId="0" fontId="41" fillId="34" borderId="14" xfId="0" applyFont="1" applyFill="1" applyBorder="1" applyAlignment="1" applyProtection="1">
      <alignment vertical="center"/>
      <protection/>
    </xf>
    <xf numFmtId="3" fontId="41" fillId="34" borderId="0" xfId="0" applyNumberFormat="1" applyFont="1" applyFill="1" applyBorder="1" applyAlignment="1" applyProtection="1">
      <alignment vertical="center"/>
      <protection locked="0"/>
    </xf>
    <xf numFmtId="37" fontId="52" fillId="37" borderId="0" xfId="0" applyNumberFormat="1" applyFont="1" applyFill="1" applyAlignment="1" applyProtection="1">
      <alignment horizontal="left" vertical="center"/>
      <protection/>
    </xf>
    <xf numFmtId="0" fontId="54" fillId="35" borderId="0" xfId="0" applyFont="1" applyFill="1" applyAlignment="1">
      <alignment vertical="center"/>
    </xf>
    <xf numFmtId="0" fontId="41" fillId="37" borderId="0" xfId="0" applyFont="1" applyFill="1" applyAlignment="1" applyProtection="1">
      <alignment vertical="center"/>
      <protection locked="0"/>
    </xf>
    <xf numFmtId="0" fontId="41" fillId="34" borderId="0" xfId="0" applyFont="1" applyFill="1" applyAlignment="1" applyProtection="1">
      <alignment vertical="center"/>
      <protection locked="0"/>
    </xf>
    <xf numFmtId="0" fontId="41" fillId="34" borderId="11" xfId="0" applyFont="1" applyFill="1" applyBorder="1" applyAlignment="1" applyProtection="1">
      <alignment horizontal="center" vertical="center"/>
      <protection/>
    </xf>
    <xf numFmtId="0" fontId="41" fillId="34" borderId="11" xfId="0" applyFont="1" applyFill="1" applyBorder="1" applyAlignment="1" applyProtection="1">
      <alignment horizontal="center" vertical="center"/>
      <protection locked="0"/>
    </xf>
    <xf numFmtId="0" fontId="41" fillId="37" borderId="11" xfId="0" applyFont="1" applyFill="1" applyBorder="1" applyAlignment="1" applyProtection="1">
      <alignment vertical="center"/>
      <protection locked="0"/>
    </xf>
    <xf numFmtId="0" fontId="41" fillId="34" borderId="0" xfId="0" applyFont="1" applyFill="1" applyBorder="1" applyAlignment="1" applyProtection="1">
      <alignment vertical="center"/>
      <protection locked="0"/>
    </xf>
    <xf numFmtId="0" fontId="41" fillId="37" borderId="14" xfId="0" applyFont="1" applyFill="1" applyBorder="1" applyAlignment="1" applyProtection="1">
      <alignment vertical="center"/>
      <protection locked="0"/>
    </xf>
    <xf numFmtId="0" fontId="42" fillId="34" borderId="15" xfId="0" applyFont="1" applyFill="1" applyBorder="1" applyAlignment="1" applyProtection="1">
      <alignment/>
      <protection/>
    </xf>
    <xf numFmtId="0" fontId="42" fillId="42" borderId="15" xfId="0" applyFont="1" applyFill="1" applyBorder="1" applyAlignment="1" applyProtection="1">
      <alignment/>
      <protection/>
    </xf>
    <xf numFmtId="0" fontId="42" fillId="34" borderId="0" xfId="0" applyFont="1" applyFill="1" applyAlignment="1" applyProtection="1">
      <alignment vertical="center"/>
      <protection/>
    </xf>
    <xf numFmtId="0" fontId="42" fillId="34" borderId="0" xfId="0" applyNumberFormat="1" applyFont="1" applyFill="1" applyAlignment="1" applyProtection="1">
      <alignment horizontal="right" vertical="center"/>
      <protection/>
    </xf>
    <xf numFmtId="0" fontId="42" fillId="0" borderId="0" xfId="0" applyFont="1" applyAlignment="1">
      <alignment vertical="center"/>
    </xf>
    <xf numFmtId="0" fontId="42" fillId="0" borderId="0" xfId="0" applyFont="1" applyAlignment="1">
      <alignment horizontal="centerContinuous" vertical="center"/>
    </xf>
    <xf numFmtId="37" fontId="55" fillId="34" borderId="0" xfId="0" applyNumberFormat="1" applyFont="1" applyFill="1" applyAlignment="1" applyProtection="1">
      <alignment horizontal="centerContinuous" vertical="center"/>
      <protection/>
    </xf>
    <xf numFmtId="0" fontId="42" fillId="34" borderId="0" xfId="0" applyFont="1" applyFill="1" applyAlignment="1" applyProtection="1">
      <alignment horizontal="centerContinuous" vertical="center"/>
      <protection/>
    </xf>
    <xf numFmtId="37" fontId="42" fillId="34" borderId="0" xfId="0" applyNumberFormat="1" applyFont="1" applyFill="1" applyAlignment="1" applyProtection="1">
      <alignment horizontal="centerContinuous" vertical="center"/>
      <protection/>
    </xf>
    <xf numFmtId="0" fontId="42" fillId="0" borderId="0" xfId="0" applyFont="1" applyAlignment="1" applyProtection="1">
      <alignment vertical="center"/>
      <protection locked="0"/>
    </xf>
    <xf numFmtId="0" fontId="42" fillId="34" borderId="16" xfId="0" applyFont="1" applyFill="1" applyBorder="1" applyAlignment="1" applyProtection="1">
      <alignment horizontal="centerContinuous" vertical="center"/>
      <protection/>
    </xf>
    <xf numFmtId="0" fontId="42" fillId="34" borderId="12" xfId="0" applyFont="1" applyFill="1" applyBorder="1" applyAlignment="1" applyProtection="1">
      <alignment horizontal="centerContinuous" vertical="center"/>
      <protection/>
    </xf>
    <xf numFmtId="1" fontId="42" fillId="34" borderId="15" xfId="0" applyNumberFormat="1" applyFont="1" applyFill="1" applyBorder="1" applyAlignment="1" applyProtection="1">
      <alignment horizontal="centerContinuous" vertical="center"/>
      <protection/>
    </xf>
    <xf numFmtId="37" fontId="42" fillId="34" borderId="15" xfId="0" applyNumberFormat="1" applyFont="1" applyFill="1" applyBorder="1" applyAlignment="1" applyProtection="1">
      <alignment horizontal="centerContinuous" vertical="center"/>
      <protection/>
    </xf>
    <xf numFmtId="0" fontId="42" fillId="34" borderId="14" xfId="0" applyFont="1" applyFill="1" applyBorder="1" applyAlignment="1" applyProtection="1">
      <alignment horizontal="centerContinuous" vertical="center"/>
      <protection/>
    </xf>
    <xf numFmtId="37" fontId="42" fillId="34" borderId="0" xfId="0" applyNumberFormat="1" applyFont="1" applyFill="1" applyAlignment="1" applyProtection="1">
      <alignment horizontal="left" vertical="center"/>
      <protection/>
    </xf>
    <xf numFmtId="1" fontId="42" fillId="34" borderId="16" xfId="0" applyNumberFormat="1" applyFont="1" applyFill="1" applyBorder="1" applyAlignment="1" applyProtection="1">
      <alignment horizontal="center" vertical="center"/>
      <protection/>
    </xf>
    <xf numFmtId="37" fontId="42" fillId="34" borderId="16" xfId="76" applyNumberFormat="1" applyFont="1" applyFill="1" applyBorder="1" applyAlignment="1" applyProtection="1">
      <alignment horizontal="center"/>
      <protection/>
    </xf>
    <xf numFmtId="37" fontId="42" fillId="34" borderId="11" xfId="0" applyNumberFormat="1" applyFont="1" applyFill="1" applyBorder="1" applyAlignment="1" applyProtection="1">
      <alignment horizontal="left" vertical="center"/>
      <protection/>
    </xf>
    <xf numFmtId="0" fontId="42" fillId="34" borderId="18" xfId="0" applyFont="1" applyFill="1" applyBorder="1" applyAlignment="1" applyProtection="1">
      <alignment horizontal="center" vertical="center"/>
      <protection/>
    </xf>
    <xf numFmtId="37" fontId="42" fillId="34" borderId="18" xfId="76" applyNumberFormat="1" applyFont="1" applyFill="1" applyBorder="1" applyAlignment="1" applyProtection="1">
      <alignment horizontal="center"/>
      <protection/>
    </xf>
    <xf numFmtId="37" fontId="42" fillId="34" borderId="10" xfId="0" applyNumberFormat="1" applyFont="1" applyFill="1" applyBorder="1" applyAlignment="1" applyProtection="1">
      <alignment vertical="center"/>
      <protection/>
    </xf>
    <xf numFmtId="164" fontId="42" fillId="34" borderId="10" xfId="0" applyNumberFormat="1" applyFont="1" applyFill="1" applyBorder="1" applyAlignment="1" applyProtection="1">
      <alignment vertical="center"/>
      <protection/>
    </xf>
    <xf numFmtId="0" fontId="42" fillId="34" borderId="10" xfId="0" applyFont="1" applyFill="1" applyBorder="1" applyAlignment="1" applyProtection="1">
      <alignment vertical="center"/>
      <protection/>
    </xf>
    <xf numFmtId="0" fontId="42" fillId="34" borderId="10" xfId="0" applyFont="1" applyFill="1" applyBorder="1" applyAlignment="1" applyProtection="1">
      <alignment vertical="center"/>
      <protection locked="0"/>
    </xf>
    <xf numFmtId="0" fontId="42" fillId="45" borderId="0" xfId="85" applyFont="1" applyFill="1" applyBorder="1" applyProtection="1">
      <alignment/>
      <protection/>
    </xf>
    <xf numFmtId="0" fontId="42" fillId="42" borderId="34" xfId="85" applyFont="1" applyFill="1" applyBorder="1" applyProtection="1">
      <alignment/>
      <protection/>
    </xf>
    <xf numFmtId="190" fontId="42" fillId="45" borderId="34" xfId="85" applyNumberFormat="1" applyFont="1" applyFill="1" applyBorder="1" applyAlignment="1" applyProtection="1">
      <alignment horizontal="center"/>
      <protection/>
    </xf>
    <xf numFmtId="37" fontId="42" fillId="34" borderId="10" xfId="0" applyNumberFormat="1" applyFont="1" applyFill="1" applyBorder="1" applyAlignment="1" applyProtection="1">
      <alignment horizontal="left" vertical="center"/>
      <protection/>
    </xf>
    <xf numFmtId="37" fontId="42" fillId="34" borderId="18" xfId="0" applyNumberFormat="1" applyFont="1" applyFill="1" applyBorder="1" applyAlignment="1" applyProtection="1">
      <alignment vertical="center"/>
      <protection/>
    </xf>
    <xf numFmtId="164" fontId="42" fillId="34" borderId="18" xfId="0" applyNumberFormat="1" applyFont="1" applyFill="1" applyBorder="1" applyAlignment="1" applyProtection="1">
      <alignment vertical="center"/>
      <protection/>
    </xf>
    <xf numFmtId="37" fontId="42" fillId="34" borderId="10" xfId="0" applyNumberFormat="1" applyFont="1" applyFill="1" applyBorder="1" applyAlignment="1" applyProtection="1">
      <alignment vertical="center"/>
      <protection locked="0"/>
    </xf>
    <xf numFmtId="1" fontId="42" fillId="34" borderId="0" xfId="0" applyNumberFormat="1" applyFont="1" applyFill="1" applyAlignment="1" applyProtection="1">
      <alignment vertical="center"/>
      <protection/>
    </xf>
    <xf numFmtId="166" fontId="42" fillId="34" borderId="0" xfId="0" applyNumberFormat="1" applyFont="1" applyFill="1" applyAlignment="1" applyProtection="1">
      <alignment vertical="center"/>
      <protection/>
    </xf>
    <xf numFmtId="0" fontId="42" fillId="34" borderId="0" xfId="0" applyFont="1" applyFill="1" applyAlignment="1">
      <alignment vertical="center"/>
    </xf>
    <xf numFmtId="0" fontId="42" fillId="42" borderId="33" xfId="85" applyFont="1" applyFill="1" applyBorder="1" applyProtection="1">
      <alignment/>
      <protection/>
    </xf>
    <xf numFmtId="0" fontId="42" fillId="42" borderId="0" xfId="85" applyFont="1" applyFill="1" applyBorder="1" applyProtection="1">
      <alignment/>
      <protection/>
    </xf>
    <xf numFmtId="37" fontId="42" fillId="34" borderId="19" xfId="0" applyNumberFormat="1" applyFont="1" applyFill="1" applyBorder="1" applyAlignment="1" applyProtection="1">
      <alignment vertical="center"/>
      <protection/>
    </xf>
    <xf numFmtId="190" fontId="42" fillId="42" borderId="34" xfId="85" applyNumberFormat="1" applyFont="1" applyFill="1" applyBorder="1" applyAlignment="1" applyProtection="1">
      <alignment horizontal="center"/>
      <protection/>
    </xf>
    <xf numFmtId="37" fontId="42" fillId="34" borderId="18" xfId="0" applyNumberFormat="1" applyFont="1" applyFill="1" applyBorder="1" applyAlignment="1" applyProtection="1">
      <alignment horizontal="fill" vertical="center"/>
      <protection/>
    </xf>
    <xf numFmtId="190" fontId="42" fillId="42" borderId="13" xfId="85" applyNumberFormat="1" applyFont="1" applyFill="1" applyBorder="1" applyAlignment="1" applyProtection="1">
      <alignment horizontal="center"/>
      <protection/>
    </xf>
    <xf numFmtId="0" fontId="42" fillId="45" borderId="35" xfId="85" applyFont="1" applyFill="1" applyBorder="1" applyProtection="1">
      <alignment/>
      <protection/>
    </xf>
    <xf numFmtId="0" fontId="42" fillId="45" borderId="11" xfId="85" applyFont="1" applyFill="1" applyBorder="1" applyProtection="1">
      <alignment/>
      <protection/>
    </xf>
    <xf numFmtId="190" fontId="42" fillId="45" borderId="13" xfId="85" applyNumberFormat="1" applyFont="1" applyFill="1" applyBorder="1" applyAlignment="1" applyProtection="1">
      <alignment horizontal="center"/>
      <protection/>
    </xf>
    <xf numFmtId="0" fontId="42" fillId="0" borderId="0" xfId="85" applyFont="1" applyFill="1" applyBorder="1" applyProtection="1">
      <alignment/>
      <protection/>
    </xf>
    <xf numFmtId="0" fontId="42" fillId="0" borderId="0" xfId="85" applyFont="1" applyProtection="1">
      <alignment/>
      <protection/>
    </xf>
    <xf numFmtId="0" fontId="42" fillId="34" borderId="0" xfId="0" applyFont="1" applyFill="1" applyAlignment="1" applyProtection="1">
      <alignment vertical="center"/>
      <protection locked="0"/>
    </xf>
    <xf numFmtId="1" fontId="57" fillId="34" borderId="0" xfId="0" applyNumberFormat="1" applyFont="1" applyFill="1" applyAlignment="1" applyProtection="1">
      <alignment horizontal="center" vertical="center"/>
      <protection/>
    </xf>
    <xf numFmtId="183" fontId="42" fillId="42" borderId="34" xfId="85" applyNumberFormat="1" applyFont="1" applyFill="1" applyBorder="1" applyAlignment="1" applyProtection="1">
      <alignment horizontal="center"/>
      <protection/>
    </xf>
    <xf numFmtId="184" fontId="42" fillId="41" borderId="34" xfId="85" applyNumberFormat="1" applyFont="1" applyFill="1" applyBorder="1" applyAlignment="1" applyProtection="1">
      <alignment horizontal="center"/>
      <protection locked="0"/>
    </xf>
    <xf numFmtId="37" fontId="42" fillId="46" borderId="19" xfId="0" applyNumberFormat="1" applyFont="1" applyFill="1" applyBorder="1" applyAlignment="1" applyProtection="1">
      <alignment vertical="center"/>
      <protection/>
    </xf>
    <xf numFmtId="0" fontId="42" fillId="34" borderId="18" xfId="0" applyFont="1" applyFill="1" applyBorder="1" applyAlignment="1" applyProtection="1">
      <alignment vertical="center"/>
      <protection/>
    </xf>
    <xf numFmtId="0" fontId="42" fillId="34" borderId="18" xfId="0" applyFont="1" applyFill="1" applyBorder="1" applyAlignment="1" applyProtection="1">
      <alignment vertical="center"/>
      <protection locked="0"/>
    </xf>
    <xf numFmtId="37" fontId="42" fillId="34" borderId="10" xfId="0" applyNumberFormat="1" applyFont="1" applyFill="1" applyBorder="1" applyAlignment="1" applyProtection="1">
      <alignment/>
      <protection/>
    </xf>
    <xf numFmtId="0" fontId="42" fillId="34" borderId="10" xfId="0" applyFont="1" applyFill="1" applyBorder="1" applyAlignment="1" applyProtection="1">
      <alignment/>
      <protection/>
    </xf>
    <xf numFmtId="3" fontId="42" fillId="34" borderId="10" xfId="0" applyNumberFormat="1" applyFont="1" applyFill="1" applyBorder="1" applyAlignment="1" applyProtection="1">
      <alignment/>
      <protection/>
    </xf>
    <xf numFmtId="0" fontId="42" fillId="34" borderId="10" xfId="0" applyFont="1" applyFill="1" applyBorder="1" applyAlignment="1" applyProtection="1">
      <alignment/>
      <protection locked="0"/>
    </xf>
    <xf numFmtId="164" fontId="42" fillId="47" borderId="10" xfId="0" applyNumberFormat="1" applyFont="1" applyFill="1" applyBorder="1" applyAlignment="1" applyProtection="1">
      <alignment/>
      <protection/>
    </xf>
    <xf numFmtId="37" fontId="42" fillId="0" borderId="0" xfId="0" applyNumberFormat="1" applyFont="1" applyFill="1" applyBorder="1" applyAlignment="1" applyProtection="1">
      <alignment vertical="center"/>
      <protection/>
    </xf>
    <xf numFmtId="0" fontId="42" fillId="42" borderId="35" xfId="0" applyNumberFormat="1" applyFont="1" applyFill="1" applyBorder="1" applyAlignment="1" applyProtection="1">
      <alignment horizontal="center" vertical="center"/>
      <protection/>
    </xf>
    <xf numFmtId="1" fontId="42" fillId="42" borderId="18" xfId="0" applyNumberFormat="1" applyFont="1" applyFill="1" applyBorder="1" applyAlignment="1" applyProtection="1">
      <alignment horizontal="center" vertical="center"/>
      <protection/>
    </xf>
    <xf numFmtId="37" fontId="42" fillId="42" borderId="0" xfId="0" applyNumberFormat="1" applyFont="1" applyFill="1" applyAlignment="1" applyProtection="1">
      <alignment vertical="center"/>
      <protection/>
    </xf>
    <xf numFmtId="0" fontId="42" fillId="42" borderId="0" xfId="0" applyFont="1" applyFill="1" applyAlignment="1" applyProtection="1">
      <alignment vertical="center"/>
      <protection/>
    </xf>
    <xf numFmtId="0" fontId="42" fillId="42" borderId="0" xfId="0" applyNumberFormat="1" applyFont="1" applyFill="1" applyAlignment="1" applyProtection="1">
      <alignment horizontal="right" vertical="center"/>
      <protection/>
    </xf>
    <xf numFmtId="37" fontId="42" fillId="42" borderId="0" xfId="0" applyNumberFormat="1" applyFont="1" applyFill="1" applyAlignment="1" applyProtection="1">
      <alignment horizontal="right" vertical="center"/>
      <protection/>
    </xf>
    <xf numFmtId="0" fontId="55" fillId="42" borderId="0" xfId="0" applyFont="1" applyFill="1" applyAlignment="1" applyProtection="1">
      <alignment vertical="center"/>
      <protection/>
    </xf>
    <xf numFmtId="166" fontId="42" fillId="42" borderId="0" xfId="0" applyNumberFormat="1" applyFont="1" applyFill="1" applyAlignment="1" applyProtection="1">
      <alignment vertical="center"/>
      <protection/>
    </xf>
    <xf numFmtId="37" fontId="42" fillId="42" borderId="0" xfId="0" applyNumberFormat="1" applyFont="1" applyFill="1" applyAlignment="1" applyProtection="1" quotePrefix="1">
      <alignment horizontal="right" vertical="center"/>
      <protection/>
    </xf>
    <xf numFmtId="37" fontId="42" fillId="42" borderId="0" xfId="0" applyNumberFormat="1" applyFont="1" applyFill="1" applyAlignment="1" applyProtection="1">
      <alignment horizontal="fill" vertical="center"/>
      <protection/>
    </xf>
    <xf numFmtId="37" fontId="42" fillId="42" borderId="0" xfId="0" applyNumberFormat="1" applyFont="1" applyFill="1" applyAlignment="1" applyProtection="1">
      <alignment horizontal="left" vertical="center"/>
      <protection/>
    </xf>
    <xf numFmtId="37" fontId="55" fillId="42" borderId="0" xfId="0" applyNumberFormat="1" applyFont="1" applyFill="1" applyBorder="1" applyAlignment="1" applyProtection="1">
      <alignment vertical="center"/>
      <protection/>
    </xf>
    <xf numFmtId="37" fontId="42" fillId="42" borderId="15" xfId="0" applyNumberFormat="1" applyFont="1" applyFill="1" applyBorder="1" applyAlignment="1" applyProtection="1">
      <alignment horizontal="left" vertical="center"/>
      <protection/>
    </xf>
    <xf numFmtId="3" fontId="42" fillId="42" borderId="15" xfId="0" applyNumberFormat="1" applyFont="1" applyFill="1" applyBorder="1" applyAlignment="1" applyProtection="1">
      <alignment vertical="center"/>
      <protection locked="0"/>
    </xf>
    <xf numFmtId="3" fontId="42" fillId="42" borderId="15" xfId="0" applyNumberFormat="1" applyFont="1" applyFill="1" applyBorder="1" applyAlignment="1" applyProtection="1">
      <alignment vertical="center"/>
      <protection/>
    </xf>
    <xf numFmtId="3" fontId="42" fillId="42" borderId="10" xfId="0" applyNumberFormat="1" applyFont="1" applyFill="1" applyBorder="1" applyAlignment="1" applyProtection="1">
      <alignment vertical="center"/>
      <protection/>
    </xf>
    <xf numFmtId="0" fontId="42" fillId="42" borderId="35" xfId="0" applyFont="1" applyFill="1" applyBorder="1" applyAlignment="1" applyProtection="1">
      <alignment horizontal="left" vertical="center"/>
      <protection/>
    </xf>
    <xf numFmtId="37" fontId="42" fillId="42" borderId="15" xfId="0" applyNumberFormat="1" applyFont="1" applyFill="1" applyBorder="1" applyAlignment="1" applyProtection="1">
      <alignment vertical="center"/>
      <protection/>
    </xf>
    <xf numFmtId="37" fontId="42" fillId="42" borderId="10" xfId="0" applyNumberFormat="1" applyFont="1" applyFill="1" applyBorder="1" applyAlignment="1" applyProtection="1">
      <alignment vertical="center"/>
      <protection/>
    </xf>
    <xf numFmtId="3" fontId="42" fillId="42" borderId="10" xfId="0" applyNumberFormat="1" applyFont="1" applyFill="1" applyBorder="1" applyAlignment="1" applyProtection="1">
      <alignment horizontal="fill" vertical="center"/>
      <protection/>
    </xf>
    <xf numFmtId="3" fontId="42" fillId="42" borderId="10" xfId="0" applyNumberFormat="1" applyFont="1" applyFill="1" applyBorder="1" applyAlignment="1" applyProtection="1">
      <alignment vertical="center"/>
      <protection locked="0"/>
    </xf>
    <xf numFmtId="0" fontId="42" fillId="42" borderId="15" xfId="0" applyFont="1" applyFill="1" applyBorder="1" applyAlignment="1" applyProtection="1">
      <alignment vertical="center"/>
      <protection/>
    </xf>
    <xf numFmtId="37" fontId="55" fillId="42" borderId="15" xfId="0" applyNumberFormat="1" applyFont="1" applyFill="1" applyBorder="1" applyAlignment="1" applyProtection="1">
      <alignment horizontal="left" vertical="center"/>
      <protection/>
    </xf>
    <xf numFmtId="3" fontId="55" fillId="42" borderId="15" xfId="0" applyNumberFormat="1" applyFont="1" applyFill="1" applyBorder="1" applyAlignment="1" applyProtection="1">
      <alignment vertical="center"/>
      <protection/>
    </xf>
    <xf numFmtId="3" fontId="55" fillId="42" borderId="10" xfId="0" applyNumberFormat="1" applyFont="1" applyFill="1" applyBorder="1" applyAlignment="1" applyProtection="1">
      <alignment vertical="center"/>
      <protection/>
    </xf>
    <xf numFmtId="0" fontId="42" fillId="42" borderId="10" xfId="0" applyFont="1" applyFill="1" applyBorder="1" applyAlignment="1" applyProtection="1">
      <alignment vertical="center"/>
      <protection/>
    </xf>
    <xf numFmtId="0" fontId="42" fillId="42" borderId="0" xfId="0" applyFont="1" applyFill="1" applyAlignment="1" applyProtection="1">
      <alignment horizontal="right" vertical="center"/>
      <protection/>
    </xf>
    <xf numFmtId="3" fontId="42" fillId="42" borderId="10" xfId="0" applyNumberFormat="1" applyFont="1" applyFill="1" applyBorder="1" applyAlignment="1" applyProtection="1">
      <alignment horizontal="center" vertical="center"/>
      <protection/>
    </xf>
    <xf numFmtId="0" fontId="103" fillId="42" borderId="0" xfId="0" applyFont="1" applyFill="1" applyBorder="1" applyAlignment="1" applyProtection="1">
      <alignment horizontal="center" vertical="center"/>
      <protection/>
    </xf>
    <xf numFmtId="0" fontId="59" fillId="42" borderId="0" xfId="0" applyFont="1" applyFill="1" applyAlignment="1" applyProtection="1">
      <alignment horizontal="center" vertical="center"/>
      <protection/>
    </xf>
    <xf numFmtId="0" fontId="42" fillId="42" borderId="0" xfId="88" applyFont="1" applyFill="1" applyAlignment="1" applyProtection="1">
      <alignment horizontal="right" vertical="center"/>
      <protection/>
    </xf>
    <xf numFmtId="184" fontId="42" fillId="42" borderId="0" xfId="0" applyNumberFormat="1" applyFont="1" applyFill="1" applyAlignment="1">
      <alignment horizontal="center" vertical="center"/>
    </xf>
    <xf numFmtId="3" fontId="58" fillId="45" borderId="15" xfId="0" applyNumberFormat="1" applyFont="1" applyFill="1" applyBorder="1" applyAlignment="1" applyProtection="1">
      <alignment horizontal="center" vertical="center"/>
      <protection/>
    </xf>
    <xf numFmtId="3" fontId="58" fillId="45" borderId="10" xfId="0" applyNumberFormat="1" applyFont="1" applyFill="1" applyBorder="1" applyAlignment="1" applyProtection="1">
      <alignment horizontal="center" vertical="center"/>
      <protection/>
    </xf>
    <xf numFmtId="3" fontId="42" fillId="45" borderId="10" xfId="0" applyNumberFormat="1" applyFont="1" applyFill="1" applyBorder="1" applyAlignment="1" applyProtection="1">
      <alignment vertical="center"/>
      <protection/>
    </xf>
    <xf numFmtId="37" fontId="55" fillId="42" borderId="11" xfId="0" applyNumberFormat="1" applyFont="1" applyFill="1" applyBorder="1" applyAlignment="1" applyProtection="1">
      <alignment vertical="center"/>
      <protection/>
    </xf>
    <xf numFmtId="0" fontId="42" fillId="42" borderId="15" xfId="0" applyFont="1" applyFill="1" applyBorder="1" applyAlignment="1" applyProtection="1">
      <alignment horizontal="left" vertical="center"/>
      <protection/>
    </xf>
    <xf numFmtId="0" fontId="58" fillId="0" borderId="0" xfId="0" applyFont="1" applyAlignment="1">
      <alignment vertical="center"/>
    </xf>
    <xf numFmtId="0" fontId="103" fillId="42" borderId="0" xfId="0" applyFont="1" applyFill="1" applyAlignment="1" applyProtection="1">
      <alignment horizontal="center" vertical="center"/>
      <protection/>
    </xf>
    <xf numFmtId="0" fontId="42" fillId="42" borderId="0" xfId="0" applyFont="1" applyFill="1" applyAlignment="1" applyProtection="1">
      <alignment horizontal="left" vertical="center"/>
      <protection/>
    </xf>
    <xf numFmtId="37" fontId="42" fillId="48" borderId="15" xfId="0" applyNumberFormat="1" applyFont="1" applyFill="1" applyBorder="1" applyAlignment="1" applyProtection="1">
      <alignment horizontal="left"/>
      <protection/>
    </xf>
    <xf numFmtId="3" fontId="42" fillId="48" borderId="15" xfId="0" applyNumberFormat="1" applyFont="1" applyFill="1" applyBorder="1" applyAlignment="1" applyProtection="1">
      <alignment vertical="center"/>
      <protection locked="0"/>
    </xf>
    <xf numFmtId="3" fontId="42" fillId="48" borderId="10" xfId="0" applyNumberFormat="1" applyFont="1" applyFill="1" applyBorder="1" applyAlignment="1" applyProtection="1">
      <alignment vertical="center"/>
      <protection locked="0"/>
    </xf>
    <xf numFmtId="37" fontId="42" fillId="45" borderId="0" xfId="0" applyNumberFormat="1" applyFont="1" applyFill="1" applyAlignment="1" applyProtection="1">
      <alignment horizontal="fill" vertical="center"/>
      <protection/>
    </xf>
    <xf numFmtId="37" fontId="55" fillId="34" borderId="10" xfId="0" applyNumberFormat="1" applyFont="1" applyFill="1" applyBorder="1" applyAlignment="1" applyProtection="1">
      <alignment/>
      <protection/>
    </xf>
    <xf numFmtId="3" fontId="55" fillId="42" borderId="15" xfId="0" applyNumberFormat="1" applyFont="1" applyFill="1" applyBorder="1" applyAlignment="1" applyProtection="1">
      <alignment vertical="center"/>
      <protection locked="0"/>
    </xf>
    <xf numFmtId="3" fontId="42" fillId="34" borderId="0" xfId="0" applyNumberFormat="1" applyFont="1" applyFill="1" applyAlignment="1" applyProtection="1">
      <alignment vertical="center"/>
      <protection/>
    </xf>
    <xf numFmtId="3" fontId="42" fillId="33" borderId="12" xfId="0" applyNumberFormat="1" applyFont="1" applyFill="1" applyBorder="1" applyAlignment="1" applyProtection="1">
      <alignment vertical="center"/>
      <protection locked="0"/>
    </xf>
    <xf numFmtId="3" fontId="58" fillId="40" borderId="16" xfId="0" applyNumberFormat="1" applyFont="1" applyFill="1" applyBorder="1" applyAlignment="1" applyProtection="1">
      <alignment horizontal="center" vertical="center"/>
      <protection/>
    </xf>
    <xf numFmtId="3" fontId="58" fillId="40" borderId="20" xfId="0" applyNumberFormat="1" applyFont="1" applyFill="1" applyBorder="1" applyAlignment="1" applyProtection="1">
      <alignment horizontal="center" vertical="center"/>
      <protection/>
    </xf>
    <xf numFmtId="3" fontId="55" fillId="38" borderId="10" xfId="0" applyNumberFormat="1" applyFont="1" applyFill="1" applyBorder="1" applyAlignment="1" applyProtection="1">
      <alignment vertical="center"/>
      <protection/>
    </xf>
    <xf numFmtId="3" fontId="42" fillId="38" borderId="10" xfId="0" applyNumberFormat="1" applyFont="1" applyFill="1" applyBorder="1" applyAlignment="1" applyProtection="1">
      <alignment vertical="center"/>
      <protection/>
    </xf>
    <xf numFmtId="0" fontId="59" fillId="34" borderId="10" xfId="0" applyFont="1" applyFill="1" applyBorder="1" applyAlignment="1" applyProtection="1">
      <alignment horizontal="center" vertical="center"/>
      <protection/>
    </xf>
    <xf numFmtId="0" fontId="42" fillId="33" borderId="0" xfId="0" applyFont="1" applyFill="1" applyAlignment="1" applyProtection="1">
      <alignment horizontal="left" vertical="center"/>
      <protection locked="0"/>
    </xf>
    <xf numFmtId="37" fontId="42" fillId="34" borderId="35" xfId="0" applyNumberFormat="1" applyFont="1" applyFill="1" applyBorder="1" applyAlignment="1" applyProtection="1">
      <alignment horizontal="left" vertical="center"/>
      <protection/>
    </xf>
    <xf numFmtId="3" fontId="59" fillId="34" borderId="10" xfId="0" applyNumberFormat="1" applyFont="1" applyFill="1" applyBorder="1" applyAlignment="1" applyProtection="1">
      <alignment horizontal="center" vertical="center"/>
      <protection/>
    </xf>
    <xf numFmtId="0" fontId="42" fillId="34" borderId="18" xfId="0" applyNumberFormat="1" applyFont="1" applyFill="1" applyBorder="1" applyAlignment="1" applyProtection="1">
      <alignment horizontal="center" vertical="center"/>
      <protection/>
    </xf>
    <xf numFmtId="37" fontId="42" fillId="34" borderId="15" xfId="0" applyNumberFormat="1" applyFont="1" applyFill="1" applyBorder="1" applyAlignment="1" applyProtection="1">
      <alignment horizontal="left"/>
      <protection locked="0"/>
    </xf>
    <xf numFmtId="37" fontId="55" fillId="34" borderId="15" xfId="0" applyNumberFormat="1" applyFont="1" applyFill="1" applyBorder="1" applyAlignment="1" applyProtection="1">
      <alignment horizontal="left"/>
      <protection/>
    </xf>
    <xf numFmtId="37" fontId="42" fillId="34" borderId="15" xfId="0" applyNumberFormat="1" applyFont="1" applyFill="1" applyBorder="1" applyAlignment="1" applyProtection="1">
      <alignment/>
      <protection locked="0"/>
    </xf>
    <xf numFmtId="37" fontId="42" fillId="42" borderId="10" xfId="0" applyNumberFormat="1" applyFont="1" applyFill="1" applyBorder="1" applyAlignment="1" applyProtection="1">
      <alignment horizontal="left" vertical="center"/>
      <protection/>
    </xf>
    <xf numFmtId="37" fontId="55" fillId="34" borderId="10" xfId="0" applyNumberFormat="1" applyFont="1" applyFill="1" applyBorder="1" applyAlignment="1" applyProtection="1">
      <alignment horizontal="left"/>
      <protection/>
    </xf>
    <xf numFmtId="37" fontId="42" fillId="34" borderId="10" xfId="0" applyNumberFormat="1" applyFont="1" applyFill="1" applyBorder="1" applyAlignment="1" applyProtection="1">
      <alignment/>
      <protection locked="0"/>
    </xf>
    <xf numFmtId="37" fontId="42" fillId="34" borderId="12" xfId="0" applyNumberFormat="1" applyFont="1" applyFill="1" applyBorder="1" applyAlignment="1" applyProtection="1">
      <alignment horizontal="right" vertical="center"/>
      <protection/>
    </xf>
    <xf numFmtId="166" fontId="42" fillId="34" borderId="0" xfId="0" applyNumberFormat="1" applyFont="1" applyFill="1" applyAlignment="1" applyProtection="1">
      <alignment horizontal="right" vertical="center"/>
      <protection/>
    </xf>
    <xf numFmtId="1" fontId="42" fillId="42" borderId="36" xfId="0" applyNumberFormat="1" applyFont="1" applyFill="1" applyBorder="1" applyAlignment="1" applyProtection="1">
      <alignment horizontal="right" vertical="center"/>
      <protection/>
    </xf>
    <xf numFmtId="0" fontId="42" fillId="42" borderId="35" xfId="0" applyNumberFormat="1" applyFont="1" applyFill="1" applyBorder="1" applyAlignment="1" applyProtection="1">
      <alignment horizontal="right" vertical="center"/>
      <protection/>
    </xf>
    <xf numFmtId="3" fontId="42" fillId="42" borderId="10" xfId="0" applyNumberFormat="1" applyFont="1" applyFill="1" applyBorder="1" applyAlignment="1" applyProtection="1">
      <alignment horizontal="right" vertical="center"/>
      <protection/>
    </xf>
    <xf numFmtId="0" fontId="42" fillId="34" borderId="10" xfId="0" applyFont="1" applyFill="1" applyBorder="1" applyAlignment="1" applyProtection="1">
      <alignment horizontal="right" vertical="center"/>
      <protection/>
    </xf>
    <xf numFmtId="3" fontId="58" fillId="40" borderId="16" xfId="0" applyNumberFormat="1" applyFont="1" applyFill="1" applyBorder="1" applyAlignment="1" applyProtection="1">
      <alignment horizontal="right" vertical="center"/>
      <protection/>
    </xf>
    <xf numFmtId="3" fontId="55" fillId="38" borderId="10" xfId="0" applyNumberFormat="1" applyFont="1" applyFill="1" applyBorder="1" applyAlignment="1" applyProtection="1">
      <alignment horizontal="right" vertical="center"/>
      <protection/>
    </xf>
    <xf numFmtId="3" fontId="42" fillId="38" borderId="10" xfId="0" applyNumberFormat="1" applyFont="1" applyFill="1" applyBorder="1" applyAlignment="1" applyProtection="1">
      <alignment horizontal="right" vertical="center"/>
      <protection/>
    </xf>
    <xf numFmtId="0" fontId="59" fillId="42" borderId="0" xfId="0" applyFont="1" applyFill="1" applyAlignment="1" applyProtection="1">
      <alignment horizontal="right" vertical="center"/>
      <protection/>
    </xf>
    <xf numFmtId="3" fontId="42" fillId="34" borderId="0" xfId="0" applyNumberFormat="1" applyFont="1" applyFill="1" applyAlignment="1" applyProtection="1">
      <alignment horizontal="right" vertical="center"/>
      <protection/>
    </xf>
    <xf numFmtId="3" fontId="42" fillId="42" borderId="12" xfId="0" applyNumberFormat="1" applyFont="1" applyFill="1" applyBorder="1" applyAlignment="1" applyProtection="1">
      <alignment horizontal="right" vertical="center"/>
      <protection/>
    </xf>
    <xf numFmtId="0" fontId="42" fillId="34" borderId="12" xfId="0" applyFont="1" applyFill="1" applyBorder="1" applyAlignment="1" applyProtection="1">
      <alignment horizontal="right" vertical="center"/>
      <protection/>
    </xf>
    <xf numFmtId="37" fontId="58" fillId="34" borderId="12" xfId="0" applyNumberFormat="1" applyFont="1" applyFill="1" applyBorder="1" applyAlignment="1" applyProtection="1">
      <alignment horizontal="right" vertical="center"/>
      <protection/>
    </xf>
    <xf numFmtId="0" fontId="42" fillId="0" borderId="0" xfId="0" applyFont="1" applyAlignment="1">
      <alignment horizontal="right" vertical="center"/>
    </xf>
    <xf numFmtId="3" fontId="55" fillId="42" borderId="10" xfId="0" applyNumberFormat="1" applyFont="1" applyFill="1" applyBorder="1" applyAlignment="1" applyProtection="1">
      <alignment horizontal="right" vertical="center"/>
      <protection/>
    </xf>
    <xf numFmtId="3" fontId="42" fillId="34" borderId="0" xfId="0" applyNumberFormat="1" applyFont="1" applyFill="1" applyBorder="1" applyAlignment="1" applyProtection="1">
      <alignment vertical="center"/>
      <protection/>
    </xf>
    <xf numFmtId="0" fontId="55" fillId="34" borderId="0" xfId="0" applyFont="1" applyFill="1" applyAlignment="1" applyProtection="1">
      <alignment horizontal="center" vertical="center"/>
      <protection/>
    </xf>
    <xf numFmtId="0" fontId="55" fillId="34" borderId="0" xfId="0" applyFont="1" applyFill="1" applyAlignment="1" applyProtection="1">
      <alignment horizontal="center" vertical="center" wrapText="1"/>
      <protection/>
    </xf>
    <xf numFmtId="0" fontId="42" fillId="34" borderId="0" xfId="0" applyFont="1" applyFill="1" applyAlignment="1" applyProtection="1" quotePrefix="1">
      <alignment vertical="center"/>
      <protection/>
    </xf>
    <xf numFmtId="3" fontId="42" fillId="34" borderId="0" xfId="0" applyNumberFormat="1" applyFont="1" applyFill="1" applyAlignment="1" applyProtection="1" quotePrefix="1">
      <alignment vertical="center"/>
      <protection/>
    </xf>
    <xf numFmtId="3" fontId="42" fillId="34" borderId="11" xfId="0" applyNumberFormat="1" applyFont="1" applyFill="1" applyBorder="1" applyAlignment="1" applyProtection="1">
      <alignment vertical="center"/>
      <protection/>
    </xf>
    <xf numFmtId="3" fontId="42" fillId="34" borderId="14" xfId="0" applyNumberFormat="1" applyFont="1" applyFill="1" applyBorder="1" applyAlignment="1" applyProtection="1">
      <alignment vertical="center"/>
      <protection/>
    </xf>
    <xf numFmtId="3" fontId="42" fillId="34" borderId="31" xfId="0" applyNumberFormat="1" applyFont="1" applyFill="1" applyBorder="1" applyAlignment="1" applyProtection="1">
      <alignment vertical="center"/>
      <protection/>
    </xf>
    <xf numFmtId="0" fontId="42" fillId="34" borderId="31" xfId="0" applyFont="1" applyFill="1" applyBorder="1" applyAlignment="1" applyProtection="1">
      <alignment vertical="center"/>
      <protection/>
    </xf>
    <xf numFmtId="0" fontId="42" fillId="34" borderId="0" xfId="0" applyFont="1" applyFill="1" applyBorder="1" applyAlignment="1" applyProtection="1">
      <alignment vertical="center"/>
      <protection/>
    </xf>
    <xf numFmtId="171" fontId="42" fillId="34" borderId="11" xfId="0" applyNumberFormat="1" applyFont="1" applyFill="1" applyBorder="1" applyAlignment="1" applyProtection="1">
      <alignment vertical="center"/>
      <protection/>
    </xf>
    <xf numFmtId="0" fontId="42" fillId="34" borderId="0" xfId="0" applyFont="1" applyFill="1" applyBorder="1" applyAlignment="1" applyProtection="1" quotePrefix="1">
      <alignment vertical="center"/>
      <protection/>
    </xf>
    <xf numFmtId="3" fontId="42" fillId="34" borderId="37" xfId="0" applyNumberFormat="1" applyFont="1" applyFill="1" applyBorder="1" applyAlignment="1" applyProtection="1">
      <alignment vertical="center"/>
      <protection/>
    </xf>
    <xf numFmtId="3" fontId="42" fillId="45" borderId="11" xfId="0" applyNumberFormat="1" applyFont="1" applyFill="1" applyBorder="1" applyAlignment="1" applyProtection="1">
      <alignment vertical="center"/>
      <protection/>
    </xf>
    <xf numFmtId="0" fontId="42" fillId="42" borderId="0" xfId="88" applyFont="1" applyFill="1" applyAlignment="1" applyProtection="1">
      <alignment horizontal="right" vertical="center"/>
      <protection/>
    </xf>
    <xf numFmtId="37" fontId="55" fillId="42" borderId="0" xfId="0" applyNumberFormat="1" applyFont="1" applyFill="1" applyBorder="1" applyAlignment="1" applyProtection="1" quotePrefix="1">
      <alignment vertical="center"/>
      <protection/>
    </xf>
    <xf numFmtId="193" fontId="41" fillId="42" borderId="0" xfId="0" applyNumberFormat="1" applyFont="1" applyFill="1" applyAlignment="1">
      <alignment horizontal="center" vertical="center"/>
    </xf>
    <xf numFmtId="0" fontId="4" fillId="32" borderId="10" xfId="0" applyFont="1" applyFill="1" applyBorder="1" applyAlignment="1" applyProtection="1">
      <alignment vertical="center"/>
      <protection locked="0"/>
    </xf>
    <xf numFmtId="1" fontId="4" fillId="32" borderId="10" xfId="0" applyNumberFormat="1" applyFont="1" applyFill="1" applyBorder="1" applyAlignment="1" applyProtection="1">
      <alignment vertical="center"/>
      <protection locked="0"/>
    </xf>
    <xf numFmtId="2" fontId="4" fillId="32" borderId="10" xfId="0" applyNumberFormat="1" applyFont="1" applyFill="1" applyBorder="1" applyAlignment="1" applyProtection="1">
      <alignment vertical="center"/>
      <protection locked="0"/>
    </xf>
    <xf numFmtId="3" fontId="4" fillId="32" borderId="10" xfId="0" applyNumberFormat="1" applyFont="1" applyFill="1" applyBorder="1" applyAlignment="1" applyProtection="1">
      <alignment vertical="center"/>
      <protection locked="0"/>
    </xf>
    <xf numFmtId="0" fontId="4" fillId="32" borderId="10" xfId="0" applyFont="1" applyFill="1" applyBorder="1" applyAlignment="1" applyProtection="1">
      <alignment vertical="center"/>
      <protection locked="0"/>
    </xf>
    <xf numFmtId="1" fontId="4" fillId="32" borderId="10" xfId="0" applyNumberFormat="1" applyFont="1" applyFill="1" applyBorder="1" applyAlignment="1" applyProtection="1">
      <alignment vertical="center"/>
      <protection locked="0"/>
    </xf>
    <xf numFmtId="2" fontId="4" fillId="32" borderId="10" xfId="0" applyNumberFormat="1" applyFont="1" applyFill="1" applyBorder="1" applyAlignment="1" applyProtection="1">
      <alignment vertical="center"/>
      <protection locked="0"/>
    </xf>
    <xf numFmtId="3" fontId="4" fillId="32" borderId="10" xfId="0" applyNumberFormat="1" applyFont="1" applyFill="1" applyBorder="1" applyAlignment="1" applyProtection="1">
      <alignment vertical="center"/>
      <protection locked="0"/>
    </xf>
    <xf numFmtId="0" fontId="46" fillId="42" borderId="11" xfId="0" applyFont="1" applyFill="1" applyBorder="1" applyAlignment="1" applyProtection="1">
      <alignment/>
      <protection locked="0"/>
    </xf>
    <xf numFmtId="0" fontId="46" fillId="42" borderId="35" xfId="0" applyFont="1" applyFill="1" applyBorder="1" applyAlignment="1" applyProtection="1">
      <alignment/>
      <protection locked="0"/>
    </xf>
    <xf numFmtId="3" fontId="46" fillId="42" borderId="10" xfId="0" applyNumberFormat="1" applyFont="1" applyFill="1" applyBorder="1" applyAlignment="1" applyProtection="1">
      <alignment horizontal="center" vertical="center"/>
      <protection locked="0"/>
    </xf>
    <xf numFmtId="0" fontId="46" fillId="42" borderId="10" xfId="0" applyFont="1" applyFill="1" applyBorder="1" applyAlignment="1" applyProtection="1">
      <alignment vertical="center"/>
      <protection locked="0"/>
    </xf>
    <xf numFmtId="175" fontId="46" fillId="42" borderId="11" xfId="42" applyNumberFormat="1" applyFont="1" applyFill="1" applyBorder="1" applyAlignment="1" applyProtection="1">
      <alignment/>
      <protection locked="0"/>
    </xf>
    <xf numFmtId="175" fontId="46" fillId="42" borderId="35" xfId="42" applyNumberFormat="1" applyFont="1" applyFill="1" applyBorder="1" applyAlignment="1" applyProtection="1">
      <alignment/>
      <protection locked="0"/>
    </xf>
    <xf numFmtId="175" fontId="46" fillId="42" borderId="10" xfId="42" applyNumberFormat="1" applyFont="1" applyFill="1" applyBorder="1" applyAlignment="1" applyProtection="1">
      <alignment vertical="center"/>
      <protection locked="0"/>
    </xf>
    <xf numFmtId="0" fontId="42" fillId="32" borderId="18" xfId="0" applyFont="1" applyFill="1" applyBorder="1" applyAlignment="1" applyProtection="1">
      <alignment vertical="center"/>
      <protection locked="0"/>
    </xf>
    <xf numFmtId="175" fontId="42" fillId="32" borderId="18" xfId="42" applyNumberFormat="1" applyFont="1" applyFill="1" applyBorder="1" applyAlignment="1" applyProtection="1">
      <alignment vertical="center"/>
      <protection locked="0"/>
    </xf>
    <xf numFmtId="0" fontId="42" fillId="32" borderId="18" xfId="0" applyFont="1" applyFill="1" applyBorder="1" applyAlignment="1" applyProtection="1">
      <alignment horizontal="center" vertical="center"/>
      <protection locked="0"/>
    </xf>
    <xf numFmtId="0" fontId="42" fillId="32" borderId="10" xfId="0" applyFont="1" applyFill="1" applyBorder="1" applyAlignment="1" applyProtection="1">
      <alignment vertical="center"/>
      <protection locked="0"/>
    </xf>
    <xf numFmtId="175" fontId="42" fillId="32" borderId="10" xfId="42" applyNumberFormat="1" applyFont="1" applyFill="1" applyBorder="1" applyAlignment="1" applyProtection="1">
      <alignment vertical="center"/>
      <protection locked="0"/>
    </xf>
    <xf numFmtId="0" fontId="42" fillId="32" borderId="10" xfId="0" applyFont="1" applyFill="1" applyBorder="1" applyAlignment="1" applyProtection="1" quotePrefix="1">
      <alignment horizontal="center" vertical="center"/>
      <protection locked="0"/>
    </xf>
    <xf numFmtId="0" fontId="42" fillId="32" borderId="10" xfId="0" applyFont="1" applyFill="1" applyBorder="1" applyAlignment="1" applyProtection="1">
      <alignment horizontal="center" vertical="center"/>
      <protection locked="0"/>
    </xf>
    <xf numFmtId="0" fontId="42" fillId="34" borderId="0" xfId="0" applyFont="1" applyFill="1" applyAlignment="1" applyProtection="1">
      <alignment horizontal="center" vertical="center"/>
      <protection/>
    </xf>
    <xf numFmtId="37" fontId="42" fillId="34" borderId="11" xfId="0" applyNumberFormat="1" applyFont="1" applyFill="1" applyBorder="1" applyAlignment="1" applyProtection="1">
      <alignment horizontal="fill" vertical="center"/>
      <protection locked="0"/>
    </xf>
    <xf numFmtId="37" fontId="42" fillId="34" borderId="0" xfId="0" applyNumberFormat="1" applyFont="1" applyFill="1" applyAlignment="1" applyProtection="1">
      <alignment/>
      <protection/>
    </xf>
    <xf numFmtId="0" fontId="42" fillId="34" borderId="0" xfId="0" applyFont="1" applyFill="1" applyAlignment="1" applyProtection="1">
      <alignment/>
      <protection/>
    </xf>
    <xf numFmtId="37" fontId="42" fillId="34" borderId="0" xfId="0" applyNumberFormat="1" applyFont="1" applyFill="1" applyAlignment="1" applyProtection="1">
      <alignment horizontal="right"/>
      <protection/>
    </xf>
    <xf numFmtId="0" fontId="42" fillId="34" borderId="0" xfId="0" applyFont="1" applyFill="1" applyAlignment="1">
      <alignment horizontal="left"/>
    </xf>
    <xf numFmtId="0" fontId="42" fillId="0" borderId="0" xfId="0" applyFont="1" applyAlignment="1">
      <alignment/>
    </xf>
    <xf numFmtId="0" fontId="42" fillId="34" borderId="0" xfId="0" applyFont="1" applyFill="1" applyAlignment="1">
      <alignment/>
    </xf>
    <xf numFmtId="37" fontId="55" fillId="34" borderId="0" xfId="0" applyNumberFormat="1" applyFont="1" applyFill="1" applyAlignment="1" applyProtection="1">
      <alignment horizontal="center"/>
      <protection/>
    </xf>
    <xf numFmtId="0" fontId="42" fillId="34" borderId="0" xfId="0" applyFont="1" applyFill="1" applyAlignment="1">
      <alignment/>
    </xf>
    <xf numFmtId="37" fontId="42" fillId="34" borderId="0" xfId="0" applyNumberFormat="1" applyFont="1" applyFill="1" applyAlignment="1" applyProtection="1">
      <alignment horizontal="centerContinuous"/>
      <protection/>
    </xf>
    <xf numFmtId="0" fontId="42" fillId="34" borderId="0" xfId="0" applyFont="1" applyFill="1" applyAlignment="1" applyProtection="1">
      <alignment horizontal="centerContinuous"/>
      <protection/>
    </xf>
    <xf numFmtId="0" fontId="42" fillId="34" borderId="16" xfId="0" applyFont="1" applyFill="1" applyBorder="1" applyAlignment="1">
      <alignment/>
    </xf>
    <xf numFmtId="37" fontId="42" fillId="34" borderId="17" xfId="0" applyNumberFormat="1" applyFont="1" applyFill="1" applyBorder="1" applyAlignment="1" applyProtection="1">
      <alignment horizontal="center"/>
      <protection/>
    </xf>
    <xf numFmtId="37" fontId="42" fillId="34" borderId="18" xfId="0" applyNumberFormat="1" applyFont="1" applyFill="1" applyBorder="1" applyAlignment="1" applyProtection="1">
      <alignment horizontal="center"/>
      <protection/>
    </xf>
    <xf numFmtId="37" fontId="42" fillId="34" borderId="10" xfId="0" applyNumberFormat="1" applyFont="1" applyFill="1" applyBorder="1" applyAlignment="1" applyProtection="1">
      <alignment horizontal="center"/>
      <protection/>
    </xf>
    <xf numFmtId="177" fontId="42" fillId="34" borderId="10" xfId="0" applyNumberFormat="1" applyFont="1" applyFill="1" applyBorder="1" applyAlignment="1" applyProtection="1">
      <alignment horizontal="center"/>
      <protection/>
    </xf>
    <xf numFmtId="37" fontId="42" fillId="38" borderId="19" xfId="0" applyNumberFormat="1" applyFont="1" applyFill="1" applyBorder="1" applyAlignment="1" applyProtection="1">
      <alignment horizontal="center"/>
      <protection/>
    </xf>
    <xf numFmtId="177" fontId="42" fillId="38" borderId="19" xfId="0" applyNumberFormat="1" applyFont="1" applyFill="1" applyBorder="1" applyAlignment="1" applyProtection="1">
      <alignment horizontal="center"/>
      <protection/>
    </xf>
    <xf numFmtId="37" fontId="42" fillId="34" borderId="0" xfId="0" applyNumberFormat="1" applyFont="1" applyFill="1" applyBorder="1" applyAlignment="1" applyProtection="1">
      <alignment horizontal="left"/>
      <protection/>
    </xf>
    <xf numFmtId="37" fontId="42" fillId="34" borderId="0" xfId="0" applyNumberFormat="1" applyFont="1" applyFill="1" applyBorder="1" applyAlignment="1" applyProtection="1">
      <alignment horizontal="center"/>
      <protection/>
    </xf>
    <xf numFmtId="177" fontId="42" fillId="34" borderId="0" xfId="0" applyNumberFormat="1" applyFont="1" applyFill="1" applyBorder="1" applyAlignment="1" applyProtection="1">
      <alignment horizontal="center"/>
      <protection/>
    </xf>
    <xf numFmtId="37" fontId="42" fillId="34" borderId="0" xfId="0" applyNumberFormat="1" applyFont="1" applyFill="1" applyAlignment="1" applyProtection="1">
      <alignment horizontal="left"/>
      <protection/>
    </xf>
    <xf numFmtId="166" fontId="42" fillId="34" borderId="0" xfId="0" applyNumberFormat="1" applyFont="1" applyFill="1" applyAlignment="1" applyProtection="1">
      <alignment horizontal="center"/>
      <protection/>
    </xf>
    <xf numFmtId="37" fontId="42" fillId="34" borderId="11" xfId="0" applyNumberFormat="1" applyFont="1" applyFill="1" applyBorder="1" applyAlignment="1" applyProtection="1">
      <alignment horizontal="center"/>
      <protection/>
    </xf>
    <xf numFmtId="0" fontId="42" fillId="34" borderId="0" xfId="0" applyFont="1" applyFill="1" applyAlignment="1" applyProtection="1">
      <alignment horizontal="center"/>
      <protection/>
    </xf>
    <xf numFmtId="0" fontId="42" fillId="34" borderId="0" xfId="0" applyFont="1" applyFill="1" applyAlignment="1">
      <alignment horizontal="center"/>
    </xf>
    <xf numFmtId="3" fontId="42" fillId="34" borderId="11" xfId="0" applyNumberFormat="1" applyFont="1" applyFill="1" applyBorder="1" applyAlignment="1" applyProtection="1">
      <alignment horizontal="center"/>
      <protection/>
    </xf>
    <xf numFmtId="165" fontId="42" fillId="38" borderId="11" xfId="0" applyNumberFormat="1" applyFont="1" applyFill="1" applyBorder="1" applyAlignment="1" applyProtection="1">
      <alignment horizontal="center"/>
      <protection/>
    </xf>
    <xf numFmtId="165" fontId="42" fillId="34" borderId="0" xfId="0" applyNumberFormat="1" applyFont="1" applyFill="1" applyBorder="1" applyAlignment="1" applyProtection="1">
      <alignment horizontal="center"/>
      <protection/>
    </xf>
    <xf numFmtId="0" fontId="55" fillId="34" borderId="0" xfId="402" applyFont="1" applyFill="1" applyAlignment="1" applyProtection="1">
      <alignment horizontal="centerContinuous" vertical="center"/>
      <protection/>
    </xf>
    <xf numFmtId="0" fontId="42" fillId="34" borderId="11" xfId="0" applyFont="1" applyFill="1" applyBorder="1" applyAlignment="1" applyProtection="1">
      <alignment vertical="center"/>
      <protection/>
    </xf>
    <xf numFmtId="0" fontId="42" fillId="34" borderId="11" xfId="0" applyFont="1" applyFill="1" applyBorder="1" applyAlignment="1" applyProtection="1">
      <alignment horizontal="fill" vertical="center"/>
      <protection/>
    </xf>
    <xf numFmtId="0" fontId="42" fillId="34" borderId="33" xfId="0" applyFont="1" applyFill="1" applyBorder="1" applyAlignment="1" applyProtection="1">
      <alignment vertical="center"/>
      <protection/>
    </xf>
    <xf numFmtId="0" fontId="42" fillId="34" borderId="16" xfId="0" applyFont="1" applyFill="1" applyBorder="1" applyAlignment="1" applyProtection="1">
      <alignment vertical="center"/>
      <protection/>
    </xf>
    <xf numFmtId="0" fontId="42" fillId="34" borderId="16" xfId="0"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14" fontId="42" fillId="34" borderId="18" xfId="0" applyNumberFormat="1" applyFont="1" applyFill="1" applyBorder="1" applyAlignment="1" applyProtection="1" quotePrefix="1">
      <alignment horizontal="center" vertical="center"/>
      <protection/>
    </xf>
    <xf numFmtId="14" fontId="42" fillId="32" borderId="10" xfId="0" applyNumberFormat="1" applyFont="1" applyFill="1" applyBorder="1" applyAlignment="1" applyProtection="1">
      <alignment vertical="center"/>
      <protection locked="0"/>
    </xf>
    <xf numFmtId="1" fontId="42" fillId="32" borderId="10" xfId="0" applyNumberFormat="1" applyFont="1" applyFill="1" applyBorder="1" applyAlignment="1" applyProtection="1">
      <alignment vertical="center"/>
      <protection locked="0"/>
    </xf>
    <xf numFmtId="2" fontId="42" fillId="32" borderId="10" xfId="0" applyNumberFormat="1" applyFont="1" applyFill="1" applyBorder="1" applyAlignment="1" applyProtection="1">
      <alignment vertical="center"/>
      <protection locked="0"/>
    </xf>
    <xf numFmtId="3" fontId="42" fillId="32" borderId="10" xfId="0" applyNumberFormat="1" applyFont="1" applyFill="1" applyBorder="1" applyAlignment="1" applyProtection="1">
      <alignment vertical="center"/>
      <protection locked="0"/>
    </xf>
    <xf numFmtId="0" fontId="46" fillId="34" borderId="0" xfId="0" applyFont="1" applyFill="1" applyAlignment="1">
      <alignment vertical="center"/>
    </xf>
    <xf numFmtId="0" fontId="46" fillId="0" borderId="0" xfId="0" applyFont="1" applyAlignment="1">
      <alignment vertical="center"/>
    </xf>
    <xf numFmtId="37" fontId="42" fillId="34" borderId="17" xfId="85" applyNumberFormat="1" applyFont="1" applyFill="1" applyBorder="1" applyAlignment="1" applyProtection="1">
      <alignment horizontal="center" vertical="center"/>
      <protection/>
    </xf>
    <xf numFmtId="37" fontId="55" fillId="34" borderId="11" xfId="0" applyNumberFormat="1" applyFont="1" applyFill="1" applyBorder="1" applyAlignment="1" applyProtection="1">
      <alignment horizontal="left" vertical="center"/>
      <protection/>
    </xf>
    <xf numFmtId="37" fontId="42" fillId="34" borderId="18" xfId="0" applyNumberFormat="1" applyFont="1" applyFill="1" applyBorder="1" applyAlignment="1" applyProtection="1">
      <alignment horizontal="center" vertical="center"/>
      <protection/>
    </xf>
    <xf numFmtId="37" fontId="42" fillId="34" borderId="18" xfId="85" applyNumberFormat="1" applyFont="1" applyFill="1" applyBorder="1" applyAlignment="1" applyProtection="1">
      <alignment horizontal="center" vertical="center"/>
      <protection/>
    </xf>
    <xf numFmtId="37" fontId="42" fillId="34" borderId="17" xfId="0" applyNumberFormat="1" applyFont="1" applyFill="1" applyBorder="1" applyAlignment="1" applyProtection="1">
      <alignment horizontal="center" vertical="center"/>
      <protection/>
    </xf>
    <xf numFmtId="37" fontId="42" fillId="34" borderId="16" xfId="0" applyNumberFormat="1" applyFont="1" applyFill="1" applyBorder="1" applyAlignment="1" applyProtection="1">
      <alignment horizontal="left" vertical="center"/>
      <protection/>
    </xf>
    <xf numFmtId="0" fontId="42" fillId="34" borderId="12" xfId="0" applyFont="1" applyFill="1" applyBorder="1" applyAlignment="1" applyProtection="1">
      <alignment vertical="center"/>
      <protection/>
    </xf>
    <xf numFmtId="37" fontId="42" fillId="34" borderId="13" xfId="0" applyNumberFormat="1" applyFont="1" applyFill="1" applyBorder="1" applyAlignment="1" applyProtection="1">
      <alignment horizontal="center" vertical="center"/>
      <protection/>
    </xf>
    <xf numFmtId="37" fontId="42" fillId="34" borderId="10" xfId="0" applyNumberFormat="1" applyFont="1" applyFill="1" applyBorder="1" applyAlignment="1" applyProtection="1">
      <alignment horizontal="center" vertical="center"/>
      <protection/>
    </xf>
    <xf numFmtId="0" fontId="42" fillId="34" borderId="17" xfId="0" applyFont="1" applyFill="1" applyBorder="1" applyAlignment="1" applyProtection="1">
      <alignment vertical="center"/>
      <protection/>
    </xf>
    <xf numFmtId="37" fontId="42" fillId="34" borderId="12" xfId="0" applyNumberFormat="1" applyFont="1" applyFill="1" applyBorder="1" applyAlignment="1" applyProtection="1">
      <alignment horizontal="center" vertical="center"/>
      <protection/>
    </xf>
    <xf numFmtId="37" fontId="56" fillId="34" borderId="18" xfId="0" applyNumberFormat="1" applyFont="1" applyFill="1" applyBorder="1" applyAlignment="1" applyProtection="1">
      <alignment horizontal="left" vertical="center"/>
      <protection/>
    </xf>
    <xf numFmtId="37" fontId="56" fillId="34" borderId="18" xfId="0" applyNumberFormat="1" applyFont="1" applyFill="1" applyBorder="1" applyAlignment="1" applyProtection="1">
      <alignment horizontal="center" vertical="center"/>
      <protection/>
    </xf>
    <xf numFmtId="37" fontId="42" fillId="34" borderId="15" xfId="0" applyNumberFormat="1" applyFont="1" applyFill="1" applyBorder="1" applyAlignment="1" applyProtection="1">
      <alignment horizontal="center" vertical="center"/>
      <protection/>
    </xf>
    <xf numFmtId="183" fontId="42" fillId="34" borderId="10" xfId="0" applyNumberFormat="1" applyFont="1" applyFill="1" applyBorder="1" applyAlignment="1" applyProtection="1">
      <alignment vertical="center"/>
      <protection/>
    </xf>
    <xf numFmtId="0" fontId="42" fillId="34" borderId="10" xfId="0" applyFont="1" applyFill="1" applyBorder="1" applyAlignment="1" applyProtection="1">
      <alignment horizontal="center" vertical="center"/>
      <protection/>
    </xf>
    <xf numFmtId="37" fontId="55" fillId="34" borderId="16" xfId="0" applyNumberFormat="1" applyFont="1" applyFill="1" applyBorder="1" applyAlignment="1" applyProtection="1">
      <alignment horizontal="left" vertical="center"/>
      <protection/>
    </xf>
    <xf numFmtId="183" fontId="42" fillId="34" borderId="19" xfId="0" applyNumberFormat="1" applyFont="1" applyFill="1" applyBorder="1" applyAlignment="1" applyProtection="1">
      <alignment vertical="center"/>
      <protection/>
    </xf>
    <xf numFmtId="37" fontId="42" fillId="34" borderId="36" xfId="0" applyNumberFormat="1" applyFont="1" applyFill="1" applyBorder="1" applyAlignment="1" applyProtection="1">
      <alignment horizontal="left" vertical="center"/>
      <protection/>
    </xf>
    <xf numFmtId="0" fontId="42" fillId="34" borderId="20" xfId="0" applyFont="1" applyFill="1" applyBorder="1" applyAlignment="1" applyProtection="1">
      <alignment vertical="center"/>
      <protection/>
    </xf>
    <xf numFmtId="37" fontId="42" fillId="34" borderId="0" xfId="0" applyNumberFormat="1" applyFont="1" applyFill="1" applyBorder="1" applyAlignment="1" applyProtection="1">
      <alignment vertical="center"/>
      <protection/>
    </xf>
    <xf numFmtId="0" fontId="42" fillId="39" borderId="10" xfId="0" applyFont="1" applyFill="1" applyBorder="1" applyAlignment="1">
      <alignment horizontal="center" vertical="center" shrinkToFit="1"/>
    </xf>
    <xf numFmtId="0" fontId="58" fillId="39" borderId="12" xfId="0" applyFont="1" applyFill="1" applyBorder="1" applyAlignment="1" applyProtection="1">
      <alignment horizontal="center" vertical="center"/>
      <protection/>
    </xf>
    <xf numFmtId="3" fontId="42" fillId="33" borderId="10" xfId="0" applyNumberFormat="1" applyFont="1" applyFill="1" applyBorder="1" applyAlignment="1" applyProtection="1">
      <alignment vertical="center"/>
      <protection locked="0"/>
    </xf>
    <xf numFmtId="37" fontId="42" fillId="34" borderId="12" xfId="0" applyNumberFormat="1" applyFont="1" applyFill="1" applyBorder="1" applyAlignment="1" applyProtection="1">
      <alignment horizontal="fill" vertical="center"/>
      <protection/>
    </xf>
    <xf numFmtId="0" fontId="42" fillId="33" borderId="11" xfId="0" applyFont="1" applyFill="1" applyBorder="1" applyAlignment="1" applyProtection="1">
      <alignment vertical="center"/>
      <protection locked="0"/>
    </xf>
    <xf numFmtId="37" fontId="42" fillId="34" borderId="0" xfId="0" applyNumberFormat="1" applyFont="1" applyFill="1" applyBorder="1" applyAlignment="1" applyProtection="1">
      <alignment horizontal="fill" vertical="center"/>
      <protection/>
    </xf>
    <xf numFmtId="0" fontId="42" fillId="33" borderId="14" xfId="0" applyFont="1" applyFill="1" applyBorder="1" applyAlignment="1" applyProtection="1">
      <alignment vertical="center"/>
      <protection locked="0"/>
    </xf>
    <xf numFmtId="37" fontId="42" fillId="34" borderId="0" xfId="0" applyNumberFormat="1" applyFont="1" applyFill="1" applyBorder="1" applyAlignment="1" applyProtection="1">
      <alignment horizontal="left" vertical="center"/>
      <protection/>
    </xf>
    <xf numFmtId="0" fontId="42" fillId="34" borderId="31" xfId="0" applyFont="1" applyFill="1" applyBorder="1" applyAlignment="1" applyProtection="1">
      <alignment vertical="center"/>
      <protection locked="0"/>
    </xf>
    <xf numFmtId="0" fontId="42" fillId="34" borderId="0" xfId="0" applyFont="1" applyFill="1" applyAlignment="1" applyProtection="1">
      <alignment horizontal="centerContinuous" vertical="center"/>
      <protection locked="0"/>
    </xf>
    <xf numFmtId="0" fontId="42" fillId="34" borderId="11" xfId="0" applyFont="1" applyFill="1" applyBorder="1" applyAlignment="1" applyProtection="1">
      <alignment vertical="center"/>
      <protection locked="0"/>
    </xf>
    <xf numFmtId="37" fontId="42" fillId="34" borderId="0" xfId="0" applyNumberFormat="1" applyFont="1" applyFill="1" applyAlignment="1" applyProtection="1">
      <alignment horizontal="left" vertical="center"/>
      <protection locked="0"/>
    </xf>
    <xf numFmtId="37" fontId="42" fillId="34" borderId="0" xfId="0" applyNumberFormat="1" applyFont="1" applyFill="1" applyAlignment="1" applyProtection="1">
      <alignment horizontal="center" vertical="center"/>
      <protection locked="0"/>
    </xf>
    <xf numFmtId="37" fontId="42" fillId="34" borderId="31" xfId="0" applyNumberFormat="1" applyFont="1" applyFill="1" applyBorder="1" applyAlignment="1" applyProtection="1">
      <alignment horizontal="center" vertical="center"/>
      <protection/>
    </xf>
    <xf numFmtId="0" fontId="42" fillId="35" borderId="10" xfId="0" applyFont="1" applyFill="1" applyBorder="1" applyAlignment="1" applyProtection="1">
      <alignment horizontal="left" vertical="center"/>
      <protection/>
    </xf>
    <xf numFmtId="37" fontId="55" fillId="34" borderId="36" xfId="0" applyNumberFormat="1" applyFont="1" applyFill="1" applyBorder="1" applyAlignment="1" applyProtection="1">
      <alignment horizontal="left" vertical="center"/>
      <protection/>
    </xf>
    <xf numFmtId="37" fontId="42" fillId="34" borderId="16" xfId="0" applyNumberFormat="1" applyFont="1" applyFill="1" applyBorder="1" applyAlignment="1" applyProtection="1">
      <alignment vertical="center"/>
      <protection/>
    </xf>
    <xf numFmtId="183" fontId="42" fillId="34" borderId="16" xfId="0" applyNumberFormat="1" applyFont="1" applyFill="1" applyBorder="1" applyAlignment="1" applyProtection="1">
      <alignment vertical="center"/>
      <protection/>
    </xf>
    <xf numFmtId="37" fontId="42" fillId="34" borderId="10" xfId="0" applyNumberFormat="1" applyFont="1" applyFill="1" applyBorder="1" applyAlignment="1" applyProtection="1">
      <alignment horizontal="right" vertical="center"/>
      <protection/>
    </xf>
    <xf numFmtId="192" fontId="42" fillId="34" borderId="10" xfId="0" applyNumberFormat="1" applyFont="1" applyFill="1" applyBorder="1" applyAlignment="1" applyProtection="1">
      <alignment horizontal="right" vertical="center"/>
      <protection/>
    </xf>
    <xf numFmtId="0" fontId="42" fillId="34" borderId="16" xfId="0" applyFont="1" applyFill="1" applyBorder="1" applyAlignment="1" applyProtection="1">
      <alignment horizontal="right" vertical="center"/>
      <protection/>
    </xf>
    <xf numFmtId="37" fontId="42" fillId="34" borderId="19" xfId="0" applyNumberFormat="1" applyFont="1" applyFill="1" applyBorder="1" applyAlignment="1" applyProtection="1">
      <alignment horizontal="right" vertical="center"/>
      <protection/>
    </xf>
    <xf numFmtId="37" fontId="42" fillId="34" borderId="16" xfId="0" applyNumberFormat="1" applyFont="1" applyFill="1" applyBorder="1" applyAlignment="1" applyProtection="1">
      <alignment horizontal="right" vertical="center"/>
      <protection/>
    </xf>
    <xf numFmtId="0" fontId="42" fillId="34" borderId="0" xfId="0" applyFont="1" applyFill="1" applyAlignment="1" applyProtection="1">
      <alignment horizontal="left" vertical="center"/>
      <protection locked="0"/>
    </xf>
    <xf numFmtId="37" fontId="42" fillId="34" borderId="0" xfId="0" applyNumberFormat="1" applyFont="1" applyFill="1" applyAlignment="1">
      <alignment vertical="center"/>
    </xf>
    <xf numFmtId="0" fontId="55" fillId="34" borderId="11" xfId="0" applyFont="1" applyFill="1" applyBorder="1" applyAlignment="1" applyProtection="1">
      <alignment horizontal="center" vertical="center"/>
      <protection/>
    </xf>
    <xf numFmtId="0" fontId="55" fillId="34" borderId="16" xfId="0" applyFont="1" applyFill="1" applyBorder="1" applyAlignment="1" applyProtection="1">
      <alignment horizontal="center" vertical="center"/>
      <protection/>
    </xf>
    <xf numFmtId="0" fontId="55" fillId="34" borderId="20" xfId="0" applyFont="1" applyFill="1" applyBorder="1" applyAlignment="1" applyProtection="1">
      <alignment horizontal="center" vertical="center"/>
      <protection/>
    </xf>
    <xf numFmtId="0" fontId="55" fillId="34" borderId="17" xfId="0" applyFont="1" applyFill="1" applyBorder="1" applyAlignment="1" applyProtection="1">
      <alignment horizontal="center" vertical="center"/>
      <protection/>
    </xf>
    <xf numFmtId="0" fontId="55" fillId="34" borderId="34" xfId="0" applyFont="1" applyFill="1" applyBorder="1" applyAlignment="1" applyProtection="1">
      <alignment horizontal="center" vertical="center"/>
      <protection/>
    </xf>
    <xf numFmtId="0" fontId="55" fillId="34" borderId="38" xfId="0" applyFont="1" applyFill="1" applyBorder="1" applyAlignment="1" applyProtection="1">
      <alignment horizontal="center" vertical="center"/>
      <protection/>
    </xf>
    <xf numFmtId="0" fontId="55" fillId="34" borderId="39" xfId="0" applyFont="1" applyFill="1" applyBorder="1" applyAlignment="1" applyProtection="1">
      <alignment horizontal="center" vertical="center"/>
      <protection/>
    </xf>
    <xf numFmtId="0" fontId="42" fillId="34" borderId="39" xfId="0" applyFont="1" applyFill="1" applyBorder="1" applyAlignment="1" applyProtection="1">
      <alignment horizontal="center" vertical="center"/>
      <protection/>
    </xf>
    <xf numFmtId="0" fontId="42" fillId="0" borderId="0" xfId="0" applyFont="1" applyAlignment="1" applyProtection="1">
      <alignment horizontal="center" vertical="center"/>
      <protection locked="0"/>
    </xf>
    <xf numFmtId="0" fontId="104" fillId="34" borderId="0" xfId="0" applyFont="1" applyFill="1" applyAlignment="1" applyProtection="1">
      <alignment horizontal="right" vertical="center"/>
      <protection locked="0"/>
    </xf>
    <xf numFmtId="1" fontId="42" fillId="34" borderId="0" xfId="0" applyNumberFormat="1" applyFont="1" applyFill="1" applyBorder="1" applyAlignment="1" applyProtection="1">
      <alignment horizontal="right" vertical="center"/>
      <protection/>
    </xf>
    <xf numFmtId="0" fontId="42" fillId="34" borderId="36" xfId="0" applyFont="1" applyFill="1" applyBorder="1" applyAlignment="1" applyProtection="1">
      <alignment horizontal="centerContinuous" vertical="center"/>
      <protection/>
    </xf>
    <xf numFmtId="0" fontId="42" fillId="34" borderId="20" xfId="0" applyFont="1" applyFill="1" applyBorder="1" applyAlignment="1" applyProtection="1">
      <alignment horizontal="centerContinuous" vertical="center"/>
      <protection/>
    </xf>
    <xf numFmtId="1" fontId="42" fillId="34" borderId="35" xfId="0" applyNumberFormat="1" applyFont="1" applyFill="1" applyBorder="1" applyAlignment="1" applyProtection="1">
      <alignment horizontal="center" vertical="center"/>
      <protection/>
    </xf>
    <xf numFmtId="0" fontId="42" fillId="34" borderId="10" xfId="0" applyFont="1" applyFill="1" applyBorder="1" applyAlignment="1" applyProtection="1">
      <alignment horizontal="left" vertical="center"/>
      <protection/>
    </xf>
    <xf numFmtId="2" fontId="42" fillId="34" borderId="10" xfId="0" applyNumberFormat="1" applyFont="1" applyFill="1" applyBorder="1" applyAlignment="1" applyProtection="1">
      <alignment vertical="center"/>
      <protection/>
    </xf>
    <xf numFmtId="0" fontId="42" fillId="0" borderId="10" xfId="0" applyFont="1" applyFill="1" applyBorder="1" applyAlignment="1" applyProtection="1">
      <alignment horizontal="left" vertical="center"/>
      <protection locked="0"/>
    </xf>
    <xf numFmtId="14" fontId="42" fillId="0" borderId="10" xfId="0" applyNumberFormat="1" applyFont="1" applyFill="1" applyBorder="1" applyAlignment="1" applyProtection="1">
      <alignment horizontal="center" vertical="center"/>
      <protection locked="0"/>
    </xf>
    <xf numFmtId="2" fontId="42" fillId="0" borderId="10" xfId="0" applyNumberFormat="1" applyFont="1" applyFill="1" applyBorder="1" applyAlignment="1" applyProtection="1">
      <alignment horizontal="center" vertical="center"/>
      <protection locked="0"/>
    </xf>
    <xf numFmtId="3" fontId="42" fillId="0" borderId="10" xfId="0" applyNumberFormat="1" applyFont="1" applyFill="1" applyBorder="1" applyAlignment="1" applyProtection="1">
      <alignment horizontal="center" vertical="center"/>
      <protection locked="0"/>
    </xf>
    <xf numFmtId="37" fontId="42" fillId="0" borderId="10" xfId="0" applyNumberFormat="1" applyFont="1" applyFill="1" applyBorder="1" applyAlignment="1" applyProtection="1">
      <alignment horizontal="center" vertical="center"/>
      <protection locked="0"/>
    </xf>
    <xf numFmtId="173" fontId="42" fillId="0" borderId="10" xfId="0" applyNumberFormat="1" applyFont="1" applyFill="1" applyBorder="1" applyAlignment="1" applyProtection="1">
      <alignment horizontal="center" vertical="center"/>
      <protection locked="0"/>
    </xf>
    <xf numFmtId="0" fontId="42" fillId="0" borderId="0" xfId="0" applyFont="1" applyFill="1" applyAlignment="1" applyProtection="1">
      <alignment vertical="center"/>
      <protection locked="0"/>
    </xf>
    <xf numFmtId="0" fontId="55" fillId="34" borderId="10" xfId="0" applyFont="1" applyFill="1" applyBorder="1" applyAlignment="1" applyProtection="1">
      <alignment horizontal="center" vertical="center"/>
      <protection/>
    </xf>
    <xf numFmtId="172" fontId="55" fillId="34" borderId="10" xfId="0" applyNumberFormat="1" applyFont="1" applyFill="1" applyBorder="1" applyAlignment="1" applyProtection="1">
      <alignment horizontal="center" vertical="center"/>
      <protection/>
    </xf>
    <xf numFmtId="2" fontId="55" fillId="34" borderId="10" xfId="0" applyNumberFormat="1" applyFont="1" applyFill="1" applyBorder="1" applyAlignment="1" applyProtection="1">
      <alignment horizontal="center" vertical="center"/>
      <protection/>
    </xf>
    <xf numFmtId="3" fontId="55" fillId="34" borderId="10" xfId="0" applyNumberFormat="1" applyFont="1" applyFill="1" applyBorder="1" applyAlignment="1" applyProtection="1">
      <alignment horizontal="center" vertical="center"/>
      <protection/>
    </xf>
    <xf numFmtId="37" fontId="55" fillId="38" borderId="10" xfId="0" applyNumberFormat="1" applyFont="1" applyFill="1" applyBorder="1" applyAlignment="1" applyProtection="1">
      <alignment horizontal="center" vertical="center"/>
      <protection/>
    </xf>
    <xf numFmtId="173" fontId="55" fillId="34" borderId="10" xfId="0" applyNumberFormat="1" applyFont="1" applyFill="1" applyBorder="1" applyAlignment="1" applyProtection="1">
      <alignment horizontal="center" vertical="center"/>
      <protection/>
    </xf>
    <xf numFmtId="172" fontId="42" fillId="34" borderId="10" xfId="0" applyNumberFormat="1" applyFont="1" applyFill="1" applyBorder="1" applyAlignment="1" applyProtection="1">
      <alignment horizontal="center" vertical="center"/>
      <protection/>
    </xf>
    <xf numFmtId="2" fontId="42" fillId="34" borderId="10" xfId="0" applyNumberFormat="1" applyFont="1" applyFill="1" applyBorder="1" applyAlignment="1" applyProtection="1">
      <alignment horizontal="center" vertical="center"/>
      <protection/>
    </xf>
    <xf numFmtId="173" fontId="42" fillId="34" borderId="10" xfId="0" applyNumberFormat="1" applyFont="1" applyFill="1" applyBorder="1" applyAlignment="1" applyProtection="1">
      <alignment horizontal="center" vertical="center"/>
      <protection/>
    </xf>
    <xf numFmtId="0" fontId="42" fillId="0" borderId="10" xfId="0" applyFont="1" applyFill="1" applyBorder="1" applyAlignment="1" applyProtection="1">
      <alignment horizontal="center" vertical="center"/>
      <protection locked="0"/>
    </xf>
    <xf numFmtId="1" fontId="55" fillId="34" borderId="10" xfId="0" applyNumberFormat="1" applyFont="1" applyFill="1" applyBorder="1" applyAlignment="1" applyProtection="1">
      <alignment horizontal="center" vertical="center"/>
      <protection/>
    </xf>
    <xf numFmtId="3" fontId="55" fillId="38" borderId="10" xfId="0" applyNumberFormat="1" applyFont="1" applyFill="1" applyBorder="1" applyAlignment="1" applyProtection="1">
      <alignment horizontal="center" vertical="center"/>
      <protection/>
    </xf>
    <xf numFmtId="1" fontId="42" fillId="34" borderId="10" xfId="0" applyNumberFormat="1" applyFont="1" applyFill="1" applyBorder="1" applyAlignment="1" applyProtection="1">
      <alignment horizontal="center" vertical="center"/>
      <protection/>
    </xf>
    <xf numFmtId="0" fontId="42" fillId="0" borderId="0" xfId="0" applyFont="1" applyFill="1" applyAlignment="1">
      <alignment vertical="center"/>
    </xf>
    <xf numFmtId="37" fontId="42" fillId="0" borderId="0" xfId="0" applyNumberFormat="1" applyFont="1" applyAlignment="1" applyProtection="1">
      <alignment vertical="center"/>
      <protection locked="0"/>
    </xf>
    <xf numFmtId="0" fontId="42" fillId="0" borderId="0" xfId="0" applyFont="1" applyAlignment="1" applyProtection="1">
      <alignment horizontal="left" vertical="center"/>
      <protection locked="0"/>
    </xf>
    <xf numFmtId="37" fontId="46" fillId="34" borderId="0" xfId="0" applyNumberFormat="1" applyFont="1" applyFill="1" applyAlignment="1">
      <alignment vertical="center"/>
    </xf>
    <xf numFmtId="0" fontId="46" fillId="34" borderId="0" xfId="0" applyFont="1" applyFill="1" applyAlignment="1">
      <alignment horizontal="center" vertical="center"/>
    </xf>
    <xf numFmtId="0" fontId="50" fillId="34" borderId="0" xfId="0" applyFont="1" applyFill="1" applyAlignment="1">
      <alignment horizontal="center" vertical="center"/>
    </xf>
    <xf numFmtId="0" fontId="62" fillId="34" borderId="0" xfId="0" applyFont="1" applyFill="1" applyAlignment="1">
      <alignment horizontal="center" vertical="center"/>
    </xf>
    <xf numFmtId="0" fontId="46" fillId="34" borderId="12" xfId="0" applyFont="1" applyFill="1" applyBorder="1" applyAlignment="1">
      <alignment horizontal="center" vertical="center"/>
    </xf>
    <xf numFmtId="0" fontId="46" fillId="34" borderId="11" xfId="0" applyFont="1" applyFill="1" applyBorder="1" applyAlignment="1">
      <alignment vertical="center"/>
    </xf>
    <xf numFmtId="0" fontId="46" fillId="34" borderId="16" xfId="0" applyFont="1" applyFill="1" applyBorder="1" applyAlignment="1">
      <alignment vertical="center"/>
    </xf>
    <xf numFmtId="0" fontId="46" fillId="34" borderId="20" xfId="0" applyFont="1" applyFill="1" applyBorder="1" applyAlignment="1">
      <alignment vertical="center"/>
    </xf>
    <xf numFmtId="0" fontId="46" fillId="34" borderId="10" xfId="0" applyFont="1" applyFill="1" applyBorder="1" applyAlignment="1">
      <alignment horizontal="center" vertical="center"/>
    </xf>
    <xf numFmtId="0" fontId="46" fillId="34" borderId="12" xfId="0" applyFont="1" applyFill="1" applyBorder="1" applyAlignment="1">
      <alignment vertical="center"/>
    </xf>
    <xf numFmtId="0" fontId="46" fillId="34" borderId="35" xfId="0" applyFont="1" applyFill="1" applyBorder="1" applyAlignment="1">
      <alignment vertical="center"/>
    </xf>
    <xf numFmtId="3" fontId="46" fillId="33" borderId="10" xfId="0" applyNumberFormat="1" applyFont="1" applyFill="1" applyBorder="1" applyAlignment="1" applyProtection="1">
      <alignment horizontal="center" vertical="center"/>
      <protection locked="0"/>
    </xf>
    <xf numFmtId="3" fontId="46" fillId="38" borderId="10" xfId="0" applyNumberFormat="1" applyFont="1" applyFill="1" applyBorder="1" applyAlignment="1">
      <alignment horizontal="center" vertical="center"/>
    </xf>
    <xf numFmtId="3" fontId="46" fillId="34" borderId="0" xfId="0" applyNumberFormat="1" applyFont="1" applyFill="1" applyAlignment="1">
      <alignment horizontal="center" vertical="center"/>
    </xf>
    <xf numFmtId="3" fontId="46" fillId="34" borderId="10" xfId="0" applyNumberFormat="1" applyFont="1" applyFill="1" applyBorder="1" applyAlignment="1">
      <alignment horizontal="center" vertical="center"/>
    </xf>
    <xf numFmtId="3" fontId="46" fillId="38" borderId="18" xfId="0" applyNumberFormat="1" applyFont="1" applyFill="1" applyBorder="1" applyAlignment="1">
      <alignment horizontal="center" vertical="center"/>
    </xf>
    <xf numFmtId="3" fontId="50" fillId="39" borderId="10" xfId="0" applyNumberFormat="1" applyFont="1" applyFill="1" applyBorder="1" applyAlignment="1">
      <alignment horizontal="center" vertical="center"/>
    </xf>
    <xf numFmtId="3" fontId="63" fillId="39" borderId="0" xfId="0" applyNumberFormat="1" applyFont="1" applyFill="1" applyAlignment="1">
      <alignment horizontal="center" vertical="center"/>
    </xf>
    <xf numFmtId="3" fontId="46" fillId="34" borderId="0" xfId="0" applyNumberFormat="1" applyFont="1" applyFill="1" applyAlignment="1">
      <alignment vertical="center"/>
    </xf>
    <xf numFmtId="0" fontId="46" fillId="36" borderId="0" xfId="0" applyFont="1" applyFill="1" applyAlignment="1">
      <alignment vertical="center"/>
    </xf>
    <xf numFmtId="3" fontId="46" fillId="0" borderId="0" xfId="0" applyNumberFormat="1" applyFont="1" applyAlignment="1">
      <alignment vertical="center"/>
    </xf>
    <xf numFmtId="175" fontId="46" fillId="33" borderId="10" xfId="42" applyNumberFormat="1" applyFont="1" applyFill="1" applyBorder="1" applyAlignment="1" applyProtection="1">
      <alignment horizontal="center" vertical="center"/>
      <protection locked="0"/>
    </xf>
    <xf numFmtId="175" fontId="46" fillId="34" borderId="0" xfId="42" applyNumberFormat="1" applyFont="1" applyFill="1" applyAlignment="1">
      <alignment horizontal="center" vertical="center"/>
    </xf>
    <xf numFmtId="0" fontId="46" fillId="33" borderId="10" xfId="0" applyFont="1" applyFill="1" applyBorder="1" applyAlignment="1" applyProtection="1">
      <alignment vertical="center"/>
      <protection locked="0"/>
    </xf>
    <xf numFmtId="0" fontId="46" fillId="33" borderId="20" xfId="0" applyFont="1" applyFill="1" applyBorder="1" applyAlignment="1" applyProtection="1">
      <alignment vertical="center"/>
      <protection locked="0"/>
    </xf>
    <xf numFmtId="0" fontId="46" fillId="33" borderId="0" xfId="0" applyFont="1" applyFill="1" applyAlignment="1" applyProtection="1">
      <alignment vertical="center"/>
      <protection locked="0"/>
    </xf>
    <xf numFmtId="0" fontId="46" fillId="33" borderId="12" xfId="0" applyFont="1" applyFill="1" applyBorder="1" applyAlignment="1" applyProtection="1">
      <alignment vertical="center"/>
      <protection locked="0"/>
    </xf>
    <xf numFmtId="0" fontId="46" fillId="33" borderId="34" xfId="0" applyFont="1" applyFill="1" applyBorder="1" applyAlignment="1" applyProtection="1">
      <alignment vertical="center"/>
      <protection locked="0"/>
    </xf>
    <xf numFmtId="175" fontId="46" fillId="38" borderId="10" xfId="42" applyNumberFormat="1" applyFont="1" applyFill="1" applyBorder="1" applyAlignment="1">
      <alignment horizontal="center" vertical="center"/>
    </xf>
    <xf numFmtId="37" fontId="42" fillId="0" borderId="0" xfId="0" applyNumberFormat="1" applyFont="1" applyAlignment="1" applyProtection="1">
      <alignment horizontal="center" vertical="center"/>
      <protection locked="0"/>
    </xf>
    <xf numFmtId="37" fontId="55" fillId="34" borderId="0" xfId="0" applyNumberFormat="1" applyFont="1" applyFill="1" applyAlignment="1" applyProtection="1">
      <alignment horizontal="center" vertical="center"/>
      <protection/>
    </xf>
    <xf numFmtId="37" fontId="42" fillId="34" borderId="16" xfId="0" applyNumberFormat="1" applyFont="1" applyFill="1" applyBorder="1" applyAlignment="1" applyProtection="1">
      <alignment horizontal="center" vertical="center" wrapText="1"/>
      <protection/>
    </xf>
    <xf numFmtId="0" fontId="42" fillId="0" borderId="18" xfId="0" applyFont="1" applyBorder="1" applyAlignment="1">
      <alignment horizontal="center" vertical="center" wrapText="1"/>
    </xf>
    <xf numFmtId="37" fontId="56" fillId="34" borderId="0" xfId="0" applyNumberFormat="1" applyFont="1" applyFill="1" applyAlignment="1" applyProtection="1">
      <alignment horizontal="center" vertical="center"/>
      <protection/>
    </xf>
    <xf numFmtId="0" fontId="55" fillId="0" borderId="0" xfId="0" applyFont="1" applyAlignment="1">
      <alignment horizontal="center" vertical="center"/>
    </xf>
    <xf numFmtId="37" fontId="42" fillId="34" borderId="0" xfId="0" applyNumberFormat="1" applyFont="1" applyFill="1" applyAlignment="1" applyProtection="1">
      <alignment horizontal="center" vertical="center"/>
      <protection/>
    </xf>
    <xf numFmtId="0" fontId="42" fillId="0" borderId="0" xfId="0" applyFont="1" applyAlignment="1">
      <alignment horizontal="center" vertical="center"/>
    </xf>
    <xf numFmtId="0" fontId="42" fillId="0" borderId="0" xfId="0" applyFont="1" applyAlignment="1">
      <alignment vertical="center"/>
    </xf>
    <xf numFmtId="37" fontId="42" fillId="34" borderId="15" xfId="0" applyNumberFormat="1" applyFont="1" applyFill="1" applyBorder="1" applyAlignment="1" applyProtection="1">
      <alignment horizontal="fill" vertical="center"/>
      <protection/>
    </xf>
    <xf numFmtId="0" fontId="42" fillId="0" borderId="12" xfId="0" applyFont="1" applyBorder="1" applyAlignment="1">
      <alignment vertical="center"/>
    </xf>
    <xf numFmtId="0" fontId="42" fillId="34" borderId="0" xfId="0" applyFont="1" applyFill="1" applyAlignment="1" applyProtection="1">
      <alignment horizontal="center" vertical="center"/>
      <protection/>
    </xf>
    <xf numFmtId="0" fontId="42" fillId="35" borderId="16" xfId="0" applyFont="1" applyFill="1" applyBorder="1" applyAlignment="1" applyProtection="1">
      <alignment horizontal="center" vertical="center" wrapText="1"/>
      <protection/>
    </xf>
    <xf numFmtId="0" fontId="42" fillId="0" borderId="18" xfId="0" applyFont="1" applyBorder="1" applyAlignment="1">
      <alignment vertical="center" wrapText="1"/>
    </xf>
    <xf numFmtId="0" fontId="55" fillId="34" borderId="0" xfId="0" applyFont="1" applyFill="1" applyAlignment="1" applyProtection="1">
      <alignment horizontal="center" vertical="center"/>
      <protection/>
    </xf>
    <xf numFmtId="37" fontId="42" fillId="34" borderId="16" xfId="0" applyNumberFormat="1" applyFont="1" applyFill="1" applyBorder="1" applyAlignment="1" applyProtection="1">
      <alignment horizontal="center" wrapText="1"/>
      <protection/>
    </xf>
    <xf numFmtId="0" fontId="42" fillId="0" borderId="18" xfId="0" applyFont="1" applyBorder="1" applyAlignment="1">
      <alignment horizontal="center" wrapText="1"/>
    </xf>
    <xf numFmtId="37" fontId="55" fillId="34" borderId="0" xfId="0" applyNumberFormat="1" applyFont="1" applyFill="1" applyAlignment="1" applyProtection="1">
      <alignment horizontal="center"/>
      <protection/>
    </xf>
    <xf numFmtId="0" fontId="42" fillId="0" borderId="0" xfId="0" applyFont="1" applyAlignment="1">
      <alignment/>
    </xf>
    <xf numFmtId="37" fontId="42" fillId="34" borderId="15" xfId="0" applyNumberFormat="1" applyFont="1" applyFill="1" applyBorder="1" applyAlignment="1" applyProtection="1">
      <alignment horizontal="center"/>
      <protection/>
    </xf>
    <xf numFmtId="0" fontId="42" fillId="0" borderId="14" xfId="0" applyFont="1" applyBorder="1" applyAlignment="1">
      <alignment horizontal="center"/>
    </xf>
    <xf numFmtId="0" fontId="42" fillId="0" borderId="12" xfId="0" applyFont="1" applyBorder="1" applyAlignment="1">
      <alignment horizontal="center"/>
    </xf>
    <xf numFmtId="0" fontId="42" fillId="34" borderId="35" xfId="0" applyFont="1" applyFill="1" applyBorder="1" applyAlignment="1" applyProtection="1">
      <alignment horizontal="center" vertical="center"/>
      <protection/>
    </xf>
    <xf numFmtId="0" fontId="42" fillId="0" borderId="13" xfId="0" applyFont="1" applyBorder="1" applyAlignment="1" applyProtection="1">
      <alignment vertical="center"/>
      <protection/>
    </xf>
    <xf numFmtId="1" fontId="42" fillId="34" borderId="35" xfId="0" applyNumberFormat="1" applyFont="1" applyFill="1" applyBorder="1" applyAlignment="1" applyProtection="1">
      <alignment horizontal="center" vertical="center"/>
      <protection/>
    </xf>
    <xf numFmtId="0" fontId="42" fillId="0" borderId="13" xfId="0" applyFont="1" applyBorder="1" applyAlignment="1" applyProtection="1">
      <alignment horizontal="center" vertical="center"/>
      <protection/>
    </xf>
    <xf numFmtId="3" fontId="41" fillId="42" borderId="31" xfId="88" applyNumberFormat="1" applyFont="1" applyFill="1" applyBorder="1" applyAlignment="1" applyProtection="1">
      <alignment horizontal="right" vertical="center"/>
      <protection/>
    </xf>
    <xf numFmtId="0" fontId="41" fillId="42" borderId="20" xfId="88" applyFont="1" applyFill="1" applyBorder="1" applyAlignment="1">
      <alignment horizontal="right" vertical="center"/>
      <protection/>
    </xf>
    <xf numFmtId="0" fontId="41" fillId="42" borderId="0" xfId="88" applyFont="1" applyFill="1" applyAlignment="1" applyProtection="1">
      <alignment horizontal="right" vertical="center"/>
      <protection/>
    </xf>
    <xf numFmtId="0" fontId="41" fillId="42" borderId="34" xfId="88" applyFont="1" applyFill="1" applyBorder="1" applyAlignment="1">
      <alignment horizontal="right" vertical="center"/>
      <protection/>
    </xf>
    <xf numFmtId="0" fontId="45" fillId="34" borderId="36" xfId="76" applyFont="1" applyFill="1" applyBorder="1" applyAlignment="1" applyProtection="1">
      <alignment horizontal="center" vertical="center"/>
      <protection/>
    </xf>
    <xf numFmtId="0" fontId="45" fillId="0" borderId="31" xfId="76" applyFont="1" applyBorder="1" applyAlignment="1" applyProtection="1">
      <alignment horizontal="center" vertical="center"/>
      <protection/>
    </xf>
    <xf numFmtId="0" fontId="41" fillId="0" borderId="20" xfId="76" applyFont="1" applyBorder="1" applyAlignment="1" applyProtection="1">
      <alignment vertical="center"/>
      <protection/>
    </xf>
    <xf numFmtId="0" fontId="45" fillId="34" borderId="31" xfId="76" applyFont="1" applyFill="1" applyBorder="1" applyAlignment="1" applyProtection="1">
      <alignment horizontal="center" vertical="center"/>
      <protection/>
    </xf>
    <xf numFmtId="0" fontId="41" fillId="42" borderId="0" xfId="0" applyFont="1" applyFill="1" applyAlignment="1" applyProtection="1">
      <alignment horizontal="center" vertical="center"/>
      <protection/>
    </xf>
    <xf numFmtId="0" fontId="41" fillId="42" borderId="0" xfId="0" applyNumberFormat="1" applyFont="1" applyFill="1" applyBorder="1" applyAlignment="1" applyProtection="1">
      <alignment horizontal="right" vertical="center"/>
      <protection/>
    </xf>
    <xf numFmtId="0" fontId="41" fillId="42" borderId="0" xfId="0" applyFont="1" applyFill="1" applyAlignment="1">
      <alignment horizontal="right" vertical="center"/>
    </xf>
    <xf numFmtId="0" fontId="51" fillId="34" borderId="36" xfId="76" applyFont="1" applyFill="1" applyBorder="1" applyAlignment="1" applyProtection="1">
      <alignment horizontal="center" vertical="center"/>
      <protection/>
    </xf>
    <xf numFmtId="0" fontId="52" fillId="0" borderId="31" xfId="76" applyFont="1" applyBorder="1" applyAlignment="1" applyProtection="1">
      <alignment horizontal="center" vertical="center"/>
      <protection/>
    </xf>
    <xf numFmtId="0" fontId="52" fillId="0" borderId="20" xfId="76" applyFont="1" applyBorder="1" applyAlignment="1" applyProtection="1">
      <alignment horizontal="center" vertical="center"/>
      <protection/>
    </xf>
    <xf numFmtId="3" fontId="42" fillId="42" borderId="31" xfId="88" applyNumberFormat="1" applyFont="1" applyFill="1" applyBorder="1" applyAlignment="1" applyProtection="1">
      <alignment horizontal="right" vertical="center"/>
      <protection/>
    </xf>
    <xf numFmtId="0" fontId="42" fillId="42" borderId="20" xfId="88" applyFont="1" applyFill="1" applyBorder="1" applyAlignment="1">
      <alignment horizontal="right" vertical="center"/>
      <protection/>
    </xf>
    <xf numFmtId="0" fontId="42" fillId="42" borderId="0" xfId="88" applyFont="1" applyFill="1" applyAlignment="1" applyProtection="1">
      <alignment horizontal="right" vertical="center"/>
      <protection/>
    </xf>
    <xf numFmtId="0" fontId="42" fillId="42" borderId="34" xfId="88" applyFont="1" applyFill="1" applyBorder="1" applyAlignment="1">
      <alignment horizontal="right" vertical="center"/>
      <protection/>
    </xf>
    <xf numFmtId="0" fontId="42" fillId="42" borderId="0" xfId="0" applyNumberFormat="1" applyFont="1" applyFill="1" applyBorder="1" applyAlignment="1" applyProtection="1">
      <alignment horizontal="right" vertical="center"/>
      <protection/>
    </xf>
    <xf numFmtId="0" fontId="42" fillId="42" borderId="0" xfId="0" applyFont="1" applyFill="1" applyAlignment="1">
      <alignment horizontal="right" vertical="center"/>
    </xf>
    <xf numFmtId="0" fontId="46" fillId="34" borderId="15" xfId="0" applyFont="1" applyFill="1" applyBorder="1" applyAlignment="1">
      <alignment horizontal="center" vertical="center"/>
    </xf>
    <xf numFmtId="0" fontId="46" fillId="34" borderId="12" xfId="0" applyFont="1" applyFill="1" applyBorder="1" applyAlignment="1">
      <alignment horizontal="center" vertical="center"/>
    </xf>
    <xf numFmtId="37" fontId="42" fillId="42" borderId="0" xfId="0" applyNumberFormat="1" applyFont="1" applyFill="1" applyAlignment="1" applyProtection="1">
      <alignment horizontal="center" vertical="center"/>
      <protection/>
    </xf>
    <xf numFmtId="0" fontId="56" fillId="42" borderId="31" xfId="85" applyFont="1" applyFill="1" applyBorder="1" applyAlignment="1" applyProtection="1">
      <alignment horizontal="center"/>
      <protection/>
    </xf>
    <xf numFmtId="0" fontId="56" fillId="42" borderId="20" xfId="85" applyFont="1" applyFill="1" applyBorder="1" applyAlignment="1" applyProtection="1">
      <alignment horizontal="center"/>
      <protection/>
    </xf>
    <xf numFmtId="0" fontId="56" fillId="42" borderId="36" xfId="85" applyFont="1" applyFill="1" applyBorder="1" applyAlignment="1" applyProtection="1">
      <alignment horizontal="center"/>
      <protection/>
    </xf>
    <xf numFmtId="0" fontId="42" fillId="0" borderId="31" xfId="85" applyFont="1" applyBorder="1" applyAlignment="1" applyProtection="1">
      <alignment horizontal="center"/>
      <protection/>
    </xf>
    <xf numFmtId="0" fontId="42" fillId="0" borderId="20" xfId="85" applyFont="1" applyBorder="1" applyAlignment="1" applyProtection="1">
      <alignment horizontal="center"/>
      <protection/>
    </xf>
    <xf numFmtId="37" fontId="42" fillId="34" borderId="11" xfId="0" applyNumberFormat="1" applyFont="1" applyFill="1" applyBorder="1" applyAlignment="1" applyProtection="1">
      <alignment horizontal="fill" vertical="center"/>
      <protection locked="0"/>
    </xf>
    <xf numFmtId="37" fontId="4" fillId="34" borderId="0" xfId="0" applyNumberFormat="1" applyFont="1" applyFill="1" applyAlignment="1" applyProtection="1">
      <alignment horizontal="center" vertical="center"/>
      <protection/>
    </xf>
    <xf numFmtId="37" fontId="21" fillId="34" borderId="0" xfId="0" applyNumberFormat="1" applyFont="1" applyFill="1" applyAlignment="1" applyProtection="1">
      <alignment horizontal="center" vertical="center"/>
      <protection/>
    </xf>
    <xf numFmtId="0" fontId="22" fillId="0" borderId="0" xfId="0" applyFont="1" applyAlignment="1">
      <alignment horizontal="center" vertical="center"/>
    </xf>
    <xf numFmtId="0" fontId="5"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4" fillId="35"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0" fillId="34" borderId="0" xfId="0" applyFont="1" applyFill="1" applyBorder="1" applyAlignment="1">
      <alignment vertical="center"/>
    </xf>
    <xf numFmtId="0" fontId="24" fillId="0" borderId="0" xfId="0" applyFont="1" applyAlignment="1">
      <alignment vertical="center"/>
    </xf>
    <xf numFmtId="37" fontId="41" fillId="35" borderId="0" xfId="0" applyNumberFormat="1" applyFont="1" applyFill="1" applyAlignment="1" applyProtection="1">
      <alignment horizontal="center" vertical="center" wrapText="1"/>
      <protection/>
    </xf>
    <xf numFmtId="0" fontId="41" fillId="35" borderId="11" xfId="0" applyFont="1" applyFill="1" applyBorder="1" applyAlignment="1">
      <alignment horizontal="center" vertical="center" wrapText="1"/>
    </xf>
    <xf numFmtId="37" fontId="49" fillId="34" borderId="0" xfId="0" applyNumberFormat="1" applyFont="1" applyFill="1" applyAlignment="1" applyProtection="1">
      <alignment horizontal="center" vertical="center"/>
      <protection/>
    </xf>
    <xf numFmtId="0" fontId="52" fillId="0" borderId="0" xfId="0" applyFont="1" applyAlignment="1">
      <alignment horizontal="center" vertical="center"/>
    </xf>
    <xf numFmtId="37" fontId="43" fillId="34" borderId="0" xfId="0" applyNumberFormat="1" applyFont="1" applyFill="1" applyAlignment="1" applyProtection="1">
      <alignment horizontal="center" vertical="center"/>
      <protection/>
    </xf>
    <xf numFmtId="0" fontId="43" fillId="0" borderId="0" xfId="0" applyFont="1" applyAlignment="1">
      <alignment horizontal="center" vertical="center"/>
    </xf>
    <xf numFmtId="37" fontId="4" fillId="34" borderId="16" xfId="0" applyNumberFormat="1" applyFont="1" applyFill="1" applyBorder="1" applyAlignment="1" applyProtection="1">
      <alignment horizontal="center" vertical="center" wrapText="1"/>
      <protection/>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0" borderId="0" xfId="381" applyFont="1" applyAlignment="1">
      <alignment horizontal="left" vertical="center" wrapText="1"/>
      <protection/>
    </xf>
    <xf numFmtId="0" fontId="11" fillId="0" borderId="0" xfId="381" applyFont="1" applyAlignment="1">
      <alignment horizontal="left" vertical="center" wrapText="1"/>
      <protection/>
    </xf>
    <xf numFmtId="0" fontId="19" fillId="0" borderId="0" xfId="381" applyFont="1" applyAlignment="1">
      <alignment horizontal="left"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center" vertical="center"/>
      <protection/>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0" fillId="0" borderId="0" xfId="0" applyAlignment="1">
      <alignment vertical="center"/>
    </xf>
    <xf numFmtId="0" fontId="7" fillId="0" borderId="0" xfId="0" applyFont="1" applyAlignment="1">
      <alignment horizontal="center"/>
    </xf>
    <xf numFmtId="0" fontId="13" fillId="0" borderId="0" xfId="0" applyFont="1" applyAlignment="1">
      <alignment horizontal="center" vertical="top"/>
    </xf>
    <xf numFmtId="0" fontId="14"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5" fontId="38" fillId="42" borderId="11" xfId="0" applyNumberFormat="1" applyFont="1" applyFill="1" applyBorder="1" applyAlignment="1">
      <alignment horizontal="center"/>
    </xf>
    <xf numFmtId="0" fontId="100" fillId="42" borderId="24" xfId="0" applyFont="1" applyFill="1" applyBorder="1" applyAlignment="1">
      <alignment horizontal="center" vertical="center"/>
    </xf>
    <xf numFmtId="190" fontId="38" fillId="41" borderId="11" xfId="0" applyNumberFormat="1" applyFont="1" applyFill="1" applyBorder="1" applyAlignment="1" applyProtection="1">
      <alignment horizontal="center"/>
      <protection locked="0"/>
    </xf>
    <xf numFmtId="0" fontId="38" fillId="42" borderId="0" xfId="0" applyFont="1" applyFill="1" applyBorder="1" applyAlignment="1">
      <alignment wrapText="1"/>
    </xf>
    <xf numFmtId="0" fontId="38" fillId="0" borderId="0" xfId="0" applyFont="1" applyAlignment="1">
      <alignment wrapText="1"/>
    </xf>
    <xf numFmtId="0" fontId="38" fillId="42" borderId="0" xfId="0" applyFont="1" applyFill="1" applyAlignment="1">
      <alignment wrapText="1"/>
    </xf>
    <xf numFmtId="0" fontId="38" fillId="42" borderId="0" xfId="0" applyFont="1" applyFill="1" applyBorder="1" applyAlignment="1">
      <alignment horizontal="center"/>
    </xf>
    <xf numFmtId="0" fontId="100" fillId="42" borderId="0" xfId="0" applyFont="1" applyFill="1" applyAlignment="1">
      <alignment horizontal="center" wrapText="1"/>
    </xf>
    <xf numFmtId="0" fontId="38" fillId="0" borderId="0" xfId="0" applyFont="1" applyAlignment="1">
      <alignment horizontal="center" wrapText="1"/>
    </xf>
    <xf numFmtId="0" fontId="100" fillId="42" borderId="0" xfId="0" applyFont="1" applyFill="1" applyAlignment="1">
      <alignment horizontal="center" vertical="center"/>
    </xf>
    <xf numFmtId="0" fontId="100" fillId="0" borderId="0" xfId="0" applyFont="1" applyAlignment="1">
      <alignment horizontal="center" vertical="center"/>
    </xf>
    <xf numFmtId="0" fontId="100" fillId="42" borderId="0" xfId="0" applyFont="1" applyFill="1" applyAlignment="1">
      <alignment horizontal="center"/>
    </xf>
    <xf numFmtId="190" fontId="38" fillId="42" borderId="0" xfId="0" applyNumberFormat="1" applyFont="1" applyFill="1" applyAlignment="1">
      <alignment/>
    </xf>
    <xf numFmtId="190" fontId="38" fillId="42" borderId="0" xfId="0" applyNumberFormat="1" applyFont="1" applyFill="1" applyAlignment="1">
      <alignment horizontal="center"/>
    </xf>
    <xf numFmtId="0" fontId="38" fillId="42" borderId="0" xfId="0" applyFont="1" applyFill="1" applyBorder="1" applyAlignment="1">
      <alignment/>
    </xf>
    <xf numFmtId="0" fontId="38" fillId="0" borderId="0" xfId="0" applyFont="1" applyBorder="1" applyAlignment="1">
      <alignment/>
    </xf>
    <xf numFmtId="0" fontId="38" fillId="42" borderId="28" xfId="0" applyFont="1" applyFill="1" applyBorder="1" applyAlignment="1">
      <alignment/>
    </xf>
    <xf numFmtId="0" fontId="38" fillId="42" borderId="29" xfId="0" applyFont="1" applyFill="1" applyBorder="1" applyAlignment="1">
      <alignment/>
    </xf>
    <xf numFmtId="0" fontId="38" fillId="0" borderId="24" xfId="0" applyFont="1" applyBorder="1" applyAlignment="1">
      <alignment horizontal="center" vertical="center"/>
    </xf>
    <xf numFmtId="0" fontId="100" fillId="42" borderId="0" xfId="0" applyFont="1" applyFill="1" applyBorder="1" applyAlignment="1">
      <alignment horizontal="center" wrapText="1"/>
    </xf>
    <xf numFmtId="183" fontId="38" fillId="41" borderId="11" xfId="0" applyNumberFormat="1" applyFont="1" applyFill="1" applyBorder="1" applyAlignment="1" applyProtection="1">
      <alignment horizontal="center"/>
      <protection locked="0"/>
    </xf>
    <xf numFmtId="190" fontId="38" fillId="42" borderId="0" xfId="0" applyNumberFormat="1" applyFont="1" applyFill="1" applyBorder="1" applyAlignment="1">
      <alignment horizontal="center"/>
    </xf>
    <xf numFmtId="190" fontId="38" fillId="0" borderId="23" xfId="0" applyNumberFormat="1" applyFont="1" applyBorder="1" applyAlignment="1">
      <alignment horizontal="center"/>
    </xf>
    <xf numFmtId="0" fontId="38" fillId="42" borderId="31" xfId="0" applyFont="1" applyFill="1" applyBorder="1" applyAlignment="1">
      <alignment horizontal="center"/>
    </xf>
    <xf numFmtId="0" fontId="38" fillId="42" borderId="22" xfId="0" applyFont="1" applyFill="1" applyBorder="1" applyAlignment="1">
      <alignment vertical="top" wrapText="1"/>
    </xf>
    <xf numFmtId="0" fontId="38" fillId="0" borderId="0" xfId="0" applyFont="1" applyAlignment="1">
      <alignment vertical="top" wrapText="1"/>
    </xf>
    <xf numFmtId="0" fontId="38" fillId="0" borderId="23" xfId="0" applyFont="1" applyBorder="1" applyAlignment="1">
      <alignment vertical="top" wrapText="1"/>
    </xf>
    <xf numFmtId="191" fontId="38" fillId="42" borderId="0" xfId="0" applyNumberFormat="1" applyFont="1" applyFill="1" applyBorder="1" applyAlignment="1">
      <alignment horizontal="center"/>
    </xf>
    <xf numFmtId="0" fontId="38" fillId="0" borderId="23" xfId="0" applyFont="1" applyBorder="1" applyAlignment="1">
      <alignment horizontal="center"/>
    </xf>
    <xf numFmtId="0" fontId="100" fillId="0" borderId="0" xfId="0" applyFont="1" applyAlignment="1">
      <alignment horizontal="center" wrapText="1"/>
    </xf>
  </cellXfs>
  <cellStyles count="3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2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16" xfId="184"/>
    <cellStyle name="Normal 2 2" xfId="185"/>
    <cellStyle name="Normal 2 2 10" xfId="186"/>
    <cellStyle name="Normal 2 2 10 2" xfId="187"/>
    <cellStyle name="Normal 2 2 11" xfId="188"/>
    <cellStyle name="Normal 2 2 11 2" xfId="189"/>
    <cellStyle name="Normal 2 2 12" xfId="190"/>
    <cellStyle name="Normal 2 2 12 2" xfId="191"/>
    <cellStyle name="Normal 2 2 13" xfId="192"/>
    <cellStyle name="Normal 2 2 13 2" xfId="193"/>
    <cellStyle name="Normal 2 2 14" xfId="194"/>
    <cellStyle name="Normal 2 2 14 2" xfId="195"/>
    <cellStyle name="Normal 2 2 15" xfId="196"/>
    <cellStyle name="Normal 2 2 15 2" xfId="197"/>
    <cellStyle name="Normal 2 2 16"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2" xfId="237"/>
    <cellStyle name="Normal 2 3 2 2"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2" xfId="251"/>
    <cellStyle name="Normal 2 4 2 2" xfId="252"/>
    <cellStyle name="Normal 2 4 3" xfId="253"/>
    <cellStyle name="Normal 2 4 3 2" xfId="254"/>
    <cellStyle name="Normal 2 4 3 3" xfId="255"/>
    <cellStyle name="Normal 2 4 4" xfId="256"/>
    <cellStyle name="Normal 2 4 5" xfId="257"/>
    <cellStyle name="Normal 2 4 6" xfId="258"/>
    <cellStyle name="Normal 2 4 7" xfId="259"/>
    <cellStyle name="Normal 2 4 8" xfId="260"/>
    <cellStyle name="Normal 2 4 9" xfId="261"/>
    <cellStyle name="Normal 2 5" xfId="262"/>
    <cellStyle name="Normal 2 5 10" xfId="263"/>
    <cellStyle name="Normal 2 5 11" xfId="264"/>
    <cellStyle name="Normal 2 5 12" xfId="265"/>
    <cellStyle name="Normal 2 5 2" xfId="266"/>
    <cellStyle name="Normal 2 5 2 2" xfId="267"/>
    <cellStyle name="Normal 2 5 3" xfId="268"/>
    <cellStyle name="Normal 2 5 3 2" xfId="269"/>
    <cellStyle name="Normal 2 5 4" xfId="270"/>
    <cellStyle name="Normal 2 5 5" xfId="271"/>
    <cellStyle name="Normal 2 5 6" xfId="272"/>
    <cellStyle name="Normal 2 5 7" xfId="273"/>
    <cellStyle name="Normal 2 5 8" xfId="274"/>
    <cellStyle name="Normal 2 5 9" xfId="275"/>
    <cellStyle name="Normal 2 6" xfId="276"/>
    <cellStyle name="Normal 2 6 10" xfId="277"/>
    <cellStyle name="Normal 2 6 11" xfId="278"/>
    <cellStyle name="Normal 2 6 12" xfId="279"/>
    <cellStyle name="Normal 2 6 2" xfId="280"/>
    <cellStyle name="Normal 2 6 2 2" xfId="281"/>
    <cellStyle name="Normal 2 6 3" xfId="282"/>
    <cellStyle name="Normal 2 6 3 2" xfId="283"/>
    <cellStyle name="Normal 2 6 4" xfId="284"/>
    <cellStyle name="Normal 2 6 5" xfId="285"/>
    <cellStyle name="Normal 2 6 6" xfId="286"/>
    <cellStyle name="Normal 2 6 7" xfId="287"/>
    <cellStyle name="Normal 2 6 8" xfId="288"/>
    <cellStyle name="Normal 2 6 9" xfId="289"/>
    <cellStyle name="Normal 2 7" xfId="290"/>
    <cellStyle name="Normal 2 7 10" xfId="291"/>
    <cellStyle name="Normal 2 7 2" xfId="292"/>
    <cellStyle name="Normal 2 7 2 2" xfId="293"/>
    <cellStyle name="Normal 2 7 2 3" xfId="294"/>
    <cellStyle name="Normal 2 7 3" xfId="295"/>
    <cellStyle name="Normal 2 7 3 2" xfId="296"/>
    <cellStyle name="Normal 2 7 4" xfId="297"/>
    <cellStyle name="Normal 2 7 4 2" xfId="298"/>
    <cellStyle name="Normal 2 7 5" xfId="299"/>
    <cellStyle name="Normal 2 7 5 2" xfId="300"/>
    <cellStyle name="Normal 2 7 6" xfId="301"/>
    <cellStyle name="Normal 2 7 6 2" xfId="302"/>
    <cellStyle name="Normal 2 7 7" xfId="303"/>
    <cellStyle name="Normal 2 7 7 2" xfId="304"/>
    <cellStyle name="Normal 2 7 8" xfId="305"/>
    <cellStyle name="Normal 2 7 8 2" xfId="306"/>
    <cellStyle name="Normal 2 7 9" xfId="307"/>
    <cellStyle name="Normal 2 8" xfId="308"/>
    <cellStyle name="Normal 2 8 10"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2" xfId="327"/>
    <cellStyle name="Normal 2 9 2 2" xfId="328"/>
    <cellStyle name="Normal 2 9 3" xfId="329"/>
    <cellStyle name="Normal 2 9 3 2" xfId="330"/>
    <cellStyle name="Normal 2 9 4" xfId="331"/>
    <cellStyle name="Normal 2 9 4 2" xfId="332"/>
    <cellStyle name="Normal 2 9 5" xfId="333"/>
    <cellStyle name="Normal 2 9 5 2" xfId="334"/>
    <cellStyle name="Normal 2 9 6" xfId="335"/>
    <cellStyle name="Normal 2 9 6 2" xfId="336"/>
    <cellStyle name="Normal 2 9 7" xfId="337"/>
    <cellStyle name="Normal 2 9 7 2" xfId="338"/>
    <cellStyle name="Normal 2 9 8" xfId="339"/>
    <cellStyle name="Normal 2 9 8 2" xfId="340"/>
    <cellStyle name="Normal 2 9 9" xfId="341"/>
    <cellStyle name="Normal 20" xfId="342"/>
    <cellStyle name="Normal 20 2" xfId="343"/>
    <cellStyle name="Normal 20 3" xfId="344"/>
    <cellStyle name="Normal 22" xfId="345"/>
    <cellStyle name="Normal 22 2" xfId="346"/>
    <cellStyle name="Normal 22 3" xfId="347"/>
    <cellStyle name="Normal 23" xfId="348"/>
    <cellStyle name="Normal 23 2" xfId="349"/>
    <cellStyle name="Normal 23 3" xfId="350"/>
    <cellStyle name="Normal 24" xfId="351"/>
    <cellStyle name="Normal 24 2" xfId="352"/>
    <cellStyle name="Normal 24 3" xfId="353"/>
    <cellStyle name="Normal 25" xfId="354"/>
    <cellStyle name="Normal 25 2" xfId="355"/>
    <cellStyle name="Normal 25 3" xfId="356"/>
    <cellStyle name="Normal 3" xfId="357"/>
    <cellStyle name="Normal 3 2" xfId="358"/>
    <cellStyle name="Normal 3 3" xfId="359"/>
    <cellStyle name="Normal 3 3 2" xfId="360"/>
    <cellStyle name="Normal 3 3 3" xfId="361"/>
    <cellStyle name="Normal 3 4" xfId="362"/>
    <cellStyle name="Normal 3 5" xfId="363"/>
    <cellStyle name="Normal 3 6" xfId="364"/>
    <cellStyle name="Normal 3 7" xfId="365"/>
    <cellStyle name="Normal 4" xfId="366"/>
    <cellStyle name="Normal 4 2" xfId="367"/>
    <cellStyle name="Normal 4 3" xfId="368"/>
    <cellStyle name="Normal 4 3 2" xfId="369"/>
    <cellStyle name="Normal 4 3 3" xfId="370"/>
    <cellStyle name="Normal 4 4" xfId="371"/>
    <cellStyle name="Normal 4 5" xfId="372"/>
    <cellStyle name="Normal 5" xfId="373"/>
    <cellStyle name="Normal 5 2" xfId="374"/>
    <cellStyle name="Normal 5 3" xfId="375"/>
    <cellStyle name="Normal 6" xfId="376"/>
    <cellStyle name="Normal 6 2" xfId="377"/>
    <cellStyle name="Normal 6 3" xfId="378"/>
    <cellStyle name="Normal 6 4" xfId="379"/>
    <cellStyle name="Normal 6 5" xfId="380"/>
    <cellStyle name="Normal 7" xfId="381"/>
    <cellStyle name="Normal 7 2" xfId="382"/>
    <cellStyle name="Normal 7 2 2" xfId="383"/>
    <cellStyle name="Normal 7 2 2 2" xfId="384"/>
    <cellStyle name="Normal 7 2 3" xfId="385"/>
    <cellStyle name="Normal 7 2 4" xfId="386"/>
    <cellStyle name="Normal 7 3" xfId="387"/>
    <cellStyle name="Normal 7 4" xfId="388"/>
    <cellStyle name="Normal 7 5" xfId="389"/>
    <cellStyle name="Normal 7 5 2" xfId="390"/>
    <cellStyle name="Normal 7 5 3" xfId="391"/>
    <cellStyle name="Normal 7 6" xfId="392"/>
    <cellStyle name="Normal 8" xfId="393"/>
    <cellStyle name="Normal 8 2" xfId="394"/>
    <cellStyle name="Normal 9" xfId="395"/>
    <cellStyle name="Normal 9 2" xfId="396"/>
    <cellStyle name="Normal 9 2 2" xfId="397"/>
    <cellStyle name="Normal 9 3" xfId="398"/>
    <cellStyle name="Normal 9 4" xfId="399"/>
    <cellStyle name="Normal 9 5" xfId="400"/>
    <cellStyle name="Normal_debt" xfId="401"/>
    <cellStyle name="Normal_lpform" xfId="402"/>
    <cellStyle name="Normal_Township 07" xfId="403"/>
    <cellStyle name="Note" xfId="404"/>
    <cellStyle name="Output" xfId="405"/>
    <cellStyle name="Percent" xfId="406"/>
    <cellStyle name="Title" xfId="407"/>
    <cellStyle name="Total" xfId="408"/>
    <cellStyle name="Warning Text" xfId="409"/>
  </cellStyles>
  <dxfs count="129">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State%20Forms%202011\Wyandotte%20Coun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t"/>
      <sheetName val="computation"/>
      <sheetName val="mvalloc"/>
      <sheetName val="transfers"/>
      <sheetName val="debt"/>
      <sheetName val="lpform"/>
      <sheetName val="general"/>
      <sheetName val="bondint"/>
      <sheetName val="elections"/>
      <sheetName val="parks museum"/>
      <sheetName val="soil"/>
      <sheetName val="fair aging"/>
      <sheetName val="mental.health"/>
      <sheetName val="dev.dis health"/>
      <sheetName val="cifi cons.parks"/>
      <sheetName val="jail reg.deeds"/>
      <sheetName val="trustee"/>
      <sheetName val="NONBUDGET"/>
      <sheetName val="NONBUDGET2"/>
      <sheetName val="Comp.Library"/>
      <sheetName val="Library"/>
      <sheetName val="summ"/>
      <sheetName val="Nhood"/>
      <sheetName val="Resolution"/>
      <sheetName val="Tab A"/>
      <sheetName val="Tab B"/>
      <sheetName val="Tab C"/>
      <sheetName val="Tab D"/>
      <sheetName val="Tab E"/>
      <sheetName val="legend"/>
      <sheetName val="Sheet1"/>
      <sheetName val="instructions"/>
      <sheetName val="inputOth"/>
      <sheetName val="inputPrYr"/>
      <sheetName val="inputBudSum"/>
      <sheetName val="cert2"/>
      <sheetName val="TransfersStatutes"/>
      <sheetName val="no levy page23"/>
      <sheetName val="nonbudC"/>
      <sheetName val="nonbudD"/>
      <sheetName val="NonBudFunds"/>
      <sheetName val="summ2"/>
    </sheetNames>
    <sheetDataSet>
      <sheetData sheetId="20">
        <row r="33">
          <cell r="F33">
            <v>1965046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90" zoomScaleNormal="90" zoomScalePageLayoutView="0" workbookViewId="0" topLeftCell="A1">
      <selection activeCell="D54" sqref="D54"/>
    </sheetView>
  </sheetViews>
  <sheetFormatPr defaultColWidth="8.796875" defaultRowHeight="15"/>
  <cols>
    <col min="1" max="1" width="30.3984375" style="455" customWidth="1"/>
    <col min="2" max="2" width="9.796875" style="455" customWidth="1"/>
    <col min="3" max="3" width="5.796875" style="455" customWidth="1"/>
    <col min="4" max="6" width="15.796875" style="455" customWidth="1"/>
    <col min="7" max="16384" width="8.8984375" style="455" customWidth="1"/>
  </cols>
  <sheetData>
    <row r="1" spans="1:6" ht="14.25">
      <c r="A1" s="485"/>
      <c r="B1" s="485"/>
      <c r="C1" s="485"/>
      <c r="D1" s="485"/>
      <c r="E1" s="485"/>
      <c r="F1" s="485"/>
    </row>
    <row r="2" spans="1:6" ht="15">
      <c r="A2" s="787" t="s">
        <v>257</v>
      </c>
      <c r="B2" s="787"/>
      <c r="C2" s="787"/>
      <c r="D2" s="787"/>
      <c r="E2" s="787"/>
      <c r="F2" s="787"/>
    </row>
    <row r="3" spans="1:6" ht="15" customHeight="1">
      <c r="A3" s="453"/>
      <c r="B3" s="453"/>
      <c r="C3" s="453"/>
      <c r="D3" s="453"/>
      <c r="E3" s="453"/>
      <c r="F3" s="485">
        <f>inputPrYr!C4</f>
        <v>2012</v>
      </c>
    </row>
    <row r="4" spans="1:6" ht="14.25">
      <c r="A4" s="792" t="str">
        <f>CONCATENATE("To the Clerk of ",inputPrYr!C2,", State of Kansas")</f>
        <v>To the Clerk of Wyandotte County, State of Kansas</v>
      </c>
      <c r="B4" s="793"/>
      <c r="C4" s="793"/>
      <c r="D4" s="793"/>
      <c r="E4" s="793"/>
      <c r="F4" s="793"/>
    </row>
    <row r="5" spans="1:6" ht="14.25">
      <c r="A5" s="792" t="s">
        <v>5</v>
      </c>
      <c r="B5" s="794"/>
      <c r="C5" s="794"/>
      <c r="D5" s="794"/>
      <c r="E5" s="794"/>
      <c r="F5" s="794"/>
    </row>
    <row r="6" spans="1:6" ht="15">
      <c r="A6" s="790" t="str">
        <f>(inputPrYr!C2)</f>
        <v>Wyandotte County</v>
      </c>
      <c r="B6" s="791"/>
      <c r="C6" s="791"/>
      <c r="D6" s="791"/>
      <c r="E6" s="791"/>
      <c r="F6" s="791"/>
    </row>
    <row r="7" spans="1:6" ht="14.25">
      <c r="A7" s="459" t="s">
        <v>127</v>
      </c>
      <c r="B7" s="458"/>
      <c r="C7" s="458"/>
      <c r="D7" s="458"/>
      <c r="E7" s="458"/>
      <c r="F7" s="458"/>
    </row>
    <row r="8" spans="1:6" ht="14.25">
      <c r="A8" s="459" t="s">
        <v>128</v>
      </c>
      <c r="B8" s="458"/>
      <c r="C8" s="458"/>
      <c r="D8" s="458"/>
      <c r="E8" s="458"/>
      <c r="F8" s="458"/>
    </row>
    <row r="9" spans="1:6" ht="14.25">
      <c r="A9" s="459" t="str">
        <f>CONCATENATE("maximum expenditure for the various funds for the year ",F3,"; and")</f>
        <v>maximum expenditure for the various funds for the year 2012; and</v>
      </c>
      <c r="B9" s="458"/>
      <c r="C9" s="458"/>
      <c r="D9" s="458"/>
      <c r="E9" s="458"/>
      <c r="F9" s="458"/>
    </row>
    <row r="10" spans="1:6" ht="14.25">
      <c r="A10" s="459" t="str">
        <f>CONCATENATE("(3) the Amount(s) of ",F3-1," Ad Valorem Tax are within statutory limitations.")</f>
        <v>(3) the Amount(s) of 2011 Ad Valorem Tax are within statutory limitations.</v>
      </c>
      <c r="B10" s="458"/>
      <c r="C10" s="458"/>
      <c r="D10" s="458"/>
      <c r="E10" s="458"/>
      <c r="F10" s="458"/>
    </row>
    <row r="11" spans="1:6" ht="8.25" customHeight="1">
      <c r="A11" s="466"/>
      <c r="B11" s="453"/>
      <c r="C11" s="453"/>
      <c r="D11" s="519"/>
      <c r="E11" s="519"/>
      <c r="F11" s="519"/>
    </row>
    <row r="12" spans="1:6" ht="14.25">
      <c r="A12" s="453"/>
      <c r="B12" s="453"/>
      <c r="C12" s="453"/>
      <c r="D12" s="464" t="str">
        <f>CONCATENATE("",F3," Adopted Budget")</f>
        <v>2012 Adopted Budget</v>
      </c>
      <c r="E12" s="465"/>
      <c r="F12" s="462"/>
    </row>
    <row r="13" spans="1:6" ht="13.5" customHeight="1">
      <c r="A13" s="453"/>
      <c r="B13" s="453"/>
      <c r="C13" s="333" t="s">
        <v>129</v>
      </c>
      <c r="D13" s="672" t="s">
        <v>696</v>
      </c>
      <c r="E13" s="788" t="str">
        <f>CONCATENATE("Amount of ",F3-1,"               Ad Valorem Tax")</f>
        <v>Amount of 2011               Ad Valorem Tax</v>
      </c>
      <c r="F13" s="333" t="s">
        <v>130</v>
      </c>
    </row>
    <row r="14" spans="1:6" ht="12.75" customHeight="1">
      <c r="A14" s="673" t="s">
        <v>131</v>
      </c>
      <c r="B14" s="659"/>
      <c r="C14" s="674" t="s">
        <v>132</v>
      </c>
      <c r="D14" s="675" t="s">
        <v>697</v>
      </c>
      <c r="E14" s="789"/>
      <c r="F14" s="674" t="s">
        <v>134</v>
      </c>
    </row>
    <row r="15" spans="1:6" ht="14.25">
      <c r="A15" s="479" t="str">
        <f>CONCATENATE("Computation to Determine Limit for ",F3,"")</f>
        <v>Computation to Determine Limit for 2012</v>
      </c>
      <c r="B15" s="659"/>
      <c r="C15" s="674" t="s">
        <v>1037</v>
      </c>
      <c r="D15" s="676"/>
      <c r="E15" s="676"/>
      <c r="F15" s="676"/>
    </row>
    <row r="16" spans="1:6" ht="14.25">
      <c r="A16" s="677" t="s">
        <v>57</v>
      </c>
      <c r="B16" s="598"/>
      <c r="C16" s="674" t="s">
        <v>1038</v>
      </c>
      <c r="D16" s="676"/>
      <c r="E16" s="676"/>
      <c r="F16" s="676"/>
    </row>
    <row r="17" spans="1:6" ht="14.25">
      <c r="A17" s="522" t="s">
        <v>308</v>
      </c>
      <c r="B17" s="678"/>
      <c r="C17" s="679" t="s">
        <v>1039</v>
      </c>
      <c r="D17" s="676"/>
      <c r="E17" s="676"/>
      <c r="F17" s="676"/>
    </row>
    <row r="18" spans="1:6" ht="14.25">
      <c r="A18" s="522" t="s">
        <v>135</v>
      </c>
      <c r="B18" s="678"/>
      <c r="C18" s="680" t="s">
        <v>1040</v>
      </c>
      <c r="D18" s="681"/>
      <c r="E18" s="681"/>
      <c r="F18" s="681"/>
    </row>
    <row r="19" spans="1:6" ht="14.25">
      <c r="A19" s="522" t="s">
        <v>136</v>
      </c>
      <c r="B19" s="678"/>
      <c r="C19" s="682" t="s">
        <v>1041</v>
      </c>
      <c r="D19" s="681"/>
      <c r="E19" s="681"/>
      <c r="F19" s="681"/>
    </row>
    <row r="20" spans="1:6" ht="15">
      <c r="A20" s="683" t="s">
        <v>137</v>
      </c>
      <c r="B20" s="684" t="s">
        <v>138</v>
      </c>
      <c r="C20" s="474"/>
      <c r="D20" s="502"/>
      <c r="E20" s="502"/>
      <c r="F20" s="502"/>
    </row>
    <row r="21" spans="1:6" ht="14.25">
      <c r="A21" s="479" t="str">
        <f>inputPrYr!B16</f>
        <v>General</v>
      </c>
      <c r="B21" s="685" t="str">
        <f>inputPrYr!C16</f>
        <v>79-1946</v>
      </c>
      <c r="C21" s="680" t="s">
        <v>1042</v>
      </c>
      <c r="D21" s="711">
        <f>IF(general!$F$89&lt;&gt;0,general!$F$89,"  ")</f>
        <v>49541947</v>
      </c>
      <c r="E21" s="712">
        <f>IF(general!$F$96&lt;&gt;0,general!$F$96,0)</f>
        <v>32408029.32058824</v>
      </c>
      <c r="F21" s="686" t="str">
        <f>IF(AND(general!F96=0,$F$40&gt;=0)," ",IF(AND(E21&gt;0,$F$40=0)," ",IF(AND(E21&gt;0,$F$40&gt;0),ROUND(E21/$F$40*1000,3))))</f>
        <v> </v>
      </c>
    </row>
    <row r="22" spans="1:6" ht="14.25">
      <c r="A22" s="479" t="str">
        <f>inputPrYr!B17</f>
        <v>Bond and Interest</v>
      </c>
      <c r="B22" s="685" t="str">
        <f>inputPrYr!C17</f>
        <v>10-113</v>
      </c>
      <c r="C22" s="680" t="s">
        <v>1043</v>
      </c>
      <c r="D22" s="711">
        <f>IF(bondint!$F$35&lt;&gt;0,bondint!$F$35,"  ")</f>
        <v>1116950</v>
      </c>
      <c r="E22" s="712">
        <f>IF(bondint!$F$42&lt;&gt;0,bondint!$F$42,0)</f>
        <v>884158.872</v>
      </c>
      <c r="F22" s="686" t="str">
        <f>IF(AND(bondint!F42=0,$F$40&gt;=0)," ",IF(AND(E22&gt;0,$F$40=0)," ",IF(AND(E22&gt;0,$F$40&gt;0),ROUND(E22/$F$40*1000,3))))</f>
        <v> </v>
      </c>
    </row>
    <row r="23" spans="1:6" ht="14.25">
      <c r="A23" s="479" t="str">
        <f>inputPrYr!B18</f>
        <v>County Elections</v>
      </c>
      <c r="B23" s="685" t="str">
        <f>inputPrYr!C18</f>
        <v>19-3435a</v>
      </c>
      <c r="C23" s="680" t="s">
        <v>1044</v>
      </c>
      <c r="D23" s="711">
        <f>elections!F34</f>
        <v>1413000</v>
      </c>
      <c r="E23" s="711">
        <f>elections!F41</f>
        <v>926018</v>
      </c>
      <c r="F23" s="686"/>
    </row>
    <row r="24" spans="1:6" ht="14.25">
      <c r="A24" s="472" t="str">
        <f>IF((inputPrYr!$B19&gt;"  "),(inputPrYr!$B19),"  ")</f>
        <v>Aging</v>
      </c>
      <c r="B24" s="685" t="str">
        <f>IF((inputPrYr!C19&gt;0),(inputPrYr!C19),"  ")</f>
        <v>12-1680</v>
      </c>
      <c r="C24" s="680" t="s">
        <v>1045</v>
      </c>
      <c r="D24" s="711">
        <f>IF(aging!$F$37&lt;&gt;0,aging!$F$37,"  ")</f>
        <v>1168147</v>
      </c>
      <c r="E24" s="712">
        <f>IF(aging!$F$44&lt;&gt;0,aging!$F$44,0)</f>
        <v>1089371</v>
      </c>
      <c r="F24" s="686" t="str">
        <f>IF(AND(aging!F44=0,$F$40&gt;=0)," ",IF(AND(E24&gt;0,$F$40=0)," ",IF(AND(E24&gt;0,$F$40&gt;0),ROUND(E24/$F$40*1000,3))))</f>
        <v> </v>
      </c>
    </row>
    <row r="25" spans="1:6" ht="14.25">
      <c r="A25" s="472" t="str">
        <f>IF((inputPrYr!$B20&gt;"  "),(inputPrYr!$B20),"  ")</f>
        <v>Mental Health</v>
      </c>
      <c r="B25" s="685" t="str">
        <f>IF((inputPrYr!C20&gt;0),(inputPrYr!C20),"  ")</f>
        <v>19-4004</v>
      </c>
      <c r="C25" s="680" t="s">
        <v>1046</v>
      </c>
      <c r="D25" s="711">
        <f>IF('mental.health'!$F$32&lt;&gt;0,'mental.health'!$F$32,"  ")</f>
        <v>529331</v>
      </c>
      <c r="E25" s="712">
        <f>IF('mental.health'!$F$39&lt;&gt;0,'mental.health'!$F$39,0)</f>
        <v>450028</v>
      </c>
      <c r="F25" s="686" t="str">
        <f>IF(AND('mental.health'!F39=0,$F$40&gt;=0)," ",IF(AND(E25&gt;0,$F$40=0)," ",IF(AND(E25&gt;0,$F$40&gt;0),ROUND(E25/$F$40*1000,3))))</f>
        <v> </v>
      </c>
    </row>
    <row r="26" spans="1:6" ht="14.25">
      <c r="A26" s="472" t="str">
        <f>IF((inputPrYr!$B21&gt;"  "),(inputPrYr!$B21),"  ")</f>
        <v>Developmental Disabilities</v>
      </c>
      <c r="B26" s="685" t="str">
        <f>IF((inputPrYr!C21&gt;0),(inputPrYr!C21),"  ")</f>
        <v>19-4004</v>
      </c>
      <c r="C26" s="680" t="s">
        <v>1047</v>
      </c>
      <c r="D26" s="711">
        <f>IF('dev.dis health'!$F$31&lt;&gt;0,'dev.dis health'!$F$31,"  ")</f>
        <v>567298</v>
      </c>
      <c r="E26" s="712">
        <f>IF('dev.dis health'!$F$38&lt;&gt;0,'dev.dis health'!$F$38,0)</f>
        <v>339684</v>
      </c>
      <c r="F26" s="686" t="str">
        <f>IF(AND('dev.dis health'!F38=0,$F$40&gt;=0)," ",IF(AND(E26&gt;0,$F$40=0)," ",IF(AND(E26&gt;0,$F$40&gt;0),ROUND(E26/$F$40*1000,3))))</f>
        <v> </v>
      </c>
    </row>
    <row r="27" spans="1:6" ht="14.25">
      <c r="A27" s="472" t="str">
        <f>IF((inputPrYr!$B22&gt;"  "),(inputPrYr!$B22),"  ")</f>
        <v>County Health</v>
      </c>
      <c r="B27" s="685" t="str">
        <f>IF((inputPrYr!C22&gt;0),(inputPrYr!C22),"  ")</f>
        <v>65-204</v>
      </c>
      <c r="C27" s="680" t="s">
        <v>1047</v>
      </c>
      <c r="D27" s="711">
        <f>IF('dev.dis health'!$F$86&lt;&gt;0,'dev.dis health'!$F$86,"  ")</f>
        <v>3417530</v>
      </c>
      <c r="E27" s="712">
        <f>IF('dev.dis health'!$F$93&lt;&gt;0,'dev.dis health'!$F$93,0)</f>
        <v>1654068</v>
      </c>
      <c r="F27" s="686" t="str">
        <f>IF(AND('dev.dis health'!F93=0,$F$40&gt;=0)," ",IF(AND(E27&gt;0,$F$40=0)," ",IF(AND(E27&gt;0,$F$40&gt;0),ROUND(E27/$F$40*1000,3))))</f>
        <v> </v>
      </c>
    </row>
    <row r="28" spans="1:6" ht="14.25">
      <c r="A28" s="472" t="str">
        <f>IF((inputPrYr!$B23&gt;"  "),(inputPrYr!$B23),"  ")</f>
        <v>County Initiative for Funding Infrastructure</v>
      </c>
      <c r="B28" s="685" t="str">
        <f>IF((inputPrYr!C23&gt;0),(inputPrYr!C23),"  ")</f>
        <v>19-120</v>
      </c>
      <c r="C28" s="680" t="s">
        <v>1048</v>
      </c>
      <c r="D28" s="711">
        <v>0</v>
      </c>
      <c r="E28" s="711">
        <v>0</v>
      </c>
      <c r="F28" s="686" t="str">
        <f>IF(AND('cifi cons.parks'!F39=0,$F$40&gt;=0)," ",IF(AND(E28&gt;0,$F$40=0)," ",IF(AND(E28&gt;0,$F$40&gt;0),ROUND(E28/$F$40*1000,3))))</f>
        <v> </v>
      </c>
    </row>
    <row r="29" spans="1:6" ht="14.25">
      <c r="A29" s="472" t="str">
        <f>IF((inputPrYr!$B24&gt;"  "),(inputPrYr!$B24),"  ")</f>
        <v>Consolidated Parks General Fund</v>
      </c>
      <c r="B29" s="685" t="str">
        <f>IF((inputPrYr!C24&gt;0),(inputPrYr!C24),"  ")</f>
        <v>19-2803</v>
      </c>
      <c r="C29" s="680" t="s">
        <v>1048</v>
      </c>
      <c r="D29" s="711">
        <f>IF('cifi cons.parks'!$F$89&lt;&gt;0,'cifi cons.parks'!$F$89,"  ")</f>
        <v>5542496</v>
      </c>
      <c r="E29" s="712">
        <f>IF('cifi cons.parks'!$F$96&lt;&gt;0,'cifi cons.parks'!$F$96,0)</f>
        <v>1475572</v>
      </c>
      <c r="F29" s="686" t="str">
        <f>IF(AND('cifi cons.parks'!F96=0,$F$40&gt;=0)," ",IF(AND(E29&gt;0,$F$40=0)," ",IF(AND(E29&gt;0,$F$40&gt;0),ROUND(E29/$F$40*1000,3))))</f>
        <v> </v>
      </c>
    </row>
    <row r="30" spans="1:6" ht="14.25">
      <c r="A30" s="472" t="str">
        <f>IF((inputPrYr!$B28&gt;"  "),(inputPrYr!$B28),"  ")</f>
        <v>Court Trustee</v>
      </c>
      <c r="B30" s="687"/>
      <c r="C30" s="680" t="s">
        <v>1049</v>
      </c>
      <c r="D30" s="711">
        <f>IF(trustee!$E$26&lt;&gt;0,trustee!$E$26,"  ")</f>
        <v>431202</v>
      </c>
      <c r="E30" s="578"/>
      <c r="F30" s="474"/>
    </row>
    <row r="31" spans="1:6" ht="14.25">
      <c r="A31" s="472" t="str">
        <f>IF((inputPrYr!$B29&gt;"  "),(inputPrYr!$B29),"  ")</f>
        <v>Jail Commissary</v>
      </c>
      <c r="B31" s="687"/>
      <c r="C31" s="680" t="s">
        <v>1050</v>
      </c>
      <c r="D31" s="711">
        <f>IF('Jail C Reg of Deeds'!$E$27&lt;&gt;0,'Jail C Reg of Deeds'!$E$27,"  ")</f>
        <v>60000</v>
      </c>
      <c r="E31" s="578"/>
      <c r="F31" s="474"/>
    </row>
    <row r="32" spans="1:6" ht="14.25">
      <c r="A32" s="472" t="str">
        <f>IF((inputPrYr!$B30&gt;"  "),(inputPrYr!$B30),"  ")</f>
        <v>Register of Deeds Technology</v>
      </c>
      <c r="B32" s="687"/>
      <c r="C32" s="680" t="s">
        <v>1050</v>
      </c>
      <c r="D32" s="711">
        <f>IF('Jail C Reg of Deeds'!$F$56&lt;&gt;0,'Jail C Reg of Deeds'!$F$56,"  ")</f>
        <v>165000</v>
      </c>
      <c r="E32" s="578"/>
      <c r="F32" s="474"/>
    </row>
    <row r="33" spans="1:6" ht="14.25">
      <c r="A33" s="472" t="str">
        <f>IF((inputPrYr!$B34&gt;"  "),(nonbudA!$A3),"  ")</f>
        <v>Non-Budgeted Funds-A</v>
      </c>
      <c r="B33" s="474"/>
      <c r="C33" s="680" t="s">
        <v>1051</v>
      </c>
      <c r="D33" s="711"/>
      <c r="E33" s="713"/>
      <c r="F33" s="662"/>
    </row>
    <row r="34" spans="1:6" ht="14.25">
      <c r="A34" s="472" t="str">
        <f>IF((inputPrYr!$B40&gt;"  "),(nonbudB!$A3),"  ")</f>
        <v>Non-Budgeted Funds-B</v>
      </c>
      <c r="B34" s="474"/>
      <c r="C34" s="680" t="s">
        <v>1052</v>
      </c>
      <c r="D34" s="711"/>
      <c r="E34" s="713"/>
      <c r="F34" s="662"/>
    </row>
    <row r="35" spans="1:6" ht="14.25" customHeight="1" thickBot="1">
      <c r="A35" s="688" t="s">
        <v>152</v>
      </c>
      <c r="B35" s="662"/>
      <c r="C35" s="680" t="s">
        <v>41</v>
      </c>
      <c r="D35" s="488">
        <f>SUM(D21:D34)</f>
        <v>63952901</v>
      </c>
      <c r="E35" s="714">
        <f>SUM(E21:E29)</f>
        <v>39226929.19258824</v>
      </c>
      <c r="F35" s="689">
        <f>IF(SUM(F21:F29)=0,"",SUM(F21:F29))</f>
      </c>
    </row>
    <row r="36" spans="1:6" ht="6.75" customHeight="1" thickTop="1">
      <c r="A36" s="708"/>
      <c r="B36" s="691"/>
      <c r="C36" s="680"/>
      <c r="D36" s="692"/>
      <c r="E36" s="715"/>
      <c r="F36" s="710"/>
    </row>
    <row r="37" spans="1:6" ht="14.25" customHeight="1">
      <c r="A37" s="690" t="s">
        <v>1035</v>
      </c>
      <c r="B37" s="691"/>
      <c r="C37" s="680" t="s">
        <v>1053</v>
      </c>
      <c r="D37" s="472"/>
      <c r="E37" s="709"/>
      <c r="F37" s="710"/>
    </row>
    <row r="38" spans="1:6" ht="14.25" customHeight="1">
      <c r="A38" s="690" t="s">
        <v>1036</v>
      </c>
      <c r="B38" s="691"/>
      <c r="C38" s="680" t="s">
        <v>1054</v>
      </c>
      <c r="D38" s="715">
        <f>Library!F32</f>
        <v>1998971</v>
      </c>
      <c r="E38" s="715">
        <f>Library!F39</f>
        <v>1761691</v>
      </c>
      <c r="F38" s="710"/>
    </row>
    <row r="39" spans="1:6" ht="14.25" customHeight="1">
      <c r="A39" s="690" t="s">
        <v>40</v>
      </c>
      <c r="B39" s="691"/>
      <c r="C39" s="680" t="s">
        <v>1055</v>
      </c>
      <c r="D39" s="472"/>
      <c r="E39" s="707" t="s">
        <v>340</v>
      </c>
      <c r="F39" s="662"/>
    </row>
    <row r="40" spans="1:6" ht="14.25">
      <c r="A40" s="795"/>
      <c r="B40" s="796"/>
      <c r="C40" s="680">
        <f>IF(Nhood!C51&gt;0,Nhood!C51,"")</f>
      </c>
      <c r="D40" s="693" t="s">
        <v>43</v>
      </c>
      <c r="E40" s="694" t="str">
        <f>IF(E35&gt;computation!J35,"Yes","No")</f>
        <v>Yes</v>
      </c>
      <c r="F40" s="695"/>
    </row>
    <row r="41" spans="1:6" ht="14.25" customHeight="1">
      <c r="A41" s="522" t="s">
        <v>42</v>
      </c>
      <c r="B41" s="696"/>
      <c r="C41" s="680">
        <f>IF(Resolution!E55&gt;0,Resolution!E55,"")</f>
      </c>
      <c r="D41" s="628"/>
      <c r="E41" s="598"/>
      <c r="F41" s="798" t="str">
        <f>CONCATENATE("Nov 1, ",F3-1," Total Assessed Valuation")</f>
        <v>Nov 1, 2011 Total Assessed Valuation</v>
      </c>
    </row>
    <row r="42" spans="1:6" ht="14.25">
      <c r="A42" s="485" t="s">
        <v>141</v>
      </c>
      <c r="B42" s="453"/>
      <c r="C42" s="466"/>
      <c r="D42" s="453"/>
      <c r="E42" s="453"/>
      <c r="F42" s="799"/>
    </row>
    <row r="43" spans="1:6" ht="14.25">
      <c r="A43" s="697"/>
      <c r="B43" s="453"/>
      <c r="C43" s="453"/>
      <c r="D43" s="453"/>
      <c r="E43" s="698"/>
      <c r="F43" s="698"/>
    </row>
    <row r="44" spans="1:6" ht="14.25">
      <c r="A44" s="699"/>
      <c r="B44" s="515"/>
      <c r="C44" s="453"/>
      <c r="D44" s="453"/>
      <c r="E44" s="497"/>
      <c r="F44" s="497"/>
    </row>
    <row r="45" spans="1:6" ht="14.25">
      <c r="A45" s="700" t="s">
        <v>342</v>
      </c>
      <c r="B45" s="515"/>
      <c r="C45" s="597"/>
      <c r="D45" s="597"/>
      <c r="E45" s="701"/>
      <c r="F45" s="701"/>
    </row>
    <row r="46" spans="1:6" ht="14.25">
      <c r="A46" s="697"/>
      <c r="B46" s="453"/>
      <c r="C46" s="659"/>
      <c r="D46" s="659"/>
      <c r="E46" s="629"/>
      <c r="F46" s="629"/>
    </row>
    <row r="47" spans="1:6" ht="14.25">
      <c r="A47" s="699"/>
      <c r="B47" s="536"/>
      <c r="C47" s="453"/>
      <c r="D47" s="453"/>
      <c r="E47" s="497"/>
      <c r="F47" s="702"/>
    </row>
    <row r="48" spans="1:6" ht="14.25">
      <c r="A48" s="699"/>
      <c r="B48" s="453"/>
      <c r="C48" s="659"/>
      <c r="D48" s="659"/>
      <c r="E48" s="629"/>
      <c r="F48" s="703"/>
    </row>
    <row r="49" spans="1:6" ht="14.25">
      <c r="A49" s="704" t="s">
        <v>6</v>
      </c>
      <c r="B49" s="549">
        <f>F3-1</f>
        <v>2011</v>
      </c>
      <c r="C49" s="453"/>
      <c r="D49" s="453"/>
      <c r="E49" s="459"/>
      <c r="F49" s="453"/>
    </row>
    <row r="50" spans="1:6" ht="14.25">
      <c r="A50" s="705"/>
      <c r="B50" s="453"/>
      <c r="C50" s="659"/>
      <c r="D50" s="659"/>
      <c r="E50" s="659"/>
      <c r="F50" s="659"/>
    </row>
    <row r="51" spans="1:6" ht="14.25">
      <c r="A51" s="706" t="s">
        <v>143</v>
      </c>
      <c r="B51" s="453"/>
      <c r="C51" s="797" t="s">
        <v>142</v>
      </c>
      <c r="D51" s="794"/>
      <c r="E51" s="794"/>
      <c r="F51" s="794"/>
    </row>
    <row r="52" spans="1:6" ht="14.25">
      <c r="A52" s="786"/>
      <c r="B52" s="786"/>
      <c r="C52" s="786"/>
      <c r="D52" s="786"/>
      <c r="E52" s="786"/>
      <c r="F52" s="786"/>
    </row>
    <row r="53" spans="3:6" ht="14.25">
      <c r="C53" s="460"/>
      <c r="E53" s="460"/>
      <c r="F53" s="460"/>
    </row>
  </sheetData>
  <sheetProtection/>
  <mergeCells count="9">
    <mergeCell ref="A52:F52"/>
    <mergeCell ref="A2:F2"/>
    <mergeCell ref="E13:E14"/>
    <mergeCell ref="A6:F6"/>
    <mergeCell ref="A4:F4"/>
    <mergeCell ref="A5:F5"/>
    <mergeCell ref="A40:B40"/>
    <mergeCell ref="C51:F51"/>
    <mergeCell ref="F41:F42"/>
  </mergeCells>
  <printOptions/>
  <pageMargins left="0.5" right="0.5" top="0" bottom="0.23" header="0" footer="0"/>
  <pageSetup blackAndWhite="1" fitToHeight="1" fitToWidth="1" horizontalDpi="120" verticalDpi="120" orientation="portrait" scale="80" r:id="rId1"/>
  <headerFooter alignWithMargins="0">
    <oddHeader>&amp;RState of Kansas
County
</oddHeader>
    <oddFooter>&amp;C&amp;"Arial,Regular"&amp;11WY - 1&amp;"Courier,Regular"&amp;12
</oddFooter>
  </headerFooter>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G57"/>
  <sheetViews>
    <sheetView zoomScale="80" zoomScaleNormal="80" zoomScalePageLayoutView="0" workbookViewId="0" topLeftCell="A1">
      <selection activeCell="A31" sqref="A31:IV31"/>
    </sheetView>
  </sheetViews>
  <sheetFormatPr defaultColWidth="8.796875" defaultRowHeight="15"/>
  <cols>
    <col min="1" max="1" width="2.3984375" style="27" customWidth="1"/>
    <col min="2" max="2" width="31.09765625" style="27" customWidth="1"/>
    <col min="3" max="5" width="15.796875" style="27" customWidth="1"/>
    <col min="6" max="6" width="16.19921875" style="27" customWidth="1"/>
    <col min="7" max="16384" width="8.8984375" style="27" customWidth="1"/>
  </cols>
  <sheetData>
    <row r="1" spans="1:6" ht="15.75">
      <c r="A1" s="455"/>
      <c r="B1" s="512" t="str">
        <f>(inputPrYr!C2)</f>
        <v>Wyandotte County</v>
      </c>
      <c r="C1" s="513"/>
      <c r="D1" s="513"/>
      <c r="E1" s="513"/>
      <c r="F1" s="514">
        <f>inputPrYr!C4</f>
        <v>2012</v>
      </c>
    </row>
    <row r="2" spans="1:6" ht="15.75">
      <c r="A2" s="455"/>
      <c r="B2" s="513"/>
      <c r="C2" s="513"/>
      <c r="D2" s="513"/>
      <c r="E2" s="513"/>
      <c r="F2" s="515"/>
    </row>
    <row r="3" spans="1:6" ht="15.75">
      <c r="A3" s="455"/>
      <c r="B3" s="516" t="s">
        <v>263</v>
      </c>
      <c r="C3" s="517"/>
      <c r="D3" s="517"/>
      <c r="E3" s="517"/>
      <c r="F3" s="518"/>
    </row>
    <row r="4" spans="1:6" ht="15.75">
      <c r="A4" s="455"/>
      <c r="B4" s="513"/>
      <c r="C4" s="519"/>
      <c r="D4" s="519"/>
      <c r="E4" s="519"/>
      <c r="F4" s="519"/>
    </row>
    <row r="5" spans="1:6" s="293" customFormat="1" ht="15">
      <c r="A5" s="455"/>
      <c r="B5" s="513"/>
      <c r="C5" s="519"/>
      <c r="D5" s="519"/>
      <c r="E5" s="519"/>
      <c r="F5" s="519"/>
    </row>
    <row r="6" spans="1:6" s="293" customFormat="1" ht="15">
      <c r="A6" s="455"/>
      <c r="B6" s="520" t="s">
        <v>155</v>
      </c>
      <c r="C6" s="331" t="s">
        <v>926</v>
      </c>
      <c r="D6" s="331">
        <v>2011</v>
      </c>
      <c r="E6" s="332" t="s">
        <v>928</v>
      </c>
      <c r="F6" s="333" t="s">
        <v>931</v>
      </c>
    </row>
    <row r="7" spans="1:6" s="293" customFormat="1" ht="15">
      <c r="A7" s="455"/>
      <c r="B7" s="521" t="str">
        <f>inputPrYr!B19</f>
        <v>Aging</v>
      </c>
      <c r="C7" s="510" t="s">
        <v>927</v>
      </c>
      <c r="D7" s="510" t="s">
        <v>925</v>
      </c>
      <c r="E7" s="510" t="s">
        <v>929</v>
      </c>
      <c r="F7" s="511" t="s">
        <v>944</v>
      </c>
    </row>
    <row r="8" spans="1:6" s="293" customFormat="1" ht="15">
      <c r="A8" s="455"/>
      <c r="B8" s="522" t="s">
        <v>303</v>
      </c>
      <c r="C8" s="523">
        <v>164957</v>
      </c>
      <c r="D8" s="523">
        <v>95991</v>
      </c>
      <c r="E8" s="524">
        <f>C38</f>
        <v>99862</v>
      </c>
      <c r="F8" s="525">
        <f>E38</f>
        <v>715</v>
      </c>
    </row>
    <row r="9" spans="1:6" s="293" customFormat="1" ht="15">
      <c r="A9" s="455"/>
      <c r="B9" s="526" t="s">
        <v>305</v>
      </c>
      <c r="C9" s="527"/>
      <c r="D9" s="527"/>
      <c r="E9" s="527"/>
      <c r="F9" s="528"/>
    </row>
    <row r="10" spans="1:6" s="293" customFormat="1" ht="15">
      <c r="A10" s="455"/>
      <c r="B10" s="367" t="s">
        <v>156</v>
      </c>
      <c r="C10" s="523">
        <v>831379</v>
      </c>
      <c r="D10" s="523">
        <v>917222.3300000001</v>
      </c>
      <c r="E10" s="524">
        <v>915000</v>
      </c>
      <c r="F10" s="529" t="s">
        <v>140</v>
      </c>
    </row>
    <row r="11" spans="1:6" s="293" customFormat="1" ht="15">
      <c r="A11" s="455"/>
      <c r="B11" s="367" t="s">
        <v>157</v>
      </c>
      <c r="C11" s="523">
        <v>41953</v>
      </c>
      <c r="D11" s="523">
        <v>28500</v>
      </c>
      <c r="E11" s="523">
        <v>37000</v>
      </c>
      <c r="F11" s="530">
        <v>34000</v>
      </c>
    </row>
    <row r="12" spans="1:6" s="293" customFormat="1" ht="15">
      <c r="A12" s="455"/>
      <c r="B12" s="367" t="s">
        <v>158</v>
      </c>
      <c r="C12" s="523">
        <v>105161</v>
      </c>
      <c r="D12" s="523">
        <v>97914</v>
      </c>
      <c r="E12" s="523">
        <v>84700</v>
      </c>
      <c r="F12" s="525">
        <f>mvalloc!D11</f>
        <v>103943</v>
      </c>
    </row>
    <row r="13" spans="1:6" s="293" customFormat="1" ht="15">
      <c r="A13" s="455"/>
      <c r="B13" s="367" t="s">
        <v>159</v>
      </c>
      <c r="C13" s="523">
        <v>503</v>
      </c>
      <c r="D13" s="523">
        <v>489</v>
      </c>
      <c r="E13" s="523">
        <v>410</v>
      </c>
      <c r="F13" s="525">
        <f>mvalloc!E11</f>
        <v>505</v>
      </c>
    </row>
    <row r="14" spans="1:6" s="293" customFormat="1" ht="15">
      <c r="A14" s="455"/>
      <c r="B14" s="346" t="s">
        <v>256</v>
      </c>
      <c r="C14" s="523">
        <v>876</v>
      </c>
      <c r="D14" s="523">
        <v>756</v>
      </c>
      <c r="E14" s="523">
        <v>850</v>
      </c>
      <c r="F14" s="525">
        <f>mvalloc!F11</f>
        <v>924</v>
      </c>
    </row>
    <row r="15" spans="1:6" s="293" customFormat="1" ht="15">
      <c r="A15" s="455"/>
      <c r="B15" s="346" t="s">
        <v>880</v>
      </c>
      <c r="C15" s="523">
        <v>633</v>
      </c>
      <c r="D15" s="523">
        <v>450</v>
      </c>
      <c r="E15" s="523">
        <v>540</v>
      </c>
      <c r="F15" s="525">
        <v>490</v>
      </c>
    </row>
    <row r="16" spans="1:6" s="293" customFormat="1" ht="15">
      <c r="A16" s="455"/>
      <c r="B16" s="346" t="s">
        <v>879</v>
      </c>
      <c r="C16" s="523">
        <v>25904</v>
      </c>
      <c r="D16" s="523">
        <v>19390</v>
      </c>
      <c r="E16" s="523">
        <v>20500</v>
      </c>
      <c r="F16" s="530">
        <v>16320</v>
      </c>
    </row>
    <row r="17" spans="1:6" s="293" customFormat="1" ht="15">
      <c r="A17" s="455"/>
      <c r="B17" s="346" t="s">
        <v>357</v>
      </c>
      <c r="C17" s="523">
        <v>0</v>
      </c>
      <c r="D17" s="523">
        <v>0</v>
      </c>
      <c r="E17" s="523">
        <v>0</v>
      </c>
      <c r="F17" s="530">
        <v>0</v>
      </c>
    </row>
    <row r="18" spans="1:6" s="293" customFormat="1" ht="15">
      <c r="A18" s="455"/>
      <c r="B18" s="346" t="s">
        <v>918</v>
      </c>
      <c r="C18" s="523">
        <v>16</v>
      </c>
      <c r="D18" s="523">
        <v>0</v>
      </c>
      <c r="E18" s="523">
        <v>0</v>
      </c>
      <c r="F18" s="530">
        <v>0</v>
      </c>
    </row>
    <row r="19" spans="1:6" s="293" customFormat="1" ht="15">
      <c r="A19" s="455"/>
      <c r="B19" s="346" t="s">
        <v>946</v>
      </c>
      <c r="C19" s="523">
        <v>11439</v>
      </c>
      <c r="D19" s="523">
        <v>10000</v>
      </c>
      <c r="E19" s="523">
        <v>10000</v>
      </c>
      <c r="F19" s="530">
        <v>10000</v>
      </c>
    </row>
    <row r="20" spans="1:6" s="293" customFormat="1" ht="15">
      <c r="A20" s="455"/>
      <c r="B20" s="346" t="s">
        <v>947</v>
      </c>
      <c r="C20" s="523"/>
      <c r="D20" s="523">
        <v>0</v>
      </c>
      <c r="E20" s="523">
        <v>0</v>
      </c>
      <c r="F20" s="530">
        <v>0</v>
      </c>
    </row>
    <row r="21" spans="1:6" s="293" customFormat="1" ht="15">
      <c r="A21" s="455"/>
      <c r="B21" s="346" t="s">
        <v>948</v>
      </c>
      <c r="C21" s="523"/>
      <c r="D21" s="523">
        <v>0</v>
      </c>
      <c r="E21" s="523">
        <v>0</v>
      </c>
      <c r="F21" s="530">
        <v>0</v>
      </c>
    </row>
    <row r="22" spans="1:6" s="293" customFormat="1" ht="15">
      <c r="A22" s="455"/>
      <c r="B22" s="531" t="s">
        <v>68</v>
      </c>
      <c r="C22" s="523"/>
      <c r="D22" s="523">
        <v>0</v>
      </c>
      <c r="E22" s="523">
        <v>0</v>
      </c>
      <c r="F22" s="530">
        <v>0</v>
      </c>
    </row>
    <row r="23" spans="1:6" s="293" customFormat="1" ht="15">
      <c r="A23" s="455"/>
      <c r="B23" s="531" t="s">
        <v>703</v>
      </c>
      <c r="C23" s="542">
        <f>IF(C24*0.1&lt;C22,"Exceed 10% Rule","")</f>
      </c>
      <c r="D23" s="542" t="s">
        <v>993</v>
      </c>
      <c r="E23" s="542">
        <f>IF(E24*0.1&lt;E22,"Exceed 10% Rule","")</f>
      </c>
      <c r="F23" s="543">
        <f>IF(F24*0.1+F44&lt;F22,"Exceed 10% Rule","")</f>
      </c>
    </row>
    <row r="24" spans="1:6" s="293" customFormat="1" ht="15">
      <c r="A24" s="455"/>
      <c r="B24" s="532" t="s">
        <v>160</v>
      </c>
      <c r="C24" s="533">
        <f>SUM(C10:C22)</f>
        <v>1017864</v>
      </c>
      <c r="D24" s="533">
        <f>SUM(D10:D22)</f>
        <v>1074721.33</v>
      </c>
      <c r="E24" s="533">
        <f>SUM(E10:E22)</f>
        <v>1069000</v>
      </c>
      <c r="F24" s="530">
        <f>SUM(F10:F22)</f>
        <v>166182</v>
      </c>
    </row>
    <row r="25" spans="1:6" s="293" customFormat="1" ht="15">
      <c r="A25" s="455"/>
      <c r="B25" s="532" t="s">
        <v>161</v>
      </c>
      <c r="C25" s="533">
        <f>C8+C24</f>
        <v>1182821</v>
      </c>
      <c r="D25" s="533">
        <f>D8+D24</f>
        <v>1170712.33</v>
      </c>
      <c r="E25" s="533">
        <f>E8+E24</f>
        <v>1168862</v>
      </c>
      <c r="F25" s="530">
        <f>F8+F24</f>
        <v>166897</v>
      </c>
    </row>
    <row r="26" spans="1:6" s="293" customFormat="1" ht="15">
      <c r="A26" s="455"/>
      <c r="B26" s="522" t="s">
        <v>163</v>
      </c>
      <c r="C26" s="531"/>
      <c r="D26" s="531"/>
      <c r="E26" s="531"/>
      <c r="F26" s="535"/>
    </row>
    <row r="27" spans="1:6" s="293" customFormat="1" ht="15">
      <c r="A27" s="455"/>
      <c r="B27" s="451" t="s">
        <v>932</v>
      </c>
      <c r="C27" s="523">
        <v>817255</v>
      </c>
      <c r="D27" s="523">
        <v>841882</v>
      </c>
      <c r="E27" s="523">
        <v>881620</v>
      </c>
      <c r="F27" s="530">
        <v>861620</v>
      </c>
    </row>
    <row r="28" spans="1:6" s="293" customFormat="1" ht="15">
      <c r="A28" s="455"/>
      <c r="B28" s="451" t="s">
        <v>933</v>
      </c>
      <c r="C28" s="523">
        <v>140233</v>
      </c>
      <c r="D28" s="523">
        <v>162377</v>
      </c>
      <c r="E28" s="523">
        <v>137377</v>
      </c>
      <c r="F28" s="530">
        <v>157377</v>
      </c>
    </row>
    <row r="29" spans="1:6" s="293" customFormat="1" ht="15">
      <c r="A29" s="455"/>
      <c r="B29" s="451" t="s">
        <v>934</v>
      </c>
      <c r="C29" s="523">
        <v>122363</v>
      </c>
      <c r="D29" s="523">
        <v>110836</v>
      </c>
      <c r="E29" s="523">
        <v>134041</v>
      </c>
      <c r="F29" s="530">
        <v>134041</v>
      </c>
    </row>
    <row r="30" spans="1:6" s="293" customFormat="1" ht="15">
      <c r="A30" s="455"/>
      <c r="B30" s="451" t="s">
        <v>935</v>
      </c>
      <c r="C30" s="523">
        <v>3108</v>
      </c>
      <c r="D30" s="523">
        <v>109</v>
      </c>
      <c r="E30" s="523">
        <v>109</v>
      </c>
      <c r="F30" s="530">
        <v>109</v>
      </c>
    </row>
    <row r="31" spans="1:6" s="293" customFormat="1" ht="15">
      <c r="A31" s="455"/>
      <c r="B31" s="451" t="s">
        <v>949</v>
      </c>
      <c r="C31" s="523">
        <v>0</v>
      </c>
      <c r="D31" s="523">
        <v>0</v>
      </c>
      <c r="E31" s="523">
        <v>0</v>
      </c>
      <c r="F31" s="523">
        <v>0</v>
      </c>
    </row>
    <row r="32" spans="1:6" s="293" customFormat="1" ht="15">
      <c r="A32" s="455"/>
      <c r="B32" s="451" t="s">
        <v>936</v>
      </c>
      <c r="C32" s="523">
        <v>0</v>
      </c>
      <c r="D32" s="523">
        <v>0</v>
      </c>
      <c r="E32" s="523">
        <v>0</v>
      </c>
      <c r="F32" s="523">
        <v>0</v>
      </c>
    </row>
    <row r="33" spans="1:6" s="293" customFormat="1" ht="15">
      <c r="A33" s="455"/>
      <c r="B33" s="451" t="s">
        <v>182</v>
      </c>
      <c r="C33" s="523"/>
      <c r="D33" s="523">
        <v>0</v>
      </c>
      <c r="E33" s="523">
        <v>0</v>
      </c>
      <c r="F33" s="523">
        <v>0</v>
      </c>
    </row>
    <row r="34" spans="1:6" s="293" customFormat="1" ht="15">
      <c r="A34" s="455"/>
      <c r="B34" s="451" t="s">
        <v>994</v>
      </c>
      <c r="C34" s="523">
        <v>0</v>
      </c>
      <c r="D34" s="523">
        <v>30000</v>
      </c>
      <c r="E34" s="523">
        <v>15000</v>
      </c>
      <c r="F34" s="530">
        <v>15000</v>
      </c>
    </row>
    <row r="35" spans="1:6" s="293" customFormat="1" ht="15">
      <c r="A35" s="455"/>
      <c r="B35" s="531" t="s">
        <v>68</v>
      </c>
      <c r="C35" s="523"/>
      <c r="D35" s="523">
        <v>0</v>
      </c>
      <c r="E35" s="523">
        <v>0</v>
      </c>
      <c r="F35" s="523">
        <v>0</v>
      </c>
    </row>
    <row r="36" spans="1:6" s="293" customFormat="1" ht="15">
      <c r="A36" s="455"/>
      <c r="B36" s="531" t="s">
        <v>702</v>
      </c>
      <c r="C36" s="542">
        <f>IF(C37*0.1&lt;C35,"Exceed 10% Rule","")</f>
      </c>
      <c r="D36" s="542">
        <f>IF(D37*0.1&lt;D35,"Exceed 10% Rule","")</f>
      </c>
      <c r="E36" s="542">
        <f>IF(E37*0.1&lt;E35,"Exceed 10% Rule","")</f>
      </c>
      <c r="F36" s="543">
        <f>IF(F37*0.1&lt;F35,"Exceed 10% Rule","")</f>
      </c>
    </row>
    <row r="37" spans="1:6" s="293" customFormat="1" ht="15">
      <c r="A37" s="455"/>
      <c r="B37" s="532" t="s">
        <v>164</v>
      </c>
      <c r="C37" s="533">
        <f>SUM(C27:C35)</f>
        <v>1082959</v>
      </c>
      <c r="D37" s="533">
        <f>SUM(D27:D35)</f>
        <v>1145204</v>
      </c>
      <c r="E37" s="533">
        <f>SUM(E27:E35)</f>
        <v>1168147</v>
      </c>
      <c r="F37" s="534">
        <f>SUM(F27:F35)</f>
        <v>1168147</v>
      </c>
    </row>
    <row r="38" spans="1:6" s="293" customFormat="1" ht="15">
      <c r="A38" s="455"/>
      <c r="B38" s="522" t="s">
        <v>304</v>
      </c>
      <c r="C38" s="524">
        <f>C25-C37</f>
        <v>99862</v>
      </c>
      <c r="D38" s="533">
        <f>D25-D37</f>
        <v>25508.330000000075</v>
      </c>
      <c r="E38" s="524">
        <f>E25-E37</f>
        <v>715</v>
      </c>
      <c r="F38" s="529" t="s">
        <v>140</v>
      </c>
    </row>
    <row r="39" spans="1:7" s="293" customFormat="1" ht="15">
      <c r="A39" s="455"/>
      <c r="B39" s="536" t="str">
        <f>CONCATENATE("",F$1-2,"/",F$1-1," Budget Authority Amount:")</f>
        <v>2010/2011 Budget Authority Amount:</v>
      </c>
      <c r="C39" s="537">
        <f>inputOth!B34</f>
        <v>1084675</v>
      </c>
      <c r="D39" s="537"/>
      <c r="E39" s="537">
        <f>inputPrYr!D19</f>
        <v>1168147</v>
      </c>
      <c r="F39" s="529" t="s">
        <v>140</v>
      </c>
      <c r="G39" s="300"/>
    </row>
    <row r="40" spans="1:7" s="293" customFormat="1" ht="15">
      <c r="A40" s="455"/>
      <c r="B40" s="536"/>
      <c r="C40" s="826" t="s">
        <v>705</v>
      </c>
      <c r="D40" s="826"/>
      <c r="E40" s="827"/>
      <c r="F40" s="530">
        <v>971</v>
      </c>
      <c r="G40" s="300">
        <f>IF(F37/0.95-F37&lt;F40,"Exceeds 5%","")</f>
      </c>
    </row>
    <row r="41" spans="1:6" s="293" customFormat="1" ht="15">
      <c r="A41" s="455"/>
      <c r="B41" s="538" t="str">
        <f>CONCATENATE(C56,"     ",E56)</f>
        <v>     </v>
      </c>
      <c r="C41" s="828" t="s">
        <v>706</v>
      </c>
      <c r="D41" s="828"/>
      <c r="E41" s="829"/>
      <c r="F41" s="525">
        <f>F37+F40</f>
        <v>1169118</v>
      </c>
    </row>
    <row r="42" spans="1:6" s="293" customFormat="1" ht="15">
      <c r="A42" s="455"/>
      <c r="B42" s="538" t="str">
        <f>CONCATENATE(C57,"     ",E57)</f>
        <v>     </v>
      </c>
      <c r="C42" s="539"/>
      <c r="D42" s="539"/>
      <c r="E42" s="515" t="s">
        <v>165</v>
      </c>
      <c r="F42" s="525">
        <f>IF(F41-F26&gt;0,F41-F25,0)</f>
        <v>1002221</v>
      </c>
    </row>
    <row r="43" spans="1:6" ht="15.75">
      <c r="A43" s="455"/>
      <c r="B43" s="515"/>
      <c r="C43" s="540" t="s">
        <v>707</v>
      </c>
      <c r="D43" s="540"/>
      <c r="E43" s="541">
        <f>inputOth!$E$24</f>
        <v>0.08</v>
      </c>
      <c r="F43" s="525">
        <f>ROUND(IF(E43&gt;0,(F42/((100-(100*E43))*0.01)-F42),0),0)</f>
        <v>87150</v>
      </c>
    </row>
    <row r="44" spans="1:6" ht="15.75">
      <c r="A44" s="455"/>
      <c r="B44" s="513"/>
      <c r="C44" s="830" t="str">
        <f>CONCATENATE("Amount of  ",$F$1-1," Ad Valorem Tax")</f>
        <v>Amount of  2011 Ad Valorem Tax</v>
      </c>
      <c r="D44" s="830"/>
      <c r="E44" s="831"/>
      <c r="F44" s="544">
        <f>F42+F43</f>
        <v>1089371</v>
      </c>
    </row>
    <row r="54" spans="3:5" ht="15.75" hidden="1">
      <c r="C54" s="27" t="e">
        <f>IF(#REF!&gt;#REF!,"See Tab A","")</f>
        <v>#REF!</v>
      </c>
      <c r="E54" s="27" t="e">
        <f>IF(#REF!&gt;#REF!,"See Tab C","")</f>
        <v>#REF!</v>
      </c>
    </row>
    <row r="55" spans="3:5" ht="15.75" hidden="1">
      <c r="C55" s="27" t="e">
        <f>IF(#REF!&lt;0,"See Tab B","")</f>
        <v>#REF!</v>
      </c>
      <c r="E55" s="27" t="e">
        <f>IF(#REF!&lt;0,"See Tab D","")</f>
        <v>#REF!</v>
      </c>
    </row>
    <row r="56" spans="3:5" ht="15.75" hidden="1">
      <c r="C56" s="27">
        <f>IF(C37&gt;C39,"See Tab A","")</f>
      </c>
      <c r="E56" s="27">
        <f>IF(E37&gt;E39,"See Tab C","")</f>
      </c>
    </row>
    <row r="57" spans="3:5" ht="15.75" hidden="1">
      <c r="C57" s="27">
        <f>IF(C38&lt;0,"See Tab B","")</f>
      </c>
      <c r="E57" s="27">
        <f>IF(E38&lt;0,"See Tab D","")</f>
      </c>
    </row>
  </sheetData>
  <sheetProtection/>
  <mergeCells count="3">
    <mergeCell ref="C40:E40"/>
    <mergeCell ref="C41:E41"/>
    <mergeCell ref="C44:E44"/>
  </mergeCells>
  <conditionalFormatting sqref="F40">
    <cfRule type="cellIs" priority="5" dxfId="128" operator="greaterThan" stopIfTrue="1">
      <formula>$F$37/0.95-$F$37</formula>
    </cfRule>
  </conditionalFormatting>
  <conditionalFormatting sqref="C38">
    <cfRule type="cellIs" priority="8" dxfId="1" operator="lessThan" stopIfTrue="1">
      <formula>0</formula>
    </cfRule>
  </conditionalFormatting>
  <conditionalFormatting sqref="C37">
    <cfRule type="cellIs" priority="9" dxfId="1" operator="greaterThan" stopIfTrue="1">
      <formula>$C$39</formula>
    </cfRule>
  </conditionalFormatting>
  <conditionalFormatting sqref="E37">
    <cfRule type="cellIs" priority="10" dxfId="1" operator="greaterThan" stopIfTrue="1">
      <formula>$E$39</formula>
    </cfRule>
  </conditionalFormatting>
  <conditionalFormatting sqref="C35">
    <cfRule type="cellIs" priority="11" dxfId="1" operator="greaterThan" stopIfTrue="1">
      <formula>$C$37*0.1</formula>
    </cfRule>
  </conditionalFormatting>
  <conditionalFormatting sqref="C22:D22">
    <cfRule type="cellIs" priority="14" dxfId="1" operator="greaterThan" stopIfTrue="1">
      <formula>$C$24*0.1</formula>
    </cfRule>
  </conditionalFormatting>
  <conditionalFormatting sqref="E22">
    <cfRule type="cellIs" priority="15" dxfId="1" operator="greaterThan" stopIfTrue="1">
      <formula>$E$24*0.1</formula>
    </cfRule>
  </conditionalFormatting>
  <conditionalFormatting sqref="E38">
    <cfRule type="cellIs" priority="3" dxfId="0" operator="lessThan" stopIfTrue="1">
      <formula>0</formula>
    </cfRule>
  </conditionalFormatting>
  <conditionalFormatting sqref="E22">
    <cfRule type="cellIs" priority="1" dxfId="1" operator="greaterThan" stopIfTrue="1">
      <formula>$C$24*0.1</formula>
    </cfRule>
  </conditionalFormatting>
  <printOptions/>
  <pageMargins left="1.12" right="0.5" top="0.74" bottom="0.34" header="0.5" footer="0"/>
  <pageSetup blackAndWhite="1" fitToHeight="1" fitToWidth="1" horizontalDpi="120" verticalDpi="120" orientation="portrait" scale="64" r:id="rId1"/>
  <headerFooter alignWithMargins="0">
    <oddHeader>&amp;RState of Kansas
County
</oddHeader>
    <oddFooter>&amp;C&amp;"Arial,Regular"&amp;11WY - &amp;P</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B1:G52"/>
  <sheetViews>
    <sheetView zoomScale="80" zoomScaleNormal="80" zoomScalePageLayoutView="0" workbookViewId="0" topLeftCell="A7">
      <selection activeCell="A27" sqref="A27:IV27"/>
    </sheetView>
  </sheetViews>
  <sheetFormatPr defaultColWidth="8.796875" defaultRowHeight="15"/>
  <cols>
    <col min="1" max="1" width="2.3984375" style="27" customWidth="1"/>
    <col min="2" max="2" width="31.09765625" style="27" customWidth="1"/>
    <col min="3" max="5" width="15.796875" style="27" customWidth="1"/>
    <col min="6" max="6" width="16.19921875" style="27" customWidth="1"/>
    <col min="7" max="16384" width="8.8984375" style="27" customWidth="1"/>
  </cols>
  <sheetData>
    <row r="1" spans="2:6" ht="15.75">
      <c r="B1" s="512" t="str">
        <f>(inputPrYr!C2)</f>
        <v>Wyandotte County</v>
      </c>
      <c r="C1" s="513"/>
      <c r="D1" s="513"/>
      <c r="E1" s="513"/>
      <c r="F1" s="514">
        <f>inputPrYr!C4</f>
        <v>2012</v>
      </c>
    </row>
    <row r="2" spans="2:6" ht="15.75">
      <c r="B2" s="513"/>
      <c r="C2" s="513"/>
      <c r="D2" s="513"/>
      <c r="E2" s="513"/>
      <c r="F2" s="515"/>
    </row>
    <row r="3" spans="2:6" ht="15.75">
      <c r="B3" s="516" t="s">
        <v>263</v>
      </c>
      <c r="C3" s="517"/>
      <c r="D3" s="517"/>
      <c r="E3" s="517"/>
      <c r="F3" s="518"/>
    </row>
    <row r="4" spans="2:6" ht="15.75">
      <c r="B4" s="513"/>
      <c r="C4" s="519"/>
      <c r="D4" s="519"/>
      <c r="E4" s="519"/>
      <c r="F4" s="519"/>
    </row>
    <row r="5" spans="2:6" ht="15.75">
      <c r="B5" s="513"/>
      <c r="C5" s="519"/>
      <c r="D5" s="519"/>
      <c r="E5" s="519"/>
      <c r="F5" s="519"/>
    </row>
    <row r="6" spans="2:6" ht="15.75">
      <c r="B6" s="520" t="s">
        <v>155</v>
      </c>
      <c r="C6" s="331" t="s">
        <v>926</v>
      </c>
      <c r="D6" s="331">
        <v>2011</v>
      </c>
      <c r="E6" s="332" t="s">
        <v>928</v>
      </c>
      <c r="F6" s="333" t="s">
        <v>931</v>
      </c>
    </row>
    <row r="7" spans="2:6" ht="15.75">
      <c r="B7" s="545" t="str">
        <f>inputPrYr!B20</f>
        <v>Mental Health</v>
      </c>
      <c r="C7" s="510" t="s">
        <v>927</v>
      </c>
      <c r="D7" s="510" t="s">
        <v>925</v>
      </c>
      <c r="E7" s="510" t="s">
        <v>929</v>
      </c>
      <c r="F7" s="511" t="s">
        <v>944</v>
      </c>
    </row>
    <row r="8" spans="2:6" ht="15.75">
      <c r="B8" s="522" t="s">
        <v>303</v>
      </c>
      <c r="C8" s="523">
        <v>197726</v>
      </c>
      <c r="D8" s="523">
        <v>105357</v>
      </c>
      <c r="E8" s="524">
        <f>C33</f>
        <v>148052</v>
      </c>
      <c r="F8" s="525">
        <f>E33</f>
        <v>82495</v>
      </c>
    </row>
    <row r="9" spans="2:6" ht="15.75">
      <c r="B9" s="546" t="s">
        <v>305</v>
      </c>
      <c r="C9" s="527"/>
      <c r="D9" s="527"/>
      <c r="E9" s="527"/>
      <c r="F9" s="528"/>
    </row>
    <row r="10" spans="2:6" ht="15.75">
      <c r="B10" s="391" t="s">
        <v>156</v>
      </c>
      <c r="C10" s="523">
        <v>426488</v>
      </c>
      <c r="D10" s="523">
        <v>336012</v>
      </c>
      <c r="E10" s="524">
        <v>333000</v>
      </c>
      <c r="F10" s="529" t="s">
        <v>140</v>
      </c>
    </row>
    <row r="11" spans="2:6" ht="15.75">
      <c r="B11" s="391" t="s">
        <v>157</v>
      </c>
      <c r="C11" s="523">
        <v>21599</v>
      </c>
      <c r="D11" s="523">
        <v>14600</v>
      </c>
      <c r="E11" s="523">
        <v>19160</v>
      </c>
      <c r="F11" s="530">
        <v>12400</v>
      </c>
    </row>
    <row r="12" spans="2:6" ht="15.75">
      <c r="B12" s="391" t="s">
        <v>158</v>
      </c>
      <c r="C12" s="523">
        <v>53794</v>
      </c>
      <c r="D12" s="523">
        <v>50181</v>
      </c>
      <c r="E12" s="523">
        <v>48600</v>
      </c>
      <c r="F12" s="525">
        <f>mvalloc!D12</f>
        <v>38078</v>
      </c>
    </row>
    <row r="13" spans="2:6" ht="15.75">
      <c r="B13" s="391" t="s">
        <v>159</v>
      </c>
      <c r="C13" s="523">
        <v>258</v>
      </c>
      <c r="D13" s="523">
        <v>251</v>
      </c>
      <c r="E13" s="523">
        <v>230</v>
      </c>
      <c r="F13" s="525">
        <f>mvalloc!E12</f>
        <v>185</v>
      </c>
    </row>
    <row r="14" spans="2:6" ht="15.75">
      <c r="B14" s="391" t="s">
        <v>256</v>
      </c>
      <c r="C14" s="523">
        <v>448</v>
      </c>
      <c r="D14" s="523">
        <v>387</v>
      </c>
      <c r="E14" s="523">
        <v>440</v>
      </c>
      <c r="F14" s="525">
        <f>mvalloc!F12</f>
        <v>338</v>
      </c>
    </row>
    <row r="15" spans="2:6" ht="15.75">
      <c r="B15" s="391" t="s">
        <v>879</v>
      </c>
      <c r="C15" s="523">
        <v>13283</v>
      </c>
      <c r="D15" s="523">
        <v>9940</v>
      </c>
      <c r="E15" s="523">
        <v>7600</v>
      </c>
      <c r="F15" s="525">
        <v>6050</v>
      </c>
    </row>
    <row r="16" spans="2:6" ht="15.75">
      <c r="B16" s="391" t="s">
        <v>880</v>
      </c>
      <c r="C16" s="523">
        <v>323</v>
      </c>
      <c r="D16" s="523">
        <v>230</v>
      </c>
      <c r="E16" s="523">
        <v>280</v>
      </c>
      <c r="F16" s="525">
        <v>180</v>
      </c>
    </row>
    <row r="17" spans="2:6" ht="15.75">
      <c r="B17" s="391" t="s">
        <v>357</v>
      </c>
      <c r="C17" s="523">
        <v>0</v>
      </c>
      <c r="D17" s="523">
        <v>0</v>
      </c>
      <c r="E17" s="523">
        <v>0</v>
      </c>
      <c r="F17" s="523">
        <v>0</v>
      </c>
    </row>
    <row r="18" spans="2:6" ht="15.75">
      <c r="B18" s="531" t="s">
        <v>68</v>
      </c>
      <c r="C18" s="523">
        <v>0</v>
      </c>
      <c r="D18" s="523">
        <v>0</v>
      </c>
      <c r="E18" s="523">
        <v>0</v>
      </c>
      <c r="F18" s="523">
        <v>0</v>
      </c>
    </row>
    <row r="19" spans="2:6" ht="15.75">
      <c r="B19" s="531" t="s">
        <v>703</v>
      </c>
      <c r="C19" s="542">
        <f>IF(C20*0.1&lt;C18,"Exceed 10% Rule","")</f>
      </c>
      <c r="D19" s="542" t="s">
        <v>993</v>
      </c>
      <c r="E19" s="542">
        <f>IF(E20*0.1&lt;E18,"Exceed 10% Rule","")</f>
      </c>
      <c r="F19" s="543">
        <f>IF(F20*0.1+F39&lt;F18,"Exceed 10% Rule","")</f>
      </c>
    </row>
    <row r="20" spans="2:6" ht="15.75">
      <c r="B20" s="532" t="s">
        <v>160</v>
      </c>
      <c r="C20" s="533">
        <f>SUM(C10:C18)</f>
        <v>516193</v>
      </c>
      <c r="D20" s="533">
        <f>SUM(D10:D18)</f>
        <v>411601</v>
      </c>
      <c r="E20" s="533">
        <f>SUM(E10:E18)</f>
        <v>409310</v>
      </c>
      <c r="F20" s="534">
        <f>SUM(F10:F18)</f>
        <v>57231</v>
      </c>
    </row>
    <row r="21" spans="2:6" ht="15.75">
      <c r="B21" s="532" t="s">
        <v>161</v>
      </c>
      <c r="C21" s="533">
        <f>C8+C20</f>
        <v>713919</v>
      </c>
      <c r="D21" s="533">
        <f>D8+D20</f>
        <v>516958</v>
      </c>
      <c r="E21" s="533">
        <f>E8+E20</f>
        <v>557362</v>
      </c>
      <c r="F21" s="534">
        <f>F8+F20</f>
        <v>139726</v>
      </c>
    </row>
    <row r="22" spans="2:6" ht="15.75">
      <c r="B22" s="522" t="s">
        <v>163</v>
      </c>
      <c r="C22" s="531"/>
      <c r="D22" s="531"/>
      <c r="E22" s="531"/>
      <c r="F22" s="535"/>
    </row>
    <row r="23" spans="2:6" ht="15.75">
      <c r="B23" s="391" t="s">
        <v>932</v>
      </c>
      <c r="C23" s="523">
        <v>0</v>
      </c>
      <c r="D23" s="523">
        <v>0</v>
      </c>
      <c r="E23" s="523">
        <v>0</v>
      </c>
      <c r="F23" s="530">
        <v>0</v>
      </c>
    </row>
    <row r="24" spans="2:6" ht="15.75">
      <c r="B24" s="391" t="s">
        <v>933</v>
      </c>
      <c r="C24" s="523">
        <v>0</v>
      </c>
      <c r="D24" s="523">
        <v>0</v>
      </c>
      <c r="E24" s="523">
        <v>0</v>
      </c>
      <c r="F24" s="530">
        <v>0</v>
      </c>
    </row>
    <row r="25" spans="2:6" ht="15.75">
      <c r="B25" s="391" t="s">
        <v>934</v>
      </c>
      <c r="C25" s="523">
        <v>0</v>
      </c>
      <c r="D25" s="523">
        <v>0</v>
      </c>
      <c r="E25" s="523">
        <v>0</v>
      </c>
      <c r="F25" s="530">
        <v>0</v>
      </c>
    </row>
    <row r="26" spans="2:6" ht="15.75">
      <c r="B26" s="391" t="s">
        <v>935</v>
      </c>
      <c r="C26" s="523">
        <v>565867</v>
      </c>
      <c r="D26" s="523">
        <v>453867</v>
      </c>
      <c r="E26" s="523">
        <v>453867</v>
      </c>
      <c r="F26" s="530">
        <v>508331</v>
      </c>
    </row>
    <row r="27" spans="2:6" ht="15.75">
      <c r="B27" s="391" t="s">
        <v>949</v>
      </c>
      <c r="C27" s="523">
        <v>0</v>
      </c>
      <c r="D27" s="523">
        <v>0</v>
      </c>
      <c r="E27" s="523">
        <v>0</v>
      </c>
      <c r="F27" s="530">
        <v>0</v>
      </c>
    </row>
    <row r="28" spans="2:6" ht="15.75">
      <c r="B28" s="391" t="s">
        <v>936</v>
      </c>
      <c r="C28" s="523">
        <v>0</v>
      </c>
      <c r="D28" s="523">
        <v>0</v>
      </c>
      <c r="E28" s="523">
        <v>0</v>
      </c>
      <c r="F28" s="530">
        <v>0</v>
      </c>
    </row>
    <row r="29" spans="2:6" ht="15.75">
      <c r="B29" s="391" t="s">
        <v>182</v>
      </c>
      <c r="C29" s="523">
        <v>0</v>
      </c>
      <c r="D29" s="523">
        <v>0</v>
      </c>
      <c r="E29" s="523">
        <v>0</v>
      </c>
      <c r="F29" s="530">
        <v>0</v>
      </c>
    </row>
    <row r="30" spans="2:6" ht="15.75">
      <c r="B30" s="531" t="s">
        <v>68</v>
      </c>
      <c r="C30" s="523">
        <v>0</v>
      </c>
      <c r="D30" s="523">
        <v>42000</v>
      </c>
      <c r="E30" s="523">
        <v>21000</v>
      </c>
      <c r="F30" s="530">
        <v>21000</v>
      </c>
    </row>
    <row r="31" spans="2:6" ht="15.75">
      <c r="B31" s="531" t="s">
        <v>702</v>
      </c>
      <c r="C31" s="542">
        <f>IF(C32*0.1&lt;C30,"Exceed 10% Rule","")</f>
      </c>
      <c r="D31" s="542">
        <f>IF(D32*0.1&lt;D30,"Exceed 10% Rule","")</f>
      </c>
      <c r="E31" s="542">
        <f>IF(E32*0.1&lt;E30,"Exceed 10% Rule","")</f>
      </c>
      <c r="F31" s="543">
        <f>IF(F32*0.1&lt;F30,"Exceed 10% Rule","")</f>
      </c>
    </row>
    <row r="32" spans="2:6" ht="15.75">
      <c r="B32" s="532" t="s">
        <v>164</v>
      </c>
      <c r="C32" s="533">
        <f>SUM(C23:C30)</f>
        <v>565867</v>
      </c>
      <c r="D32" s="533">
        <f>SUM(D23:D30)</f>
        <v>495867</v>
      </c>
      <c r="E32" s="533">
        <f>SUM(E23:E30)</f>
        <v>474867</v>
      </c>
      <c r="F32" s="534">
        <f>SUM(F23:F30)</f>
        <v>529331</v>
      </c>
    </row>
    <row r="33" spans="2:6" ht="15.75">
      <c r="B33" s="522" t="s">
        <v>304</v>
      </c>
      <c r="C33" s="524">
        <f>C21-C32</f>
        <v>148052</v>
      </c>
      <c r="D33" s="524">
        <f>D21-D32</f>
        <v>21091</v>
      </c>
      <c r="E33" s="524">
        <f>E21-E32</f>
        <v>82495</v>
      </c>
      <c r="F33" s="529" t="s">
        <v>140</v>
      </c>
    </row>
    <row r="34" spans="2:7" ht="15.75">
      <c r="B34" s="536" t="str">
        <f>CONCATENATE("",F$1-2,"/",F$1-1," Budget Authority Amount:")</f>
        <v>2010/2011 Budget Authority Amount:</v>
      </c>
      <c r="C34" s="537">
        <f>inputOth!B35</f>
        <v>607867</v>
      </c>
      <c r="D34" s="537"/>
      <c r="E34" s="537">
        <f>inputPrYr!D20</f>
        <v>474867</v>
      </c>
      <c r="F34" s="529" t="s">
        <v>140</v>
      </c>
      <c r="G34" s="120"/>
    </row>
    <row r="35" spans="2:7" ht="15.75">
      <c r="B35" s="536"/>
      <c r="C35" s="826" t="s">
        <v>705</v>
      </c>
      <c r="D35" s="826"/>
      <c r="E35" s="827"/>
      <c r="F35" s="530">
        <v>24421</v>
      </c>
      <c r="G35" s="120">
        <f>IF(F32/0.95-F32&lt;F35,"Exceeds 5%","")</f>
      </c>
    </row>
    <row r="36" spans="2:6" ht="15.75">
      <c r="B36" s="538" t="str">
        <f>CONCATENATE(C51,"     ",E51)</f>
        <v>     </v>
      </c>
      <c r="C36" s="828" t="s">
        <v>706</v>
      </c>
      <c r="D36" s="828"/>
      <c r="E36" s="829"/>
      <c r="F36" s="525">
        <f>F32+F35</f>
        <v>553752</v>
      </c>
    </row>
    <row r="37" spans="2:6" ht="15.75">
      <c r="B37" s="538" t="str">
        <f>CONCATENATE(C52,"     ",E52)</f>
        <v>     </v>
      </c>
      <c r="C37" s="539"/>
      <c r="D37" s="539"/>
      <c r="E37" s="515" t="s">
        <v>165</v>
      </c>
      <c r="F37" s="525">
        <f>IF(F36-F21&gt;0,F36-F21,0)</f>
        <v>414026</v>
      </c>
    </row>
    <row r="38" spans="2:6" ht="15.75">
      <c r="B38" s="515"/>
      <c r="C38" s="540" t="s">
        <v>707</v>
      </c>
      <c r="D38" s="540"/>
      <c r="E38" s="541">
        <f>inputOth!$E$24</f>
        <v>0.08</v>
      </c>
      <c r="F38" s="525">
        <f>ROUND(IF(E38&gt;0,(F37/((100-(100*E38))*0.01)-F37),0),0)</f>
        <v>36002</v>
      </c>
    </row>
    <row r="39" spans="2:6" ht="15.75">
      <c r="B39" s="513"/>
      <c r="C39" s="830" t="str">
        <f>CONCATENATE("Amount of  ",$F$1-1," Ad Valorem Tax")</f>
        <v>Amount of  2011 Ad Valorem Tax</v>
      </c>
      <c r="D39" s="830"/>
      <c r="E39" s="831"/>
      <c r="F39" s="544">
        <f>F37+F38</f>
        <v>450028</v>
      </c>
    </row>
    <row r="49" spans="3:5" ht="15.75" hidden="1">
      <c r="C49" s="27" t="e">
        <f>IF(#REF!&gt;#REF!,"See Tab A","")</f>
        <v>#REF!</v>
      </c>
      <c r="E49" s="27" t="e">
        <f>IF(#REF!&gt;#REF!,"See Tab C","")</f>
        <v>#REF!</v>
      </c>
    </row>
    <row r="50" spans="3:5" ht="15.75" hidden="1">
      <c r="C50" s="27" t="e">
        <f>IF(#REF!&lt;0,"See Tab B","")</f>
        <v>#REF!</v>
      </c>
      <c r="E50" s="27" t="e">
        <f>IF(#REF!&lt;0,"See Tab D","")</f>
        <v>#REF!</v>
      </c>
    </row>
    <row r="51" spans="3:5" ht="15.75" hidden="1">
      <c r="C51" s="27">
        <f>IF(C32&gt;C34,"See Tab A","")</f>
      </c>
      <c r="E51" s="27">
        <f>IF(E32&gt;E34,"See Tab C","")</f>
      </c>
    </row>
    <row r="52" spans="3:5" ht="15.75" hidden="1">
      <c r="C52" s="27">
        <f>IF(C33&lt;0,"See Tab B","")</f>
      </c>
      <c r="E52" s="27">
        <f>IF(E33&lt;0,"See Tab D","")</f>
      </c>
    </row>
  </sheetData>
  <sheetProtection/>
  <mergeCells count="3">
    <mergeCell ref="C35:E35"/>
    <mergeCell ref="C36:E36"/>
    <mergeCell ref="C39:E39"/>
  </mergeCells>
  <conditionalFormatting sqref="F35">
    <cfRule type="cellIs" priority="4" dxfId="128" operator="greaterThan" stopIfTrue="1">
      <formula>$F$32/0.95-$F$32</formula>
    </cfRule>
  </conditionalFormatting>
  <conditionalFormatting sqref="C33:D33">
    <cfRule type="cellIs" priority="7" dxfId="1" operator="lessThan" stopIfTrue="1">
      <formula>0</formula>
    </cfRule>
  </conditionalFormatting>
  <conditionalFormatting sqref="C32:D32">
    <cfRule type="cellIs" priority="8" dxfId="1" operator="greaterThan" stopIfTrue="1">
      <formula>$C$34</formula>
    </cfRule>
  </conditionalFormatting>
  <conditionalFormatting sqref="E32">
    <cfRule type="cellIs" priority="9" dxfId="1" operator="greaterThan" stopIfTrue="1">
      <formula>$E$34</formula>
    </cfRule>
  </conditionalFormatting>
  <conditionalFormatting sqref="C30">
    <cfRule type="cellIs" priority="10" dxfId="1" operator="greaterThan" stopIfTrue="1">
      <formula>$C$32*0.1</formula>
    </cfRule>
  </conditionalFormatting>
  <conditionalFormatting sqref="C18:D18">
    <cfRule type="cellIs" priority="13" dxfId="1" operator="greaterThan" stopIfTrue="1">
      <formula>$C$20*0.1</formula>
    </cfRule>
  </conditionalFormatting>
  <conditionalFormatting sqref="E18">
    <cfRule type="cellIs" priority="14" dxfId="1" operator="greaterThan" stopIfTrue="1">
      <formula>$E$20*0.1</formula>
    </cfRule>
  </conditionalFormatting>
  <conditionalFormatting sqref="E33">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4" r:id="rId1"/>
  <headerFooter alignWithMargins="0">
    <oddHeader>&amp;RState of Kansas
County
</oddHeader>
    <oddFooter>&amp;C&amp;"Arial,Regular"&amp;11WY - &amp;P</oddFooter>
  </headerFooter>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B1:G106"/>
  <sheetViews>
    <sheetView zoomScale="80" zoomScaleNormal="80" zoomScalePageLayoutView="0" workbookViewId="0" topLeftCell="A40">
      <selection activeCell="A83" sqref="A83:IV83"/>
    </sheetView>
  </sheetViews>
  <sheetFormatPr defaultColWidth="8.796875" defaultRowHeight="15"/>
  <cols>
    <col min="1" max="1" width="2.3984375" style="455" customWidth="1"/>
    <col min="2" max="2" width="31.09765625" style="455" customWidth="1"/>
    <col min="3" max="5" width="15.796875" style="455" customWidth="1"/>
    <col min="6" max="6" width="16.09765625" style="455" customWidth="1"/>
    <col min="7" max="16384" width="8.8984375" style="455" customWidth="1"/>
  </cols>
  <sheetData>
    <row r="1" spans="2:6" ht="14.25">
      <c r="B1" s="512" t="str">
        <f>(inputPrYr!C2)</f>
        <v>Wyandotte County</v>
      </c>
      <c r="C1" s="513"/>
      <c r="D1" s="513"/>
      <c r="E1" s="513"/>
      <c r="F1" s="514">
        <f>inputPrYr!C4</f>
        <v>2012</v>
      </c>
    </row>
    <row r="2" spans="2:6" ht="14.25">
      <c r="B2" s="513"/>
      <c r="C2" s="513"/>
      <c r="D2" s="513"/>
      <c r="E2" s="513"/>
      <c r="F2" s="515"/>
    </row>
    <row r="3" spans="2:6" ht="15">
      <c r="B3" s="516" t="s">
        <v>263</v>
      </c>
      <c r="C3" s="517"/>
      <c r="D3" s="517"/>
      <c r="E3" s="517"/>
      <c r="F3" s="518"/>
    </row>
    <row r="4" spans="2:6" ht="14.25">
      <c r="B4" s="513"/>
      <c r="C4" s="519"/>
      <c r="D4" s="519"/>
      <c r="E4" s="519"/>
      <c r="F4" s="519"/>
    </row>
    <row r="5" spans="2:6" ht="14.25">
      <c r="B5" s="520" t="s">
        <v>155</v>
      </c>
      <c r="C5" s="331" t="s">
        <v>926</v>
      </c>
      <c r="D5" s="331">
        <v>2011</v>
      </c>
      <c r="E5" s="332" t="s">
        <v>928</v>
      </c>
      <c r="F5" s="333" t="s">
        <v>931</v>
      </c>
    </row>
    <row r="6" spans="2:6" ht="15">
      <c r="B6" s="521" t="str">
        <f>inputPrYr!B21</f>
        <v>Developmental Disabilities</v>
      </c>
      <c r="C6" s="510" t="s">
        <v>927</v>
      </c>
      <c r="D6" s="510" t="s">
        <v>925</v>
      </c>
      <c r="E6" s="510" t="s">
        <v>929</v>
      </c>
      <c r="F6" s="511" t="s">
        <v>944</v>
      </c>
    </row>
    <row r="7" spans="2:6" ht="14.25">
      <c r="B7" s="522" t="s">
        <v>303</v>
      </c>
      <c r="C7" s="523">
        <v>185522</v>
      </c>
      <c r="D7" s="523">
        <v>219427</v>
      </c>
      <c r="E7" s="524">
        <f>C32</f>
        <v>396438</v>
      </c>
      <c r="F7" s="525">
        <f>E32</f>
        <v>225565</v>
      </c>
    </row>
    <row r="8" spans="2:6" ht="14.25">
      <c r="B8" s="526" t="s">
        <v>305</v>
      </c>
      <c r="C8" s="527"/>
      <c r="D8" s="527"/>
      <c r="E8" s="527"/>
      <c r="F8" s="528"/>
    </row>
    <row r="9" spans="2:6" ht="14.25">
      <c r="B9" s="391" t="s">
        <v>156</v>
      </c>
      <c r="C9" s="523">
        <v>500007</v>
      </c>
      <c r="D9" s="523">
        <v>297120.45999999996</v>
      </c>
      <c r="E9" s="524">
        <v>314000</v>
      </c>
      <c r="F9" s="529" t="s">
        <v>140</v>
      </c>
    </row>
    <row r="10" spans="2:6" ht="14.25">
      <c r="B10" s="391" t="s">
        <v>157</v>
      </c>
      <c r="C10" s="523">
        <v>22426</v>
      </c>
      <c r="D10" s="523">
        <v>17000</v>
      </c>
      <c r="E10" s="523">
        <v>21000</v>
      </c>
      <c r="F10" s="530">
        <v>11800</v>
      </c>
    </row>
    <row r="11" spans="2:6" ht="14.25">
      <c r="B11" s="391" t="s">
        <v>158</v>
      </c>
      <c r="C11" s="523">
        <v>55896</v>
      </c>
      <c r="D11" s="523">
        <v>58626</v>
      </c>
      <c r="E11" s="523">
        <v>53900</v>
      </c>
      <c r="F11" s="525">
        <f>mvalloc!D13</f>
        <v>36020</v>
      </c>
    </row>
    <row r="12" spans="2:6" ht="14.25">
      <c r="B12" s="391" t="s">
        <v>159</v>
      </c>
      <c r="C12" s="523">
        <v>268</v>
      </c>
      <c r="D12" s="523">
        <v>293</v>
      </c>
      <c r="E12" s="523">
        <v>250</v>
      </c>
      <c r="F12" s="525">
        <f>mvalloc!E13</f>
        <v>175</v>
      </c>
    </row>
    <row r="13" spans="2:6" ht="14.25">
      <c r="B13" s="391" t="s">
        <v>256</v>
      </c>
      <c r="C13" s="523">
        <v>465</v>
      </c>
      <c r="D13" s="523">
        <v>452</v>
      </c>
      <c r="E13" s="523">
        <v>450</v>
      </c>
      <c r="F13" s="525">
        <f>mvalloc!F13</f>
        <v>320</v>
      </c>
    </row>
    <row r="14" spans="2:6" ht="14.25">
      <c r="B14" s="391" t="s">
        <v>879</v>
      </c>
      <c r="C14" s="523">
        <v>15304</v>
      </c>
      <c r="D14" s="523">
        <v>7000</v>
      </c>
      <c r="E14" s="523">
        <v>7240</v>
      </c>
      <c r="F14" s="525">
        <v>5770</v>
      </c>
    </row>
    <row r="15" spans="2:6" ht="14.25">
      <c r="B15" s="391" t="s">
        <v>880</v>
      </c>
      <c r="C15" s="523">
        <v>336</v>
      </c>
      <c r="D15" s="523">
        <v>270</v>
      </c>
      <c r="E15" s="523">
        <v>280</v>
      </c>
      <c r="F15" s="525">
        <v>170</v>
      </c>
    </row>
    <row r="16" spans="2:6" ht="14.25">
      <c r="B16" s="391" t="s">
        <v>357</v>
      </c>
      <c r="C16" s="523">
        <v>0</v>
      </c>
      <c r="D16" s="523">
        <v>0</v>
      </c>
      <c r="E16" s="523">
        <v>0</v>
      </c>
      <c r="F16" s="525">
        <v>0</v>
      </c>
    </row>
    <row r="17" spans="2:6" ht="14.25">
      <c r="B17" s="531" t="s">
        <v>68</v>
      </c>
      <c r="C17" s="523">
        <v>0</v>
      </c>
      <c r="D17" s="523">
        <v>0</v>
      </c>
      <c r="E17" s="523">
        <v>0</v>
      </c>
      <c r="F17" s="530">
        <v>0</v>
      </c>
    </row>
    <row r="18" spans="2:6" ht="14.25">
      <c r="B18" s="531" t="s">
        <v>703</v>
      </c>
      <c r="C18" s="542">
        <f>IF(C19*0.1&lt;C17,"Exceed 10% Rule","")</f>
      </c>
      <c r="D18" s="542" t="s">
        <v>993</v>
      </c>
      <c r="E18" s="542">
        <f>IF(E19*0.1&lt;E17,"Exceed 10% Rule","")</f>
      </c>
      <c r="F18" s="543">
        <f>IF(F19*0.1+F38&lt;F17,"Exceed 10% Rule","")</f>
      </c>
    </row>
    <row r="19" spans="2:6" ht="15">
      <c r="B19" s="532" t="s">
        <v>160</v>
      </c>
      <c r="C19" s="533">
        <f>SUM(C9:C17)</f>
        <v>594702</v>
      </c>
      <c r="D19" s="533">
        <f>SUM(D9:D17)</f>
        <v>380761.45999999996</v>
      </c>
      <c r="E19" s="533">
        <f>SUM(E9:E17)</f>
        <v>397120</v>
      </c>
      <c r="F19" s="534">
        <f>SUM(F9:F17)</f>
        <v>54255</v>
      </c>
    </row>
    <row r="20" spans="2:6" ht="15">
      <c r="B20" s="532" t="s">
        <v>161</v>
      </c>
      <c r="C20" s="533">
        <f>C7+C19</f>
        <v>780224</v>
      </c>
      <c r="D20" s="533">
        <f>D7+D19</f>
        <v>600188.46</v>
      </c>
      <c r="E20" s="533">
        <f>E7+E19</f>
        <v>793558</v>
      </c>
      <c r="F20" s="534">
        <f>F7+F19</f>
        <v>279820</v>
      </c>
    </row>
    <row r="21" spans="2:6" ht="14.25">
      <c r="B21" s="522" t="s">
        <v>163</v>
      </c>
      <c r="C21" s="531"/>
      <c r="D21" s="531">
        <v>0</v>
      </c>
      <c r="E21" s="531"/>
      <c r="F21" s="535"/>
    </row>
    <row r="22" spans="2:6" ht="14.25">
      <c r="B22" s="391" t="s">
        <v>932</v>
      </c>
      <c r="C22" s="523">
        <v>200686</v>
      </c>
      <c r="D22" s="523">
        <v>214942</v>
      </c>
      <c r="E22" s="523">
        <v>218499</v>
      </c>
      <c r="F22" s="530">
        <v>217804</v>
      </c>
    </row>
    <row r="23" spans="2:6" ht="14.25">
      <c r="B23" s="391" t="s">
        <v>933</v>
      </c>
      <c r="C23" s="523">
        <v>124985</v>
      </c>
      <c r="D23" s="523">
        <v>296360</v>
      </c>
      <c r="E23" s="523">
        <v>296760</v>
      </c>
      <c r="F23" s="530">
        <v>296760</v>
      </c>
    </row>
    <row r="24" spans="2:6" ht="14.25">
      <c r="B24" s="391" t="s">
        <v>934</v>
      </c>
      <c r="C24" s="523">
        <v>1887</v>
      </c>
      <c r="D24" s="523">
        <v>6134</v>
      </c>
      <c r="E24" s="523">
        <v>5734</v>
      </c>
      <c r="F24" s="530">
        <v>5734</v>
      </c>
    </row>
    <row r="25" spans="2:6" ht="14.25">
      <c r="B25" s="391" t="s">
        <v>935</v>
      </c>
      <c r="C25" s="523">
        <v>56228</v>
      </c>
      <c r="D25" s="523">
        <v>0</v>
      </c>
      <c r="E25" s="523">
        <v>0</v>
      </c>
      <c r="F25" s="523">
        <v>0</v>
      </c>
    </row>
    <row r="26" spans="2:6" ht="14.25">
      <c r="B26" s="391" t="s">
        <v>949</v>
      </c>
      <c r="C26" s="523">
        <v>0</v>
      </c>
      <c r="D26" s="523">
        <v>0</v>
      </c>
      <c r="E26" s="523">
        <v>0</v>
      </c>
      <c r="F26" s="523">
        <v>0</v>
      </c>
    </row>
    <row r="27" spans="2:6" ht="14.25">
      <c r="B27" s="391" t="s">
        <v>936</v>
      </c>
      <c r="C27" s="523">
        <v>0</v>
      </c>
      <c r="D27" s="523">
        <v>0</v>
      </c>
      <c r="E27" s="523">
        <v>0</v>
      </c>
      <c r="F27" s="523">
        <v>0</v>
      </c>
    </row>
    <row r="28" spans="2:6" ht="14.25">
      <c r="B28" s="391" t="s">
        <v>182</v>
      </c>
      <c r="C28" s="523">
        <v>0</v>
      </c>
      <c r="D28" s="523">
        <v>0</v>
      </c>
      <c r="E28" s="523">
        <v>0</v>
      </c>
      <c r="F28" s="523">
        <v>0</v>
      </c>
    </row>
    <row r="29" spans="2:6" ht="14.25">
      <c r="B29" s="531" t="s">
        <v>68</v>
      </c>
      <c r="C29" s="523">
        <v>0</v>
      </c>
      <c r="D29" s="523">
        <v>57000</v>
      </c>
      <c r="E29" s="523">
        <v>47000</v>
      </c>
      <c r="F29" s="530">
        <v>47000</v>
      </c>
    </row>
    <row r="30" spans="2:6" ht="14.25">
      <c r="B30" s="531" t="s">
        <v>702</v>
      </c>
      <c r="C30" s="542">
        <f>IF(C31*0.1&lt;C29,"Exceed 10% Rule","")</f>
      </c>
      <c r="D30" s="542">
        <f>IF(D31*0.1&lt;D29,"Exceed 10% Rule","")</f>
      </c>
      <c r="E30" s="542">
        <f>IF(E31*0.1&lt;E29,"Exceed 10% Rule","")</f>
      </c>
      <c r="F30" s="543">
        <f>IF(F31*0.1&lt;F29,"Exceed 10% Rule","")</f>
      </c>
    </row>
    <row r="31" spans="2:6" ht="15">
      <c r="B31" s="532" t="s">
        <v>164</v>
      </c>
      <c r="C31" s="533">
        <f>SUM(C22:C29)</f>
        <v>383786</v>
      </c>
      <c r="D31" s="555">
        <f>SUM(D22:D29)</f>
        <v>574436</v>
      </c>
      <c r="E31" s="533">
        <f>SUM(E22:E29)</f>
        <v>567993</v>
      </c>
      <c r="F31" s="534">
        <f>SUM(F22:F29)</f>
        <v>567298</v>
      </c>
    </row>
    <row r="32" spans="2:6" ht="14.25">
      <c r="B32" s="522" t="s">
        <v>304</v>
      </c>
      <c r="C32" s="524">
        <f>C20-C31</f>
        <v>396438</v>
      </c>
      <c r="D32" s="523">
        <f>D20-D31</f>
        <v>25752.459999999963</v>
      </c>
      <c r="E32" s="524">
        <f>E20-E31</f>
        <v>225565</v>
      </c>
      <c r="F32" s="529" t="s">
        <v>140</v>
      </c>
    </row>
    <row r="33" spans="2:7" ht="14.25">
      <c r="B33" s="536" t="str">
        <f>CONCATENATE("",F$1-2,"/",F$1-1," Budget Authority Amount:")</f>
        <v>2010/2011 Budget Authority Amount:</v>
      </c>
      <c r="C33" s="537">
        <f>inputOth!B36</f>
        <v>560897</v>
      </c>
      <c r="D33" s="537"/>
      <c r="E33" s="537">
        <f>inputPrYr!D21</f>
        <v>567993</v>
      </c>
      <c r="F33" s="529" t="s">
        <v>140</v>
      </c>
      <c r="G33" s="547"/>
    </row>
    <row r="34" spans="2:7" ht="14.25">
      <c r="B34" s="536"/>
      <c r="C34" s="826" t="s">
        <v>705</v>
      </c>
      <c r="D34" s="826"/>
      <c r="E34" s="827"/>
      <c r="F34" s="530">
        <v>25031</v>
      </c>
      <c r="G34" s="547">
        <f>IF(F31/0.95-F31&lt;F34,"Exceeds 5%","")</f>
      </c>
    </row>
    <row r="35" spans="2:6" ht="15">
      <c r="B35" s="548" t="str">
        <f>CONCATENATE(C103,"     ",E103)</f>
        <v>     </v>
      </c>
      <c r="C35" s="828" t="s">
        <v>706</v>
      </c>
      <c r="D35" s="828"/>
      <c r="E35" s="829"/>
      <c r="F35" s="525">
        <f>F31+F34</f>
        <v>592329</v>
      </c>
    </row>
    <row r="36" spans="2:6" ht="15">
      <c r="B36" s="548" t="str">
        <f>CONCATENATE(C104,"     ",E104)</f>
        <v>     </v>
      </c>
      <c r="C36" s="539"/>
      <c r="D36" s="539"/>
      <c r="E36" s="515" t="s">
        <v>165</v>
      </c>
      <c r="F36" s="525">
        <f>IF(F35-F20&gt;0,F35-F20,0)</f>
        <v>312509</v>
      </c>
    </row>
    <row r="37" spans="2:6" ht="14.25">
      <c r="B37" s="515"/>
      <c r="C37" s="540" t="s">
        <v>707</v>
      </c>
      <c r="D37" s="540"/>
      <c r="E37" s="541">
        <f>inputOth!$E$24</f>
        <v>0.08</v>
      </c>
      <c r="F37" s="525">
        <f>ROUND(IF(E37&gt;0,(F36/((100-(100*E37))*0.01)-F36),0),0)</f>
        <v>27175</v>
      </c>
    </row>
    <row r="38" spans="2:6" ht="14.25">
      <c r="B38" s="513"/>
      <c r="C38" s="830" t="str">
        <f>CONCATENATE("Amount of  ",$F$1-1," Ad Valorem Tax")</f>
        <v>Amount of  2011 Ad Valorem Tax</v>
      </c>
      <c r="D38" s="830"/>
      <c r="E38" s="831"/>
      <c r="F38" s="544">
        <f>F36+F37</f>
        <v>339684</v>
      </c>
    </row>
    <row r="39" spans="2:6" ht="14.25">
      <c r="B39" s="513"/>
      <c r="C39" s="519"/>
      <c r="D39" s="519"/>
      <c r="E39" s="519"/>
      <c r="F39" s="519"/>
    </row>
    <row r="40" spans="2:6" ht="14.25">
      <c r="B40" s="520" t="s">
        <v>155</v>
      </c>
      <c r="C40" s="331" t="str">
        <f aca="true" t="shared" si="0" ref="C40:F41">C5</f>
        <v>Prior Year</v>
      </c>
      <c r="D40" s="331">
        <v>2011</v>
      </c>
      <c r="E40" s="332" t="str">
        <f t="shared" si="0"/>
        <v>Current Year</v>
      </c>
      <c r="F40" s="333" t="str">
        <f t="shared" si="0"/>
        <v>Proposed Budget</v>
      </c>
    </row>
    <row r="41" spans="2:6" ht="15">
      <c r="B41" s="545" t="str">
        <f>inputPrYr!B22</f>
        <v>County Health</v>
      </c>
      <c r="C41" s="510" t="str">
        <f t="shared" si="0"/>
        <v>Actual 2010</v>
      </c>
      <c r="D41" s="510" t="s">
        <v>925</v>
      </c>
      <c r="E41" s="510" t="str">
        <f t="shared" si="0"/>
        <v>Amended 2011</v>
      </c>
      <c r="F41" s="511" t="str">
        <f t="shared" si="0"/>
        <v>Year 2012</v>
      </c>
    </row>
    <row r="42" spans="2:6" ht="14.25">
      <c r="B42" s="522" t="s">
        <v>303</v>
      </c>
      <c r="C42" s="523">
        <v>1216104</v>
      </c>
      <c r="D42" s="523">
        <v>687970</v>
      </c>
      <c r="E42" s="524">
        <f>C87</f>
        <v>1310563</v>
      </c>
      <c r="F42" s="525">
        <f>E87</f>
        <v>622522</v>
      </c>
    </row>
    <row r="43" spans="2:6" ht="14.25">
      <c r="B43" s="546" t="s">
        <v>305</v>
      </c>
      <c r="C43" s="527"/>
      <c r="D43" s="527"/>
      <c r="E43" s="527"/>
      <c r="F43" s="528"/>
    </row>
    <row r="44" spans="2:6" ht="14.25">
      <c r="B44" s="391" t="s">
        <v>156</v>
      </c>
      <c r="C44" s="523">
        <v>1575772</v>
      </c>
      <c r="D44" s="523">
        <v>1545856.9100000001</v>
      </c>
      <c r="E44" s="524">
        <v>1542000</v>
      </c>
      <c r="F44" s="529" t="s">
        <v>140</v>
      </c>
    </row>
    <row r="45" spans="2:6" ht="14.25">
      <c r="B45" s="391" t="s">
        <v>157</v>
      </c>
      <c r="C45" s="523">
        <v>70985</v>
      </c>
      <c r="D45" s="523">
        <v>53800</v>
      </c>
      <c r="E45" s="523">
        <v>66500</v>
      </c>
      <c r="F45" s="530">
        <v>57300</v>
      </c>
    </row>
    <row r="46" spans="2:6" ht="14.25">
      <c r="B46" s="391" t="s">
        <v>158</v>
      </c>
      <c r="C46" s="523">
        <v>176467</v>
      </c>
      <c r="D46" s="523">
        <v>185058</v>
      </c>
      <c r="E46" s="523">
        <v>170200</v>
      </c>
      <c r="F46" s="525">
        <f>mvalloc!D14</f>
        <v>175183</v>
      </c>
    </row>
    <row r="47" spans="2:6" ht="14.25">
      <c r="B47" s="391" t="s">
        <v>159</v>
      </c>
      <c r="C47" s="523">
        <v>845</v>
      </c>
      <c r="D47" s="523">
        <v>925</v>
      </c>
      <c r="E47" s="523">
        <v>800</v>
      </c>
      <c r="F47" s="525">
        <f>mvalloc!E14</f>
        <v>851</v>
      </c>
    </row>
    <row r="48" spans="2:6" ht="14.25">
      <c r="B48" s="391" t="s">
        <v>256</v>
      </c>
      <c r="C48" s="523">
        <v>1470</v>
      </c>
      <c r="D48" s="523">
        <v>1428</v>
      </c>
      <c r="E48" s="523">
        <v>1430</v>
      </c>
      <c r="F48" s="525">
        <f>mvalloc!F14</f>
        <v>1557</v>
      </c>
    </row>
    <row r="49" spans="2:6" ht="14.25">
      <c r="B49" s="391" t="s">
        <v>879</v>
      </c>
      <c r="C49" s="523">
        <v>48341</v>
      </c>
      <c r="D49" s="523">
        <v>36260</v>
      </c>
      <c r="E49" s="523">
        <v>34700</v>
      </c>
      <c r="F49" s="525">
        <v>27630</v>
      </c>
    </row>
    <row r="50" spans="2:6" ht="14.25">
      <c r="B50" s="391" t="s">
        <v>880</v>
      </c>
      <c r="C50" s="523">
        <v>1061</v>
      </c>
      <c r="D50" s="523">
        <v>850</v>
      </c>
      <c r="E50" s="523">
        <v>900</v>
      </c>
      <c r="F50" s="530">
        <v>820</v>
      </c>
    </row>
    <row r="51" spans="2:6" ht="14.25">
      <c r="B51" s="391" t="s">
        <v>950</v>
      </c>
      <c r="C51" s="523">
        <v>17445</v>
      </c>
      <c r="D51" s="523">
        <v>17000</v>
      </c>
      <c r="E51" s="523">
        <v>17000</v>
      </c>
      <c r="F51" s="530">
        <v>17000</v>
      </c>
    </row>
    <row r="52" spans="2:6" ht="14.25">
      <c r="B52" s="391" t="s">
        <v>951</v>
      </c>
      <c r="C52" s="523">
        <v>39375</v>
      </c>
      <c r="D52" s="523">
        <v>38000</v>
      </c>
      <c r="E52" s="523">
        <v>38000</v>
      </c>
      <c r="F52" s="530">
        <v>38000</v>
      </c>
    </row>
    <row r="53" spans="2:6" ht="14.25">
      <c r="B53" s="391" t="s">
        <v>952</v>
      </c>
      <c r="C53" s="523">
        <v>12450</v>
      </c>
      <c r="D53" s="523">
        <v>13000</v>
      </c>
      <c r="E53" s="523">
        <v>13000</v>
      </c>
      <c r="F53" s="530">
        <v>13000</v>
      </c>
    </row>
    <row r="54" spans="2:6" ht="14.25">
      <c r="B54" s="391" t="s">
        <v>953</v>
      </c>
      <c r="C54" s="523">
        <v>5760</v>
      </c>
      <c r="D54" s="523">
        <v>6000</v>
      </c>
      <c r="E54" s="523">
        <v>5000</v>
      </c>
      <c r="F54" s="530">
        <v>5000</v>
      </c>
    </row>
    <row r="55" spans="2:6" ht="14.25">
      <c r="B55" s="391" t="s">
        <v>954</v>
      </c>
      <c r="C55" s="523">
        <v>4625</v>
      </c>
      <c r="D55" s="523">
        <v>7000</v>
      </c>
      <c r="E55" s="523">
        <v>6000</v>
      </c>
      <c r="F55" s="530">
        <v>6000</v>
      </c>
    </row>
    <row r="56" spans="2:6" ht="14.25">
      <c r="B56" s="391" t="s">
        <v>955</v>
      </c>
      <c r="C56" s="523">
        <v>4954</v>
      </c>
      <c r="D56" s="523">
        <v>5000</v>
      </c>
      <c r="E56" s="523">
        <v>2000</v>
      </c>
      <c r="F56" s="530">
        <v>2000</v>
      </c>
    </row>
    <row r="57" spans="2:6" ht="14.25">
      <c r="B57" s="391" t="s">
        <v>956</v>
      </c>
      <c r="C57" s="523">
        <v>14388</v>
      </c>
      <c r="D57" s="523">
        <v>25000</v>
      </c>
      <c r="E57" s="523">
        <v>15000</v>
      </c>
      <c r="F57" s="530">
        <v>15000</v>
      </c>
    </row>
    <row r="58" spans="2:6" ht="14.25">
      <c r="B58" s="391" t="s">
        <v>957</v>
      </c>
      <c r="C58" s="523">
        <v>0</v>
      </c>
      <c r="D58" s="523">
        <v>0</v>
      </c>
      <c r="E58" s="523">
        <v>0</v>
      </c>
      <c r="F58" s="530">
        <v>0</v>
      </c>
    </row>
    <row r="59" spans="2:6" ht="14.25">
      <c r="B59" s="391" t="s">
        <v>889</v>
      </c>
      <c r="C59" s="523">
        <v>313</v>
      </c>
      <c r="D59" s="523">
        <v>500</v>
      </c>
      <c r="E59" s="523">
        <v>100</v>
      </c>
      <c r="F59" s="530">
        <v>100</v>
      </c>
    </row>
    <row r="60" spans="2:6" ht="14.25">
      <c r="B60" s="391" t="s">
        <v>958</v>
      </c>
      <c r="C60" s="523">
        <v>432928</v>
      </c>
      <c r="D60" s="523">
        <v>428000</v>
      </c>
      <c r="E60" s="523">
        <v>410000</v>
      </c>
      <c r="F60" s="530">
        <v>410000</v>
      </c>
    </row>
    <row r="61" spans="2:6" ht="14.25">
      <c r="B61" s="391" t="s">
        <v>959</v>
      </c>
      <c r="C61" s="523">
        <v>39</v>
      </c>
      <c r="D61" s="523">
        <v>50</v>
      </c>
      <c r="E61" s="523">
        <v>50</v>
      </c>
      <c r="F61" s="530">
        <v>50</v>
      </c>
    </row>
    <row r="62" spans="2:6" ht="14.25">
      <c r="B62" s="391" t="s">
        <v>960</v>
      </c>
      <c r="C62" s="523">
        <v>22079</v>
      </c>
      <c r="D62" s="523">
        <v>24000</v>
      </c>
      <c r="E62" s="523">
        <v>22000</v>
      </c>
      <c r="F62" s="530">
        <v>22000</v>
      </c>
    </row>
    <row r="63" spans="2:6" ht="14.25">
      <c r="B63" s="391" t="s">
        <v>961</v>
      </c>
      <c r="C63" s="523">
        <v>99811</v>
      </c>
      <c r="D63" s="523">
        <v>90000</v>
      </c>
      <c r="E63" s="523">
        <v>100000</v>
      </c>
      <c r="F63" s="530">
        <v>100000</v>
      </c>
    </row>
    <row r="64" spans="2:6" ht="14.25">
      <c r="B64" s="391" t="s">
        <v>962</v>
      </c>
      <c r="C64" s="523">
        <v>675</v>
      </c>
      <c r="D64" s="523">
        <v>800</v>
      </c>
      <c r="E64" s="523">
        <v>500</v>
      </c>
      <c r="F64" s="530">
        <v>500</v>
      </c>
    </row>
    <row r="65" spans="2:6" ht="14.25">
      <c r="B65" s="391" t="s">
        <v>963</v>
      </c>
      <c r="C65" s="523">
        <v>60</v>
      </c>
      <c r="D65" s="523">
        <v>60</v>
      </c>
      <c r="E65" s="523">
        <v>200</v>
      </c>
      <c r="F65" s="530">
        <v>200</v>
      </c>
    </row>
    <row r="66" spans="2:6" ht="14.25">
      <c r="B66" s="391" t="s">
        <v>964</v>
      </c>
      <c r="C66" s="523">
        <v>112510</v>
      </c>
      <c r="D66" s="523">
        <v>120000</v>
      </c>
      <c r="E66" s="523">
        <v>120000</v>
      </c>
      <c r="F66" s="530">
        <v>120000</v>
      </c>
    </row>
    <row r="67" spans="2:6" ht="14.25">
      <c r="B67" s="391" t="s">
        <v>965</v>
      </c>
      <c r="C67" s="523">
        <v>1150</v>
      </c>
      <c r="D67" s="523">
        <v>5000</v>
      </c>
      <c r="E67" s="523">
        <v>1000</v>
      </c>
      <c r="F67" s="530">
        <v>1000</v>
      </c>
    </row>
    <row r="68" spans="2:6" ht="14.25">
      <c r="B68" s="391" t="s">
        <v>907</v>
      </c>
      <c r="C68" s="523">
        <v>25372</v>
      </c>
      <c r="D68" s="523">
        <v>30000</v>
      </c>
      <c r="E68" s="523">
        <v>20000</v>
      </c>
      <c r="F68" s="530">
        <v>20000</v>
      </c>
    </row>
    <row r="69" spans="2:6" ht="14.25">
      <c r="B69" s="391" t="s">
        <v>966</v>
      </c>
      <c r="C69" s="523">
        <v>574815</v>
      </c>
      <c r="D69" s="523">
        <v>350000</v>
      </c>
      <c r="E69" s="523">
        <v>350000</v>
      </c>
      <c r="F69" s="530">
        <v>350000</v>
      </c>
    </row>
    <row r="70" spans="2:6" ht="14.25">
      <c r="B70" s="391" t="s">
        <v>918</v>
      </c>
      <c r="C70" s="523">
        <v>0</v>
      </c>
      <c r="D70" s="523">
        <v>0</v>
      </c>
      <c r="E70" s="523">
        <v>0</v>
      </c>
      <c r="F70" s="530">
        <v>0</v>
      </c>
    </row>
    <row r="71" spans="2:6" ht="14.25">
      <c r="B71" s="391" t="s">
        <v>910</v>
      </c>
      <c r="C71" s="523">
        <v>3254</v>
      </c>
      <c r="D71" s="523">
        <v>3000</v>
      </c>
      <c r="E71" s="523">
        <v>0</v>
      </c>
      <c r="F71" s="530">
        <v>0</v>
      </c>
    </row>
    <row r="72" spans="2:6" ht="14.25">
      <c r="B72" s="531" t="s">
        <v>68</v>
      </c>
      <c r="C72" s="523">
        <v>0</v>
      </c>
      <c r="D72" s="523">
        <v>0</v>
      </c>
      <c r="E72" s="523">
        <v>0</v>
      </c>
      <c r="F72" s="530">
        <v>0</v>
      </c>
    </row>
    <row r="73" spans="2:6" ht="14.25">
      <c r="B73" s="531" t="s">
        <v>703</v>
      </c>
      <c r="C73" s="542">
        <f>IF(C74*0.1&lt;C72,"Exceed 10% Rule","")</f>
      </c>
      <c r="D73" s="542" t="s">
        <v>993</v>
      </c>
      <c r="E73" s="542">
        <f>IF(E74*0.1&lt;E72,"Exceed 10% Rule","")</f>
      </c>
      <c r="F73" s="543">
        <f>IF(F74*0.1+F93&lt;F72,"Exceed 10% Rule","")</f>
      </c>
    </row>
    <row r="74" spans="2:6" ht="15">
      <c r="B74" s="532" t="s">
        <v>160</v>
      </c>
      <c r="C74" s="533">
        <f>SUM(C44:C72)</f>
        <v>3246944</v>
      </c>
      <c r="D74" s="533">
        <f>SUM(D44:D72)</f>
        <v>2986587.91</v>
      </c>
      <c r="E74" s="533">
        <f>SUM(E44:E72)</f>
        <v>2936380</v>
      </c>
      <c r="F74" s="534">
        <f>SUM(F44:F72)</f>
        <v>1383191</v>
      </c>
    </row>
    <row r="75" spans="2:6" ht="15">
      <c r="B75" s="532" t="s">
        <v>161</v>
      </c>
      <c r="C75" s="533">
        <f>C42+C74</f>
        <v>4463048</v>
      </c>
      <c r="D75" s="533">
        <f>D42+D74</f>
        <v>3674557.91</v>
      </c>
      <c r="E75" s="533">
        <f>E42+E74</f>
        <v>4246943</v>
      </c>
      <c r="F75" s="534">
        <f>F42+F74</f>
        <v>2005713</v>
      </c>
    </row>
    <row r="76" spans="2:6" ht="14.25">
      <c r="B76" s="522" t="s">
        <v>163</v>
      </c>
      <c r="C76" s="531"/>
      <c r="D76" s="531"/>
      <c r="E76" s="531"/>
      <c r="F76" s="535"/>
    </row>
    <row r="77" spans="2:6" ht="14.25">
      <c r="B77" s="452" t="s">
        <v>932</v>
      </c>
      <c r="C77" s="523">
        <v>2312090</v>
      </c>
      <c r="D77" s="523">
        <v>2532608</v>
      </c>
      <c r="E77" s="523">
        <v>2337000</v>
      </c>
      <c r="F77" s="530">
        <v>2387000</v>
      </c>
    </row>
    <row r="78" spans="2:6" ht="14.25">
      <c r="B78" s="452" t="s">
        <v>933</v>
      </c>
      <c r="C78" s="523">
        <v>195619</v>
      </c>
      <c r="D78" s="523">
        <v>393010</v>
      </c>
      <c r="E78" s="523">
        <v>413710</v>
      </c>
      <c r="F78" s="530">
        <v>423319</v>
      </c>
    </row>
    <row r="79" spans="2:6" ht="14.25">
      <c r="B79" s="452" t="s">
        <v>934</v>
      </c>
      <c r="C79" s="523">
        <v>194776</v>
      </c>
      <c r="D79" s="523">
        <v>207711</v>
      </c>
      <c r="E79" s="523">
        <v>215211</v>
      </c>
      <c r="F79" s="530">
        <v>215211</v>
      </c>
    </row>
    <row r="80" spans="2:6" ht="14.25">
      <c r="B80" s="452" t="s">
        <v>935</v>
      </c>
      <c r="C80" s="523">
        <v>200000</v>
      </c>
      <c r="D80" s="523">
        <v>0</v>
      </c>
      <c r="E80" s="523">
        <v>200000</v>
      </c>
      <c r="F80" s="530">
        <v>200000</v>
      </c>
    </row>
    <row r="81" spans="2:6" ht="14.25">
      <c r="B81" s="452" t="s">
        <v>936</v>
      </c>
      <c r="C81" s="523">
        <v>0</v>
      </c>
      <c r="D81" s="523">
        <v>59500</v>
      </c>
      <c r="E81" s="523">
        <v>108500</v>
      </c>
      <c r="F81" s="530">
        <v>92000</v>
      </c>
    </row>
    <row r="82" spans="2:6" ht="14.25">
      <c r="B82" s="452" t="s">
        <v>182</v>
      </c>
      <c r="C82" s="523">
        <v>0</v>
      </c>
      <c r="D82" s="523">
        <v>0</v>
      </c>
      <c r="E82" s="523">
        <v>0</v>
      </c>
      <c r="F82" s="530">
        <v>0</v>
      </c>
    </row>
    <row r="83" spans="2:6" ht="14.25">
      <c r="B83" s="452" t="s">
        <v>938</v>
      </c>
      <c r="C83" s="523">
        <v>250000</v>
      </c>
      <c r="D83" s="523">
        <v>250000</v>
      </c>
      <c r="E83" s="523">
        <v>250000</v>
      </c>
      <c r="F83" s="530">
        <v>0</v>
      </c>
    </row>
    <row r="84" spans="2:6" ht="14.25">
      <c r="B84" s="531" t="s">
        <v>68</v>
      </c>
      <c r="C84" s="523">
        <v>0</v>
      </c>
      <c r="D84" s="523">
        <v>100000</v>
      </c>
      <c r="E84" s="523">
        <v>100000</v>
      </c>
      <c r="F84" s="530">
        <v>100000</v>
      </c>
    </row>
    <row r="85" spans="2:6" ht="14.25">
      <c r="B85" s="531" t="s">
        <v>702</v>
      </c>
      <c r="C85" s="542">
        <f>IF(C86*0.1&lt;C84,"Exceed 10% Rule","")</f>
      </c>
      <c r="D85" s="542">
        <f>IF(D86*0.1&lt;D84,"Exceed 10% Rule","")</f>
      </c>
      <c r="E85" s="542">
        <f>IF(E86*0.1&lt;E84,"Exceed 10% Rule","")</f>
      </c>
      <c r="F85" s="543">
        <f>IF(F86*0.1&lt;F84,"Exceed 10% Rule","")</f>
      </c>
    </row>
    <row r="86" spans="2:6" ht="15">
      <c r="B86" s="532" t="s">
        <v>164</v>
      </c>
      <c r="C86" s="533">
        <f>SUM(C77:C84)</f>
        <v>3152485</v>
      </c>
      <c r="D86" s="533">
        <f>SUM(D77:D84)</f>
        <v>3542829</v>
      </c>
      <c r="E86" s="533">
        <f>SUM(E77:E84)</f>
        <v>3624421</v>
      </c>
      <c r="F86" s="534">
        <f>SUM(F77:F84)</f>
        <v>3417530</v>
      </c>
    </row>
    <row r="87" spans="2:6" ht="14.25">
      <c r="B87" s="522" t="s">
        <v>304</v>
      </c>
      <c r="C87" s="524">
        <f>C75-C86</f>
        <v>1310563</v>
      </c>
      <c r="D87" s="524">
        <f>D75-D86</f>
        <v>131728.91000000015</v>
      </c>
      <c r="E87" s="524">
        <f>E75-E86</f>
        <v>622522</v>
      </c>
      <c r="F87" s="529" t="s">
        <v>140</v>
      </c>
    </row>
    <row r="88" spans="2:7" ht="14.25">
      <c r="B88" s="536" t="str">
        <f>CONCATENATE("",F$1-2,"/",F$1-1," Budget Authority Amount:")</f>
        <v>2010/2011 Budget Authority Amount:</v>
      </c>
      <c r="C88" s="537">
        <f>inputOth!B37</f>
        <v>3565810</v>
      </c>
      <c r="D88" s="537"/>
      <c r="E88" s="537">
        <f>inputPrYr!D22</f>
        <v>3624421</v>
      </c>
      <c r="F88" s="529" t="s">
        <v>140</v>
      </c>
      <c r="G88" s="547"/>
    </row>
    <row r="89" spans="2:7" ht="14.25">
      <c r="B89" s="536"/>
      <c r="C89" s="826" t="s">
        <v>705</v>
      </c>
      <c r="D89" s="826"/>
      <c r="E89" s="827"/>
      <c r="F89" s="530">
        <v>109926</v>
      </c>
      <c r="G89" s="547">
        <f>IF(F86/0.95-F86&lt;F89,"Exceeds 5%","")</f>
      </c>
    </row>
    <row r="90" spans="2:6" ht="15">
      <c r="B90" s="538" t="str">
        <f>CONCATENATE(C105,"     ",E105)</f>
        <v>     </v>
      </c>
      <c r="C90" s="828" t="s">
        <v>706</v>
      </c>
      <c r="D90" s="828"/>
      <c r="E90" s="829"/>
      <c r="F90" s="525">
        <f>F86+F89</f>
        <v>3527456</v>
      </c>
    </row>
    <row r="91" spans="2:6" ht="15">
      <c r="B91" s="538" t="str">
        <f>CONCATENATE(C106,"     ",E106)</f>
        <v>     </v>
      </c>
      <c r="C91" s="539"/>
      <c r="D91" s="539"/>
      <c r="E91" s="515" t="s">
        <v>165</v>
      </c>
      <c r="F91" s="525">
        <f>IF(F90-F75&gt;0,F90-F75,0)</f>
        <v>1521743</v>
      </c>
    </row>
    <row r="92" spans="2:6" ht="14.25">
      <c r="B92" s="515"/>
      <c r="C92" s="540" t="s">
        <v>707</v>
      </c>
      <c r="D92" s="540"/>
      <c r="E92" s="541">
        <f>inputOth!$E$24</f>
        <v>0.08</v>
      </c>
      <c r="F92" s="525">
        <f>ROUND(IF(E92&gt;0,(F91/((100-(100*E92))*0.01)-F91),0),0)</f>
        <v>132325</v>
      </c>
    </row>
    <row r="93" spans="2:6" ht="14.25">
      <c r="B93" s="549"/>
      <c r="C93" s="830" t="str">
        <f>CONCATENATE("Amount of  ",$F$1-1," Ad Valorem Tax")</f>
        <v>Amount of  2011 Ad Valorem Tax</v>
      </c>
      <c r="D93" s="830"/>
      <c r="E93" s="831"/>
      <c r="F93" s="544">
        <f>F91+F92</f>
        <v>1654068</v>
      </c>
    </row>
    <row r="103" spans="3:5" ht="14.25" hidden="1">
      <c r="C103" s="455">
        <f>IF(C31&gt;C33,"See Tab A","")</f>
      </c>
      <c r="E103" s="455">
        <f>IF(E31&gt;E33,"See Tab C","")</f>
      </c>
    </row>
    <row r="104" spans="3:5" ht="14.25" hidden="1">
      <c r="C104" s="455">
        <f>IF(C32&lt;0,"See Tab B","")</f>
      </c>
      <c r="E104" s="455">
        <f>IF(E32&lt;0,"See Tab D","")</f>
      </c>
    </row>
    <row r="105" spans="3:5" ht="14.25" hidden="1">
      <c r="C105" s="455">
        <f>IF(C86&gt;C88,"See Tab A","")</f>
      </c>
      <c r="E105" s="455">
        <f>IF(E86&gt;E88,"See Tab C","")</f>
      </c>
    </row>
    <row r="106" spans="3:5" ht="14.25" hidden="1">
      <c r="C106" s="455">
        <f>IF(C87&lt;0,"See Tab B","")</f>
      </c>
      <c r="E106" s="455">
        <f>IF(E87&lt;0,"See Tab D","")</f>
      </c>
    </row>
  </sheetData>
  <sheetProtection/>
  <mergeCells count="6">
    <mergeCell ref="C89:E89"/>
    <mergeCell ref="C90:E90"/>
    <mergeCell ref="C34:E34"/>
    <mergeCell ref="C35:E35"/>
    <mergeCell ref="C93:E93"/>
    <mergeCell ref="C38:E38"/>
  </mergeCells>
  <conditionalFormatting sqref="F84">
    <cfRule type="cellIs" priority="6" dxfId="128" operator="greaterThan" stopIfTrue="1">
      <formula>$F$86*0.1</formula>
    </cfRule>
  </conditionalFormatting>
  <conditionalFormatting sqref="F89">
    <cfRule type="cellIs" priority="7" dxfId="128" operator="greaterThan" stopIfTrue="1">
      <formula>$F$86/0.95-$F$86</formula>
    </cfRule>
  </conditionalFormatting>
  <conditionalFormatting sqref="F34">
    <cfRule type="cellIs" priority="8" dxfId="128" operator="greaterThan" stopIfTrue="1">
      <formula>$F$31/0.95-$F$31</formula>
    </cfRule>
  </conditionalFormatting>
  <conditionalFormatting sqref="F29">
    <cfRule type="cellIs" priority="9" dxfId="128" operator="greaterThan" stopIfTrue="1">
      <formula>$F$31*0.1</formula>
    </cfRule>
  </conditionalFormatting>
  <conditionalFormatting sqref="C87:D87 C32">
    <cfRule type="cellIs" priority="10" dxfId="1" operator="lessThan" stopIfTrue="1">
      <formula>0</formula>
    </cfRule>
  </conditionalFormatting>
  <conditionalFormatting sqref="C86:D86">
    <cfRule type="cellIs" priority="11" dxfId="1" operator="greaterThan" stopIfTrue="1">
      <formula>$C$88</formula>
    </cfRule>
  </conditionalFormatting>
  <conditionalFormatting sqref="E86">
    <cfRule type="cellIs" priority="12" dxfId="1" operator="greaterThan" stopIfTrue="1">
      <formula>$E$88</formula>
    </cfRule>
  </conditionalFormatting>
  <conditionalFormatting sqref="C84">
    <cfRule type="cellIs" priority="13" dxfId="1" operator="greaterThan" stopIfTrue="1">
      <formula>$C$86*0.1</formula>
    </cfRule>
  </conditionalFormatting>
  <conditionalFormatting sqref="E84">
    <cfRule type="cellIs" priority="14" dxfId="1" operator="greaterThan" stopIfTrue="1">
      <formula>$E$86*0.1</formula>
    </cfRule>
  </conditionalFormatting>
  <conditionalFormatting sqref="C72:D72">
    <cfRule type="cellIs" priority="16" dxfId="1" operator="greaterThan" stopIfTrue="1">
      <formula>$C$74*0.1</formula>
    </cfRule>
  </conditionalFormatting>
  <conditionalFormatting sqref="E72">
    <cfRule type="cellIs" priority="17" dxfId="1" operator="greaterThan" stopIfTrue="1">
      <formula>$E$74*0.1</formula>
    </cfRule>
  </conditionalFormatting>
  <conditionalFormatting sqref="C31">
    <cfRule type="cellIs" priority="18" dxfId="1" operator="greaterThan" stopIfTrue="1">
      <formula>$C$33</formula>
    </cfRule>
  </conditionalFormatting>
  <conditionalFormatting sqref="E31">
    <cfRule type="cellIs" priority="19" dxfId="1" operator="greaterThan" stopIfTrue="1">
      <formula>$E$33</formula>
    </cfRule>
  </conditionalFormatting>
  <conditionalFormatting sqref="C29">
    <cfRule type="cellIs" priority="20" dxfId="1" operator="greaterThan" stopIfTrue="1">
      <formula>$C$31*0.1</formula>
    </cfRule>
  </conditionalFormatting>
  <conditionalFormatting sqref="E29">
    <cfRule type="cellIs" priority="21" dxfId="1" operator="greaterThan" stopIfTrue="1">
      <formula>$E$31*0.1</formula>
    </cfRule>
  </conditionalFormatting>
  <conditionalFormatting sqref="F17">
    <cfRule type="cellIs" priority="22" dxfId="128" operator="greaterThan" stopIfTrue="1">
      <formula>$F$19*0.1+F38</formula>
    </cfRule>
  </conditionalFormatting>
  <conditionalFormatting sqref="C17:D17">
    <cfRule type="cellIs" priority="23" dxfId="1" operator="greaterThan" stopIfTrue="1">
      <formula>$C$19*0.1</formula>
    </cfRule>
  </conditionalFormatting>
  <conditionalFormatting sqref="E17">
    <cfRule type="cellIs" priority="24" dxfId="1" operator="greaterThan" stopIfTrue="1">
      <formula>$E$19*0.1</formula>
    </cfRule>
  </conditionalFormatting>
  <conditionalFormatting sqref="E87 E32">
    <cfRule type="cellIs" priority="5" dxfId="0" operator="lessThan" stopIfTrue="1">
      <formula>0</formula>
    </cfRule>
  </conditionalFormatting>
  <printOptions/>
  <pageMargins left="1.12" right="0.5" top="0.74" bottom="0.34" header="0.5" footer="0"/>
  <pageSetup blackAndWhite="1" fitToHeight="1" fitToWidth="1" horizontalDpi="120" verticalDpi="120" orientation="portrait" scale="58" r:id="rId1"/>
  <headerFooter alignWithMargins="0">
    <oddHeader>&amp;RState of Kansas
County
</oddHeader>
    <oddFooter>&amp;C&amp;"Arial,Regular"&amp;11WY - &amp;P</oddFooter>
  </headerFooter>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B1:G109"/>
  <sheetViews>
    <sheetView zoomScalePageLayoutView="0" workbookViewId="0" topLeftCell="B73">
      <selection activeCell="F89" sqref="F89"/>
    </sheetView>
  </sheetViews>
  <sheetFormatPr defaultColWidth="8.796875" defaultRowHeight="15"/>
  <cols>
    <col min="1" max="1" width="2.3984375" style="455" customWidth="1"/>
    <col min="2" max="2" width="31.09765625" style="455" customWidth="1"/>
    <col min="3" max="5" width="15.796875" style="455" customWidth="1"/>
    <col min="6" max="6" width="16.09765625" style="455" customWidth="1"/>
    <col min="7" max="16384" width="8.8984375" style="455" customWidth="1"/>
  </cols>
  <sheetData>
    <row r="1" spans="2:6" ht="14.25">
      <c r="B1" s="512" t="str">
        <f>(inputPrYr!C2)</f>
        <v>Wyandotte County</v>
      </c>
      <c r="C1" s="513"/>
      <c r="D1" s="513"/>
      <c r="E1" s="513"/>
      <c r="F1" s="514">
        <f>inputPrYr!C4</f>
        <v>2012</v>
      </c>
    </row>
    <row r="2" spans="2:6" ht="14.25">
      <c r="B2" s="513"/>
      <c r="C2" s="513"/>
      <c r="D2" s="513"/>
      <c r="E2" s="513"/>
      <c r="F2" s="515"/>
    </row>
    <row r="3" spans="2:6" ht="15">
      <c r="B3" s="516" t="s">
        <v>263</v>
      </c>
      <c r="C3" s="517"/>
      <c r="D3" s="517"/>
      <c r="E3" s="517"/>
      <c r="F3" s="518"/>
    </row>
    <row r="4" spans="2:6" ht="14.25">
      <c r="B4" s="513"/>
      <c r="C4" s="519"/>
      <c r="D4" s="519"/>
      <c r="E4" s="519"/>
      <c r="F4" s="519"/>
    </row>
    <row r="5" spans="2:6" ht="14.25">
      <c r="B5" s="520" t="s">
        <v>155</v>
      </c>
      <c r="C5" s="331" t="s">
        <v>926</v>
      </c>
      <c r="D5" s="331">
        <v>2011</v>
      </c>
      <c r="E5" s="332" t="s">
        <v>928</v>
      </c>
      <c r="F5" s="333" t="s">
        <v>931</v>
      </c>
    </row>
    <row r="6" spans="2:7" ht="15">
      <c r="B6" s="521" t="str">
        <f>inputPrYr!B23</f>
        <v>County Initiative for Funding Infrastructure</v>
      </c>
      <c r="C6" s="510" t="s">
        <v>927</v>
      </c>
      <c r="D6" s="510" t="s">
        <v>925</v>
      </c>
      <c r="E6" s="510" t="s">
        <v>929</v>
      </c>
      <c r="F6" s="511" t="s">
        <v>944</v>
      </c>
      <c r="G6" s="455">
        <v>3711</v>
      </c>
    </row>
    <row r="7" spans="2:7" ht="15">
      <c r="B7" s="522" t="s">
        <v>303</v>
      </c>
      <c r="C7" s="555">
        <v>149789</v>
      </c>
      <c r="D7" s="555">
        <v>0</v>
      </c>
      <c r="E7" s="533">
        <f>C33</f>
        <v>4551</v>
      </c>
      <c r="F7" s="534">
        <f>E33</f>
        <v>0</v>
      </c>
      <c r="G7" s="455">
        <v>419</v>
      </c>
    </row>
    <row r="8" spans="2:6" ht="14.25">
      <c r="B8" s="526" t="s">
        <v>305</v>
      </c>
      <c r="C8" s="527"/>
      <c r="D8" s="527"/>
      <c r="E8" s="527"/>
      <c r="F8" s="528"/>
    </row>
    <row r="9" spans="2:6" ht="14.25">
      <c r="B9" s="346" t="s">
        <v>156</v>
      </c>
      <c r="C9" s="523">
        <v>-8534</v>
      </c>
      <c r="D9" s="523">
        <v>0</v>
      </c>
      <c r="E9" s="524">
        <v>-119</v>
      </c>
      <c r="F9" s="529" t="s">
        <v>140</v>
      </c>
    </row>
    <row r="10" spans="2:6" ht="14.25">
      <c r="B10" s="346" t="s">
        <v>157</v>
      </c>
      <c r="C10" s="523">
        <v>19513</v>
      </c>
      <c r="D10" s="523">
        <v>0</v>
      </c>
      <c r="E10" s="523">
        <v>7796</v>
      </c>
      <c r="F10" s="530">
        <v>0</v>
      </c>
    </row>
    <row r="11" spans="2:6" ht="14.25">
      <c r="B11" s="346" t="s">
        <v>158</v>
      </c>
      <c r="C11" s="523">
        <v>39098</v>
      </c>
      <c r="D11" s="523">
        <v>0</v>
      </c>
      <c r="E11" s="523">
        <v>0</v>
      </c>
      <c r="F11" s="525">
        <v>0</v>
      </c>
    </row>
    <row r="12" spans="2:6" ht="14.25">
      <c r="B12" s="346" t="s">
        <v>159</v>
      </c>
      <c r="C12" s="523">
        <v>163</v>
      </c>
      <c r="D12" s="523">
        <v>0</v>
      </c>
      <c r="E12" s="523">
        <v>0</v>
      </c>
      <c r="F12" s="525">
        <v>0</v>
      </c>
    </row>
    <row r="13" spans="2:6" ht="14.25">
      <c r="B13" s="346" t="s">
        <v>256</v>
      </c>
      <c r="C13" s="523">
        <v>1557</v>
      </c>
      <c r="D13" s="523">
        <v>0</v>
      </c>
      <c r="E13" s="523">
        <v>34</v>
      </c>
      <c r="F13" s="525">
        <v>0</v>
      </c>
    </row>
    <row r="14" spans="2:6" ht="14.25">
      <c r="B14" s="346" t="s">
        <v>967</v>
      </c>
      <c r="C14" s="523">
        <v>498</v>
      </c>
      <c r="D14" s="523">
        <v>0</v>
      </c>
      <c r="E14" s="523">
        <v>0</v>
      </c>
      <c r="F14" s="525">
        <v>0</v>
      </c>
    </row>
    <row r="15" spans="2:6" ht="14.25">
      <c r="B15" s="391" t="s">
        <v>879</v>
      </c>
      <c r="C15" s="523">
        <v>2048</v>
      </c>
      <c r="D15" s="523">
        <v>0</v>
      </c>
      <c r="E15" s="523">
        <v>0</v>
      </c>
      <c r="F15" s="525">
        <v>0</v>
      </c>
    </row>
    <row r="16" spans="2:6" ht="14.25">
      <c r="B16" s="391" t="s">
        <v>968</v>
      </c>
      <c r="C16" s="523">
        <v>0</v>
      </c>
      <c r="D16" s="523">
        <v>0</v>
      </c>
      <c r="E16" s="523">
        <v>0</v>
      </c>
      <c r="F16" s="525">
        <v>0</v>
      </c>
    </row>
    <row r="17" spans="2:6" ht="14.25">
      <c r="B17" s="391" t="s">
        <v>969</v>
      </c>
      <c r="C17" s="523">
        <v>0</v>
      </c>
      <c r="D17" s="523">
        <v>0</v>
      </c>
      <c r="E17" s="523">
        <v>0</v>
      </c>
      <c r="F17" s="525">
        <v>0</v>
      </c>
    </row>
    <row r="18" spans="2:6" ht="14.25">
      <c r="B18" s="391" t="s">
        <v>970</v>
      </c>
      <c r="C18" s="523">
        <v>0</v>
      </c>
      <c r="D18" s="523">
        <v>0</v>
      </c>
      <c r="E18" s="523">
        <v>0</v>
      </c>
      <c r="F18" s="525">
        <v>0</v>
      </c>
    </row>
    <row r="19" spans="2:6" ht="14.25">
      <c r="B19" s="531" t="s">
        <v>68</v>
      </c>
      <c r="C19" s="523">
        <v>419</v>
      </c>
      <c r="D19" s="523">
        <v>0</v>
      </c>
      <c r="E19" s="523">
        <v>0</v>
      </c>
      <c r="F19" s="530">
        <v>0</v>
      </c>
    </row>
    <row r="20" spans="2:6" ht="14.25">
      <c r="B20" s="531" t="s">
        <v>69</v>
      </c>
      <c r="C20" s="542">
        <f>IF(C21*0.1&lt;C19,"Exceed 10% Rule","")</f>
      </c>
      <c r="D20" s="542">
        <f>IF(D21*0.1&lt;D19,"Exceed 10% Rule","")</f>
      </c>
      <c r="E20" s="542">
        <f>IF(E21*0.1&lt;E19,"Exceed 10% Rule","")</f>
      </c>
      <c r="F20" s="543">
        <f>IF(F21*0.1+F39&lt;F19,"Exceed 10% Rule","")</f>
      </c>
    </row>
    <row r="21" spans="2:6" ht="15">
      <c r="B21" s="532" t="s">
        <v>160</v>
      </c>
      <c r="C21" s="533">
        <f>SUM(C9:C19)</f>
        <v>54762</v>
      </c>
      <c r="D21" s="533">
        <f>SUM(D9:D19)</f>
        <v>0</v>
      </c>
      <c r="E21" s="533">
        <f>SUM(E9:E19)</f>
        <v>7711</v>
      </c>
      <c r="F21" s="534">
        <f>SUM(F9:F19)</f>
        <v>0</v>
      </c>
    </row>
    <row r="22" spans="2:6" ht="15">
      <c r="B22" s="532" t="s">
        <v>161</v>
      </c>
      <c r="C22" s="533">
        <f>C7+C21</f>
        <v>204551</v>
      </c>
      <c r="D22" s="533">
        <f>D7+D21</f>
        <v>0</v>
      </c>
      <c r="E22" s="533">
        <f>E7+E21</f>
        <v>12262</v>
      </c>
      <c r="F22" s="534">
        <f>F7+F21</f>
        <v>0</v>
      </c>
    </row>
    <row r="23" spans="2:6" ht="14.25">
      <c r="B23" s="522" t="s">
        <v>163</v>
      </c>
      <c r="C23" s="531"/>
      <c r="D23" s="523"/>
      <c r="E23" s="531"/>
      <c r="F23" s="535"/>
    </row>
    <row r="24" spans="2:6" ht="14.25">
      <c r="B24" s="391" t="s">
        <v>932</v>
      </c>
      <c r="C24" s="523">
        <v>0</v>
      </c>
      <c r="D24" s="523">
        <v>0</v>
      </c>
      <c r="E24" s="523">
        <v>0</v>
      </c>
      <c r="F24" s="530">
        <v>0</v>
      </c>
    </row>
    <row r="25" spans="2:6" ht="14.25">
      <c r="B25" s="391" t="s">
        <v>936</v>
      </c>
      <c r="C25" s="523">
        <v>0</v>
      </c>
      <c r="D25" s="523">
        <v>0</v>
      </c>
      <c r="E25" s="523">
        <v>0</v>
      </c>
      <c r="F25" s="530">
        <v>0</v>
      </c>
    </row>
    <row r="26" spans="2:6" ht="14.25">
      <c r="B26" s="452" t="s">
        <v>935</v>
      </c>
      <c r="C26" s="523">
        <v>0</v>
      </c>
      <c r="D26" s="523">
        <v>0</v>
      </c>
      <c r="E26" s="523">
        <v>0</v>
      </c>
      <c r="F26" s="530">
        <v>0</v>
      </c>
    </row>
    <row r="27" spans="2:6" ht="14.25">
      <c r="B27" s="346" t="s">
        <v>971</v>
      </c>
      <c r="C27" s="523">
        <v>0</v>
      </c>
      <c r="D27" s="523">
        <v>0</v>
      </c>
      <c r="E27" s="523">
        <v>0</v>
      </c>
      <c r="F27" s="530"/>
    </row>
    <row r="28" spans="2:6" ht="14.25">
      <c r="B28" s="452" t="s">
        <v>70</v>
      </c>
      <c r="C28" s="523">
        <v>0</v>
      </c>
      <c r="D28" s="523">
        <v>0</v>
      </c>
      <c r="E28" s="523">
        <v>0</v>
      </c>
      <c r="F28" s="530">
        <v>0</v>
      </c>
    </row>
    <row r="29" spans="2:6" ht="14.25">
      <c r="B29" s="452" t="s">
        <v>972</v>
      </c>
      <c r="C29" s="523">
        <v>200000</v>
      </c>
      <c r="D29" s="523">
        <v>0</v>
      </c>
      <c r="E29" s="523">
        <v>12262</v>
      </c>
      <c r="F29" s="530">
        <v>0</v>
      </c>
    </row>
    <row r="30" spans="2:6" ht="14.25">
      <c r="B30" s="531" t="s">
        <v>68</v>
      </c>
      <c r="C30" s="523">
        <v>0</v>
      </c>
      <c r="D30" s="523">
        <v>0</v>
      </c>
      <c r="E30" s="523">
        <v>0</v>
      </c>
      <c r="F30" s="530">
        <v>0</v>
      </c>
    </row>
    <row r="31" spans="2:6" ht="14.25">
      <c r="B31" s="531" t="s">
        <v>71</v>
      </c>
      <c r="C31" s="542">
        <f>IF(C32*0.1&lt;C30,"Exceed 10% Rule","")</f>
      </c>
      <c r="D31" s="542">
        <f>IF(D32*0.1&lt;D30,"Exceed 10% Rule","")</f>
      </c>
      <c r="E31" s="542">
        <f>IF(E32*0.1&lt;E30,"Exceed 10% Rule","")</f>
      </c>
      <c r="F31" s="543">
        <f>IF(F32*0.1&lt;F30,"Exceed 10% Rule","")</f>
      </c>
    </row>
    <row r="32" spans="2:6" ht="15">
      <c r="B32" s="532" t="s">
        <v>164</v>
      </c>
      <c r="C32" s="555">
        <f>SUM(C24:C30)</f>
        <v>200000</v>
      </c>
      <c r="D32" s="533">
        <f>SUM(D24:D30)</f>
        <v>0</v>
      </c>
      <c r="E32" s="533">
        <f>SUM(E24:E30)</f>
        <v>12262</v>
      </c>
      <c r="F32" s="534">
        <f>SUM(F24:F30)</f>
        <v>0</v>
      </c>
    </row>
    <row r="33" spans="2:6" ht="14.25">
      <c r="B33" s="522" t="s">
        <v>304</v>
      </c>
      <c r="C33" s="524">
        <f>C22-C32</f>
        <v>4551</v>
      </c>
      <c r="D33" s="524">
        <f>D22-D32</f>
        <v>0</v>
      </c>
      <c r="E33" s="524">
        <f>E22-E32</f>
        <v>0</v>
      </c>
      <c r="F33" s="529" t="s">
        <v>140</v>
      </c>
    </row>
    <row r="34" spans="2:7" ht="14.25">
      <c r="B34" s="536" t="str">
        <f>CONCATENATE("",F$1-2,"/",F$1-1," Budget Authority Amount:")</f>
        <v>2010/2011 Budget Authority Amount:</v>
      </c>
      <c r="C34" s="537">
        <f>inputOth!B38</f>
        <v>200000</v>
      </c>
      <c r="D34" s="537"/>
      <c r="E34" s="537">
        <f>inputPrYr!D23</f>
        <v>12262</v>
      </c>
      <c r="F34" s="529" t="s">
        <v>140</v>
      </c>
      <c r="G34" s="547"/>
    </row>
    <row r="35" spans="2:7" ht="14.25">
      <c r="B35" s="536"/>
      <c r="C35" s="826" t="s">
        <v>705</v>
      </c>
      <c r="D35" s="826"/>
      <c r="E35" s="827"/>
      <c r="F35" s="530">
        <v>0</v>
      </c>
      <c r="G35" s="547">
        <f>IF(F32/0.95-F32&lt;F35,"Exceeds 5%","")</f>
      </c>
    </row>
    <row r="36" spans="2:6" ht="15">
      <c r="B36" s="548" t="str">
        <f>CONCATENATE(C106,"     ",E106)</f>
        <v>     </v>
      </c>
      <c r="C36" s="828" t="s">
        <v>706</v>
      </c>
      <c r="D36" s="828"/>
      <c r="E36" s="829"/>
      <c r="F36" s="525">
        <f>F32+F35</f>
        <v>0</v>
      </c>
    </row>
    <row r="37" spans="2:6" ht="15">
      <c r="B37" s="548" t="str">
        <f>CONCATENATE(C107,"     ",E107)</f>
        <v>     </v>
      </c>
      <c r="C37" s="539"/>
      <c r="D37" s="539"/>
      <c r="E37" s="515" t="s">
        <v>165</v>
      </c>
      <c r="F37" s="525">
        <f>IF(F36-F22&gt;0,F36-F22,0)</f>
        <v>0</v>
      </c>
    </row>
    <row r="38" spans="2:6" ht="14.25">
      <c r="B38" s="515"/>
      <c r="C38" s="540" t="s">
        <v>707</v>
      </c>
      <c r="D38" s="540"/>
      <c r="E38" s="541">
        <f>inputOth!$E$24</f>
        <v>0.08</v>
      </c>
      <c r="F38" s="525">
        <f>ROUND(IF(E38&gt;0,($F$37*E38),0),0)</f>
        <v>0</v>
      </c>
    </row>
    <row r="39" spans="2:6" ht="14.25">
      <c r="B39" s="513"/>
      <c r="C39" s="830" t="str">
        <f>CONCATENATE("Amount of  ",$F$1-1," Ad Valorem Tax")</f>
        <v>Amount of  2011 Ad Valorem Tax</v>
      </c>
      <c r="D39" s="830"/>
      <c r="E39" s="831"/>
      <c r="F39" s="544">
        <f>F37+F38</f>
        <v>0</v>
      </c>
    </row>
    <row r="40" spans="2:6" ht="14.25">
      <c r="B40" s="513"/>
      <c r="C40" s="519"/>
      <c r="D40" s="519"/>
      <c r="E40" s="519"/>
      <c r="F40" s="519"/>
    </row>
    <row r="41" spans="2:6" ht="14.25">
      <c r="B41" s="520" t="s">
        <v>155</v>
      </c>
      <c r="C41" s="331" t="s">
        <v>926</v>
      </c>
      <c r="D41" s="331">
        <v>2011</v>
      </c>
      <c r="E41" s="332" t="s">
        <v>928</v>
      </c>
      <c r="F41" s="333" t="s">
        <v>931</v>
      </c>
    </row>
    <row r="42" spans="2:6" ht="15">
      <c r="B42" s="545" t="str">
        <f>inputPrYr!B24</f>
        <v>Consolidated Parks General Fund</v>
      </c>
      <c r="C42" s="510" t="s">
        <v>927</v>
      </c>
      <c r="D42" s="510" t="s">
        <v>925</v>
      </c>
      <c r="E42" s="510" t="s">
        <v>929</v>
      </c>
      <c r="F42" s="511" t="s">
        <v>944</v>
      </c>
    </row>
    <row r="43" spans="2:6" ht="15">
      <c r="B43" s="522" t="s">
        <v>303</v>
      </c>
      <c r="C43" s="555">
        <v>1490756</v>
      </c>
      <c r="D43" s="555">
        <v>689303</v>
      </c>
      <c r="E43" s="533">
        <f>C90</f>
        <v>541898</v>
      </c>
      <c r="F43" s="534">
        <f>E90</f>
        <v>37669</v>
      </c>
    </row>
    <row r="44" spans="2:6" ht="14.25">
      <c r="B44" s="546" t="s">
        <v>305</v>
      </c>
      <c r="C44" s="527"/>
      <c r="D44" s="527"/>
      <c r="E44" s="527"/>
      <c r="F44" s="528"/>
    </row>
    <row r="45" spans="2:6" ht="14.25">
      <c r="B45" s="391" t="s">
        <v>156</v>
      </c>
      <c r="C45" s="527">
        <v>1224435</v>
      </c>
      <c r="D45" s="523">
        <v>1480164</v>
      </c>
      <c r="E45" s="524">
        <v>1478000</v>
      </c>
      <c r="F45" s="529" t="s">
        <v>140</v>
      </c>
    </row>
    <row r="46" spans="2:6" ht="14.25">
      <c r="B46" s="391" t="s">
        <v>157</v>
      </c>
      <c r="C46" s="527">
        <v>96843</v>
      </c>
      <c r="D46" s="523">
        <v>42700</v>
      </c>
      <c r="E46" s="523">
        <v>69800</v>
      </c>
      <c r="F46" s="530">
        <v>54900</v>
      </c>
    </row>
    <row r="47" spans="2:6" ht="14.25">
      <c r="B47" s="391" t="s">
        <v>158</v>
      </c>
      <c r="C47" s="527">
        <v>250690</v>
      </c>
      <c r="D47" s="523">
        <v>146872</v>
      </c>
      <c r="E47" s="523">
        <v>180000</v>
      </c>
      <c r="F47" s="525">
        <v>167738</v>
      </c>
    </row>
    <row r="48" spans="2:6" ht="14.25">
      <c r="B48" s="391" t="s">
        <v>159</v>
      </c>
      <c r="C48" s="527">
        <v>1200</v>
      </c>
      <c r="D48" s="523">
        <v>734</v>
      </c>
      <c r="E48" s="523">
        <v>840</v>
      </c>
      <c r="F48" s="525">
        <v>815</v>
      </c>
    </row>
    <row r="49" spans="2:6" ht="14.25">
      <c r="B49" s="346" t="s">
        <v>256</v>
      </c>
      <c r="C49" s="527">
        <v>2089</v>
      </c>
      <c r="D49" s="523">
        <v>359</v>
      </c>
      <c r="E49" s="523">
        <v>2040</v>
      </c>
      <c r="F49" s="525">
        <v>1491</v>
      </c>
    </row>
    <row r="50" spans="2:6" ht="14.25">
      <c r="B50" s="346" t="s">
        <v>878</v>
      </c>
      <c r="C50" s="527">
        <v>0</v>
      </c>
      <c r="D50" s="523">
        <v>0</v>
      </c>
      <c r="E50" s="523">
        <v>0</v>
      </c>
      <c r="F50" s="525">
        <v>0</v>
      </c>
    </row>
    <row r="51" spans="2:6" ht="14.25">
      <c r="B51" s="391" t="s">
        <v>879</v>
      </c>
      <c r="C51" s="527">
        <v>41323</v>
      </c>
      <c r="D51" s="523">
        <v>30610</v>
      </c>
      <c r="E51" s="523">
        <v>33200</v>
      </c>
      <c r="F51" s="530">
        <v>26440</v>
      </c>
    </row>
    <row r="52" spans="2:6" ht="14.25">
      <c r="B52" s="391" t="s">
        <v>880</v>
      </c>
      <c r="C52" s="527">
        <v>1508</v>
      </c>
      <c r="D52" s="523">
        <v>680</v>
      </c>
      <c r="E52" s="523">
        <v>1200</v>
      </c>
      <c r="F52" s="530">
        <v>780</v>
      </c>
    </row>
    <row r="53" spans="2:6" ht="14.25">
      <c r="B53" s="391" t="s">
        <v>941</v>
      </c>
      <c r="C53" s="527">
        <v>147995</v>
      </c>
      <c r="D53" s="523">
        <v>250000</v>
      </c>
      <c r="E53" s="523">
        <v>200000</v>
      </c>
      <c r="F53" s="530">
        <v>200000</v>
      </c>
    </row>
    <row r="54" spans="2:6" ht="14.25">
      <c r="B54" s="391" t="s">
        <v>942</v>
      </c>
      <c r="C54" s="527">
        <v>0</v>
      </c>
      <c r="D54" s="523">
        <v>62000</v>
      </c>
      <c r="E54" s="523">
        <v>67000</v>
      </c>
      <c r="F54" s="530">
        <v>67000</v>
      </c>
    </row>
    <row r="55" spans="2:6" ht="14.25">
      <c r="B55" s="391" t="s">
        <v>973</v>
      </c>
      <c r="C55" s="527">
        <v>2502</v>
      </c>
      <c r="D55" s="523">
        <v>10000</v>
      </c>
      <c r="E55" s="523">
        <v>10000</v>
      </c>
      <c r="F55" s="530">
        <v>10000</v>
      </c>
    </row>
    <row r="56" spans="2:6" ht="14.25">
      <c r="B56" s="391" t="s">
        <v>974</v>
      </c>
      <c r="C56" s="527">
        <v>1550</v>
      </c>
      <c r="D56" s="523">
        <v>2500</v>
      </c>
      <c r="E56" s="523">
        <v>2500</v>
      </c>
      <c r="F56" s="530">
        <v>2500</v>
      </c>
    </row>
    <row r="57" spans="2:6" ht="14.25">
      <c r="B57" s="391" t="s">
        <v>975</v>
      </c>
      <c r="C57" s="527">
        <v>16775</v>
      </c>
      <c r="D57" s="523">
        <v>20000</v>
      </c>
      <c r="E57" s="523">
        <v>15000</v>
      </c>
      <c r="F57" s="530">
        <v>15000</v>
      </c>
    </row>
    <row r="58" spans="2:6" ht="14.25">
      <c r="B58" s="391" t="s">
        <v>976</v>
      </c>
      <c r="C58" s="527">
        <v>7060</v>
      </c>
      <c r="D58" s="523">
        <v>6500</v>
      </c>
      <c r="E58" s="523">
        <v>6500</v>
      </c>
      <c r="F58" s="530">
        <v>6500</v>
      </c>
    </row>
    <row r="59" spans="2:6" ht="14.25">
      <c r="B59" s="391" t="s">
        <v>977</v>
      </c>
      <c r="C59" s="527">
        <v>11387</v>
      </c>
      <c r="D59" s="523">
        <v>11000</v>
      </c>
      <c r="E59" s="523">
        <v>11000</v>
      </c>
      <c r="F59" s="530">
        <v>11000</v>
      </c>
    </row>
    <row r="60" spans="2:6" ht="14.25">
      <c r="B60" s="391" t="s">
        <v>978</v>
      </c>
      <c r="C60" s="527">
        <v>865</v>
      </c>
      <c r="D60" s="523">
        <v>12500</v>
      </c>
      <c r="E60" s="523">
        <v>1000</v>
      </c>
      <c r="F60" s="530">
        <v>1000</v>
      </c>
    </row>
    <row r="61" spans="2:6" ht="14.25">
      <c r="B61" s="391" t="s">
        <v>979</v>
      </c>
      <c r="C61" s="527">
        <v>5275</v>
      </c>
      <c r="D61" s="523">
        <v>5000</v>
      </c>
      <c r="E61" s="523">
        <v>5000</v>
      </c>
      <c r="F61" s="530">
        <v>5000</v>
      </c>
    </row>
    <row r="62" spans="2:6" ht="14.25">
      <c r="B62" s="391" t="s">
        <v>980</v>
      </c>
      <c r="C62" s="527">
        <v>17950</v>
      </c>
      <c r="D62" s="523">
        <v>30000</v>
      </c>
      <c r="E62" s="523">
        <v>30000</v>
      </c>
      <c r="F62" s="530">
        <v>30000</v>
      </c>
    </row>
    <row r="63" spans="2:6" ht="14.25">
      <c r="B63" s="391" t="s">
        <v>981</v>
      </c>
      <c r="C63" s="527">
        <v>8517</v>
      </c>
      <c r="D63" s="523">
        <v>5000</v>
      </c>
      <c r="E63" s="523">
        <v>5000</v>
      </c>
      <c r="F63" s="530">
        <v>5000</v>
      </c>
    </row>
    <row r="64" spans="2:6" ht="14.25">
      <c r="B64" s="391" t="s">
        <v>982</v>
      </c>
      <c r="C64" s="527">
        <v>21967</v>
      </c>
      <c r="D64" s="523">
        <v>30000</v>
      </c>
      <c r="E64" s="523">
        <v>30000</v>
      </c>
      <c r="F64" s="530">
        <v>30000</v>
      </c>
    </row>
    <row r="65" spans="2:6" ht="14.25">
      <c r="B65" s="391" t="s">
        <v>983</v>
      </c>
      <c r="C65" s="527">
        <v>2531</v>
      </c>
      <c r="D65" s="523">
        <v>5000</v>
      </c>
      <c r="E65" s="523">
        <v>5000</v>
      </c>
      <c r="F65" s="530">
        <v>5000</v>
      </c>
    </row>
    <row r="66" spans="2:6" ht="14.25">
      <c r="B66" s="391" t="s">
        <v>984</v>
      </c>
      <c r="C66" s="527">
        <v>189448</v>
      </c>
      <c r="D66" s="523">
        <v>225000</v>
      </c>
      <c r="E66" s="523">
        <v>200000</v>
      </c>
      <c r="F66" s="530">
        <v>200000</v>
      </c>
    </row>
    <row r="67" spans="2:6" ht="14.25">
      <c r="B67" s="391" t="s">
        <v>985</v>
      </c>
      <c r="C67" s="527">
        <v>49520</v>
      </c>
      <c r="D67" s="523">
        <v>25000</v>
      </c>
      <c r="E67" s="523">
        <v>20000</v>
      </c>
      <c r="F67" s="530">
        <v>20000</v>
      </c>
    </row>
    <row r="68" spans="2:6" ht="14.25">
      <c r="B68" s="391" t="s">
        <v>907</v>
      </c>
      <c r="C68" s="527">
        <v>0</v>
      </c>
      <c r="D68" s="523">
        <v>12000</v>
      </c>
      <c r="E68" s="523">
        <v>12000</v>
      </c>
      <c r="F68" s="530">
        <v>12000</v>
      </c>
    </row>
    <row r="69" spans="2:6" ht="14.25">
      <c r="B69" s="391" t="s">
        <v>943</v>
      </c>
      <c r="C69" s="527">
        <v>76</v>
      </c>
      <c r="D69" s="523">
        <v>1000</v>
      </c>
      <c r="E69" s="523">
        <v>1000</v>
      </c>
      <c r="F69" s="530">
        <v>1000</v>
      </c>
    </row>
    <row r="70" spans="2:6" ht="14.25">
      <c r="B70" s="391" t="s">
        <v>918</v>
      </c>
      <c r="C70" s="527">
        <v>0</v>
      </c>
      <c r="D70" s="523">
        <v>0</v>
      </c>
      <c r="E70" s="523">
        <v>0</v>
      </c>
      <c r="F70" s="530">
        <v>0</v>
      </c>
    </row>
    <row r="71" spans="2:6" ht="14.25">
      <c r="B71" s="452" t="s">
        <v>68</v>
      </c>
      <c r="C71" s="527">
        <v>0</v>
      </c>
      <c r="D71" s="523">
        <v>42000</v>
      </c>
      <c r="E71" s="523">
        <v>42000</v>
      </c>
      <c r="F71" s="530">
        <v>100000</v>
      </c>
    </row>
    <row r="72" spans="2:6" ht="14.25">
      <c r="B72" s="391" t="s">
        <v>986</v>
      </c>
      <c r="C72" s="527">
        <v>2700000</v>
      </c>
      <c r="D72" s="523">
        <v>3200000</v>
      </c>
      <c r="E72" s="523">
        <v>3200000</v>
      </c>
      <c r="F72" s="530">
        <v>3200000</v>
      </c>
    </row>
    <row r="73" spans="2:6" ht="14.25">
      <c r="B73" s="391" t="s">
        <v>987</v>
      </c>
      <c r="C73" s="527"/>
      <c r="D73" s="523">
        <v>0</v>
      </c>
      <c r="E73" s="523">
        <v>0</v>
      </c>
      <c r="F73" s="530">
        <v>0</v>
      </c>
    </row>
    <row r="74" spans="2:6" ht="14.25">
      <c r="B74" s="531" t="s">
        <v>69</v>
      </c>
      <c r="C74" s="542">
        <f>IF(C75*0.1&lt;C73,"Exceed 10% Rule","")</f>
      </c>
      <c r="D74" s="542" t="s">
        <v>993</v>
      </c>
      <c r="E74" s="542">
        <f>IF(E75*0.1&lt;E73,"Exceed 10% Rule","")</f>
      </c>
      <c r="F74" s="543">
        <f>IF(F75*0.1+F96&lt;F73,"Exceed 10% Rule","")</f>
      </c>
    </row>
    <row r="75" spans="2:6" ht="15">
      <c r="B75" s="532" t="s">
        <v>160</v>
      </c>
      <c r="C75" s="533">
        <f>SUM(C44:C73)</f>
        <v>4801506</v>
      </c>
      <c r="D75" s="533">
        <f>SUM(D44:D73)</f>
        <v>5656619</v>
      </c>
      <c r="E75" s="533">
        <f>SUM(E44:E73)</f>
        <v>5628080</v>
      </c>
      <c r="F75" s="533">
        <f>SUM(F44:F73)</f>
        <v>4173164</v>
      </c>
    </row>
    <row r="76" spans="2:6" ht="15">
      <c r="B76" s="532" t="s">
        <v>161</v>
      </c>
      <c r="C76" s="533">
        <f>C43+C75</f>
        <v>6292262</v>
      </c>
      <c r="D76" s="533">
        <f>D43+D75</f>
        <v>6345922</v>
      </c>
      <c r="E76" s="533">
        <f>E43+E75</f>
        <v>6169978</v>
      </c>
      <c r="F76" s="534">
        <f>F43+F75</f>
        <v>4210833</v>
      </c>
    </row>
    <row r="77" spans="2:6" ht="14.25">
      <c r="B77" s="522" t="s">
        <v>163</v>
      </c>
      <c r="C77" s="531"/>
      <c r="D77" s="531"/>
      <c r="E77" s="531"/>
      <c r="F77" s="535"/>
    </row>
    <row r="78" spans="2:6" ht="14.25">
      <c r="B78" s="391" t="s">
        <v>163</v>
      </c>
      <c r="C78" s="523"/>
      <c r="D78" s="523"/>
      <c r="E78" s="523"/>
      <c r="F78" s="530"/>
    </row>
    <row r="79" spans="2:6" ht="14.25">
      <c r="B79" s="391" t="s">
        <v>932</v>
      </c>
      <c r="C79" s="523">
        <v>4125026</v>
      </c>
      <c r="D79" s="523">
        <v>4129025</v>
      </c>
      <c r="E79" s="523">
        <v>4269935</v>
      </c>
      <c r="F79" s="530">
        <v>3547306</v>
      </c>
    </row>
    <row r="80" spans="2:6" ht="14.25">
      <c r="B80" s="391" t="s">
        <v>933</v>
      </c>
      <c r="C80" s="523">
        <v>917266</v>
      </c>
      <c r="D80" s="523">
        <v>985198</v>
      </c>
      <c r="E80" s="523">
        <v>926176</v>
      </c>
      <c r="F80" s="530">
        <v>915698</v>
      </c>
    </row>
    <row r="81" spans="2:6" ht="14.25">
      <c r="B81" s="391" t="s">
        <v>934</v>
      </c>
      <c r="C81" s="523">
        <v>700108</v>
      </c>
      <c r="D81" s="523">
        <v>720611</v>
      </c>
      <c r="E81" s="523">
        <f>721213-44000</f>
        <v>677213</v>
      </c>
      <c r="F81" s="530">
        <f>645907-165000</f>
        <v>480907</v>
      </c>
    </row>
    <row r="82" spans="2:6" ht="14.25">
      <c r="B82" s="391" t="s">
        <v>935</v>
      </c>
      <c r="C82" s="523">
        <v>6996</v>
      </c>
      <c r="D82" s="523">
        <v>2885</v>
      </c>
      <c r="E82" s="523">
        <v>5275</v>
      </c>
      <c r="F82" s="530">
        <v>5275</v>
      </c>
    </row>
    <row r="83" spans="2:6" ht="14.25">
      <c r="B83" s="391" t="s">
        <v>936</v>
      </c>
      <c r="C83" s="523">
        <v>968</v>
      </c>
      <c r="D83" s="523">
        <v>111900</v>
      </c>
      <c r="E83" s="523">
        <f>40000+108600</f>
        <v>148600</v>
      </c>
      <c r="F83" s="530">
        <v>237100</v>
      </c>
    </row>
    <row r="84" spans="2:6" ht="14.25">
      <c r="B84" s="391" t="s">
        <v>1034</v>
      </c>
      <c r="C84" s="523">
        <v>0</v>
      </c>
      <c r="D84" s="523">
        <v>0</v>
      </c>
      <c r="E84" s="523">
        <v>0</v>
      </c>
      <c r="F84" s="530">
        <v>200000</v>
      </c>
    </row>
    <row r="85" spans="2:6" ht="14.25">
      <c r="B85" s="391" t="s">
        <v>182</v>
      </c>
      <c r="C85" s="523">
        <v>0</v>
      </c>
      <c r="D85" s="523">
        <v>0</v>
      </c>
      <c r="E85" s="523">
        <v>0</v>
      </c>
      <c r="F85" s="530">
        <v>0</v>
      </c>
    </row>
    <row r="86" spans="2:6" ht="14.25">
      <c r="B86" s="550" t="s">
        <v>988</v>
      </c>
      <c r="C86" s="551"/>
      <c r="D86" s="551"/>
      <c r="E86" s="551"/>
      <c r="F86" s="552"/>
    </row>
    <row r="87" spans="2:6" ht="14.25">
      <c r="B87" s="531" t="s">
        <v>68</v>
      </c>
      <c r="C87" s="523">
        <v>0</v>
      </c>
      <c r="D87" s="523">
        <v>101110</v>
      </c>
      <c r="E87" s="523">
        <f>1110+100000+4000</f>
        <v>105110</v>
      </c>
      <c r="F87" s="530">
        <v>156210</v>
      </c>
    </row>
    <row r="88" spans="2:6" ht="14.25">
      <c r="B88" s="531" t="s">
        <v>71</v>
      </c>
      <c r="C88" s="542">
        <f>IF(C89*0.1&lt;C87,"Exceed 10% Rule","")</f>
      </c>
      <c r="D88" s="542">
        <f>IF(D89*0.1&lt;D87,"Exceed 10% Rule","")</f>
      </c>
      <c r="E88" s="542">
        <f>IF(E89*0.1&lt;E87,"Exceed 10% Rule","")</f>
      </c>
      <c r="F88" s="543">
        <f>IF(F89*0.1&lt;F87,"Exceed 10% Rule","")</f>
      </c>
    </row>
    <row r="89" spans="2:6" ht="15">
      <c r="B89" s="532" t="s">
        <v>164</v>
      </c>
      <c r="C89" s="533">
        <f>SUM(C78:C87)</f>
        <v>5750364</v>
      </c>
      <c r="D89" s="533">
        <f>SUM(D78:D87)</f>
        <v>6050729</v>
      </c>
      <c r="E89" s="533">
        <f>SUM(E78:E87)</f>
        <v>6132309</v>
      </c>
      <c r="F89" s="534">
        <f>SUM(F78:F87)</f>
        <v>5542496</v>
      </c>
    </row>
    <row r="90" spans="2:6" ht="14.25">
      <c r="B90" s="522" t="s">
        <v>304</v>
      </c>
      <c r="C90" s="524">
        <f>C76-C89</f>
        <v>541898</v>
      </c>
      <c r="D90" s="523">
        <f>D76-D89</f>
        <v>295193</v>
      </c>
      <c r="E90" s="524">
        <f>E76-E89</f>
        <v>37669</v>
      </c>
      <c r="F90" s="529" t="s">
        <v>140</v>
      </c>
    </row>
    <row r="91" spans="2:7" ht="14.25">
      <c r="B91" s="536" t="str">
        <f>CONCATENATE("",F$1-2,"/",F$1-1," Budget Authority Amount:")</f>
        <v>2010/2011 Budget Authority Amount:</v>
      </c>
      <c r="C91" s="537">
        <f>inputOth!B39</f>
        <v>6360270</v>
      </c>
      <c r="D91" s="537"/>
      <c r="E91" s="537">
        <f>inputPrYr!D24</f>
        <v>6132309</v>
      </c>
      <c r="F91" s="529" t="s">
        <v>140</v>
      </c>
      <c r="G91" s="547"/>
    </row>
    <row r="92" spans="2:7" ht="14.25">
      <c r="B92" s="536"/>
      <c r="C92" s="826" t="s">
        <v>705</v>
      </c>
      <c r="D92" s="826"/>
      <c r="E92" s="827"/>
      <c r="F92" s="530">
        <f>15000+10863</f>
        <v>25863</v>
      </c>
      <c r="G92" s="547">
        <f>IF(F89/0.95-F89&lt;F92,"Exceeds 5%","")</f>
      </c>
    </row>
    <row r="93" spans="2:6" ht="15">
      <c r="B93" s="538" t="str">
        <f>CONCATENATE(C108,"     ",E108)</f>
        <v>     </v>
      </c>
      <c r="C93" s="828" t="s">
        <v>706</v>
      </c>
      <c r="D93" s="828"/>
      <c r="E93" s="829"/>
      <c r="F93" s="525">
        <f>F89+F92</f>
        <v>5568359</v>
      </c>
    </row>
    <row r="94" spans="2:6" ht="15">
      <c r="B94" s="538" t="str">
        <f>CONCATENATE(C109,"     ",E109)</f>
        <v>     </v>
      </c>
      <c r="C94" s="539"/>
      <c r="D94" s="539"/>
      <c r="E94" s="515" t="s">
        <v>165</v>
      </c>
      <c r="F94" s="525">
        <f>IF(F93-F76&gt;0,F93-F76,0)</f>
        <v>1357526</v>
      </c>
    </row>
    <row r="95" spans="2:6" ht="14.25">
      <c r="B95" s="515"/>
      <c r="C95" s="540" t="s">
        <v>707</v>
      </c>
      <c r="D95" s="540"/>
      <c r="E95" s="541">
        <f>inputOth!$E$24</f>
        <v>0.08</v>
      </c>
      <c r="F95" s="525">
        <f>ROUND(IF(E95&gt;0,(F94/((100-(100*E95))*0.01)-F94),0),0)</f>
        <v>118046</v>
      </c>
    </row>
    <row r="96" spans="2:6" ht="14.25">
      <c r="B96" s="513"/>
      <c r="C96" s="830" t="str">
        <f>CONCATENATE("Amount of  ",$F$1-1," Ad Valorem Tax")</f>
        <v>Amount of  2011 Ad Valorem Tax</v>
      </c>
      <c r="D96" s="830"/>
      <c r="E96" s="831"/>
      <c r="F96" s="544">
        <f>F94+F95</f>
        <v>1475572</v>
      </c>
    </row>
    <row r="106" spans="3:5" ht="14.25" hidden="1">
      <c r="C106" s="455">
        <f>IF(C32&gt;C34,"See Tab A","")</f>
      </c>
      <c r="E106" s="455">
        <f>IF(E32&gt;E34,"See Tab C","")</f>
      </c>
    </row>
    <row r="107" spans="3:5" ht="14.25" hidden="1">
      <c r="C107" s="455">
        <f>IF(C33&lt;0,"See Tab B","")</f>
      </c>
      <c r="E107" s="455">
        <f>IF(E33&lt;0,"See Tab D","")</f>
      </c>
    </row>
    <row r="108" spans="3:5" ht="14.25" hidden="1">
      <c r="C108" s="455">
        <f>IF(C89&gt;C91,"See Tab A","")</f>
      </c>
      <c r="E108" s="455">
        <f>IF(E89&gt;E91,"See Tab C","")</f>
      </c>
    </row>
    <row r="109" spans="3:5" ht="14.25" hidden="1">
      <c r="C109" s="455">
        <f>IF(C90&lt;0,"See Tab B","")</f>
      </c>
      <c r="E109" s="455">
        <f>IF(E90&lt;0,"See Tab D","")</f>
      </c>
    </row>
  </sheetData>
  <sheetProtection/>
  <mergeCells count="6">
    <mergeCell ref="C35:E35"/>
    <mergeCell ref="C36:E36"/>
    <mergeCell ref="C92:E92"/>
    <mergeCell ref="C93:E93"/>
    <mergeCell ref="C96:E96"/>
    <mergeCell ref="C39:E39"/>
  </mergeCells>
  <conditionalFormatting sqref="F87">
    <cfRule type="cellIs" priority="3" dxfId="128" operator="greaterThan" stopIfTrue="1">
      <formula>$F$89*0.1</formula>
    </cfRule>
  </conditionalFormatting>
  <conditionalFormatting sqref="F92">
    <cfRule type="cellIs" priority="4" dxfId="128" operator="greaterThan" stopIfTrue="1">
      <formula>$F$89/0.95-$F$89</formula>
    </cfRule>
  </conditionalFormatting>
  <conditionalFormatting sqref="F35">
    <cfRule type="cellIs" priority="5" dxfId="128" operator="greaterThan" stopIfTrue="1">
      <formula>$F$32/0.95-$F$32</formula>
    </cfRule>
  </conditionalFormatting>
  <conditionalFormatting sqref="F30">
    <cfRule type="cellIs" priority="6" dxfId="128" operator="greaterThan" stopIfTrue="1">
      <formula>$F$32*0.1</formula>
    </cfRule>
  </conditionalFormatting>
  <conditionalFormatting sqref="C33:D33 C90">
    <cfRule type="cellIs" priority="7" dxfId="1" operator="lessThan" stopIfTrue="1">
      <formula>0</formula>
    </cfRule>
  </conditionalFormatting>
  <conditionalFormatting sqref="C89:D89">
    <cfRule type="cellIs" priority="8" dxfId="1" operator="greaterThan" stopIfTrue="1">
      <formula>$C$91</formula>
    </cfRule>
  </conditionalFormatting>
  <conditionalFormatting sqref="E89">
    <cfRule type="cellIs" priority="9" dxfId="1" operator="greaterThan" stopIfTrue="1">
      <formula>$E$91</formula>
    </cfRule>
  </conditionalFormatting>
  <conditionalFormatting sqref="C87">
    <cfRule type="cellIs" priority="10" dxfId="1" operator="greaterThan" stopIfTrue="1">
      <formula>$C$89*0.1</formula>
    </cfRule>
  </conditionalFormatting>
  <conditionalFormatting sqref="E87">
    <cfRule type="cellIs" priority="11" dxfId="1" operator="greaterThan" stopIfTrue="1">
      <formula>$E$89*0.1</formula>
    </cfRule>
  </conditionalFormatting>
  <conditionalFormatting sqref="F73">
    <cfRule type="cellIs" priority="12" dxfId="128" operator="greaterThan" stopIfTrue="1">
      <formula>$F$75*0.1+F96</formula>
    </cfRule>
  </conditionalFormatting>
  <conditionalFormatting sqref="D73">
    <cfRule type="cellIs" priority="13" dxfId="1" operator="greaterThan" stopIfTrue="1">
      <formula>$C$75*0.1</formula>
    </cfRule>
  </conditionalFormatting>
  <conditionalFormatting sqref="E73">
    <cfRule type="cellIs" priority="14" dxfId="1" operator="greaterThan" stopIfTrue="1">
      <formula>$E$75*0.1</formula>
    </cfRule>
  </conditionalFormatting>
  <conditionalFormatting sqref="D32">
    <cfRule type="cellIs" priority="15" dxfId="1" operator="greaterThan" stopIfTrue="1">
      <formula>$C$34</formula>
    </cfRule>
  </conditionalFormatting>
  <conditionalFormatting sqref="E32">
    <cfRule type="cellIs" priority="16" dxfId="1" operator="greaterThan" stopIfTrue="1">
      <formula>$E$34</formula>
    </cfRule>
  </conditionalFormatting>
  <conditionalFormatting sqref="C30">
    <cfRule type="cellIs" priority="17" dxfId="1" operator="greaterThan" stopIfTrue="1">
      <formula>$C$32*0.1</formula>
    </cfRule>
  </conditionalFormatting>
  <conditionalFormatting sqref="E30">
    <cfRule type="cellIs" priority="18" dxfId="1" operator="greaterThan" stopIfTrue="1">
      <formula>$E$32*0.1</formula>
    </cfRule>
  </conditionalFormatting>
  <conditionalFormatting sqref="F19">
    <cfRule type="cellIs" priority="19" dxfId="128" operator="greaterThan" stopIfTrue="1">
      <formula>$F$21*0.1+F39</formula>
    </cfRule>
  </conditionalFormatting>
  <conditionalFormatting sqref="C19">
    <cfRule type="cellIs" priority="20" dxfId="1" operator="greaterThan" stopIfTrue="1">
      <formula>$C$21*0.1</formula>
    </cfRule>
  </conditionalFormatting>
  <conditionalFormatting sqref="E90 E33">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3"/>
  <headerFooter alignWithMargins="0">
    <oddHeader>&amp;RState of Kansas
County
</oddHeader>
    <oddFooter>&amp;C&amp;"Arial,Regular"&amp;11WY - &amp;P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B1:F32"/>
  <sheetViews>
    <sheetView zoomScale="84" zoomScaleNormal="84" zoomScalePageLayoutView="0" workbookViewId="0" topLeftCell="A1">
      <selection activeCell="E26" sqref="E26"/>
    </sheetView>
  </sheetViews>
  <sheetFormatPr defaultColWidth="8.796875" defaultRowHeight="15"/>
  <cols>
    <col min="1" max="1" width="2.3984375" style="455" customWidth="1"/>
    <col min="2" max="2" width="31.09765625" style="455" customWidth="1"/>
    <col min="3" max="6" width="15.796875" style="455" customWidth="1"/>
    <col min="7" max="16384" width="8.8984375" style="455" customWidth="1"/>
  </cols>
  <sheetData>
    <row r="1" spans="2:6" ht="14.25">
      <c r="B1" s="512" t="str">
        <f>(inputPrYr!C2)</f>
        <v>Wyandotte County</v>
      </c>
      <c r="C1" s="453"/>
      <c r="D1" s="453"/>
      <c r="E1" s="454"/>
      <c r="F1" s="514">
        <f>inputPrYr!C4</f>
        <v>2012</v>
      </c>
    </row>
    <row r="2" spans="2:6" ht="14.25">
      <c r="B2" s="453"/>
      <c r="C2" s="453"/>
      <c r="D2" s="453"/>
      <c r="E2" s="515"/>
      <c r="F2" s="515"/>
    </row>
    <row r="3" spans="2:6" ht="15">
      <c r="B3" s="516" t="s">
        <v>264</v>
      </c>
      <c r="C3" s="484"/>
      <c r="D3" s="484"/>
      <c r="E3" s="518"/>
      <c r="F3" s="518"/>
    </row>
    <row r="4" spans="2:6" ht="14.25">
      <c r="B4" s="453"/>
      <c r="C4" s="519"/>
      <c r="D4" s="519"/>
      <c r="E4" s="519"/>
      <c r="F4" s="519"/>
    </row>
    <row r="5" spans="2:6" ht="14.25">
      <c r="B5" s="453"/>
      <c r="C5" s="556"/>
      <c r="D5" s="556"/>
      <c r="E5" s="556"/>
      <c r="F5" s="556"/>
    </row>
    <row r="6" spans="2:6" ht="14.25">
      <c r="B6" s="466"/>
      <c r="C6" s="519"/>
      <c r="D6" s="519"/>
      <c r="E6" s="519"/>
      <c r="F6" s="556"/>
    </row>
    <row r="7" spans="2:6" ht="14.25">
      <c r="B7" s="520" t="s">
        <v>155</v>
      </c>
      <c r="C7" s="331" t="s">
        <v>926</v>
      </c>
      <c r="D7" s="331">
        <v>2011</v>
      </c>
      <c r="E7" s="332" t="s">
        <v>928</v>
      </c>
      <c r="F7" s="333" t="s">
        <v>931</v>
      </c>
    </row>
    <row r="8" spans="2:6" ht="15">
      <c r="B8" s="521" t="str">
        <f>inputPrYr!B28</f>
        <v>Court Trustee</v>
      </c>
      <c r="C8" s="510" t="s">
        <v>927</v>
      </c>
      <c r="D8" s="510" t="s">
        <v>925</v>
      </c>
      <c r="E8" s="510" t="s">
        <v>929</v>
      </c>
      <c r="F8" s="511" t="s">
        <v>944</v>
      </c>
    </row>
    <row r="9" spans="2:6" ht="15">
      <c r="B9" s="522" t="s">
        <v>303</v>
      </c>
      <c r="C9" s="534">
        <v>679881</v>
      </c>
      <c r="D9" s="534">
        <v>674801</v>
      </c>
      <c r="E9" s="534">
        <f>C27</f>
        <v>713354</v>
      </c>
      <c r="F9" s="534">
        <f>E27</f>
        <v>682152</v>
      </c>
    </row>
    <row r="10" spans="2:6" ht="14.25">
      <c r="B10" s="522" t="s">
        <v>305</v>
      </c>
      <c r="C10" s="474"/>
      <c r="D10" s="474"/>
      <c r="E10" s="474"/>
      <c r="F10" s="474"/>
    </row>
    <row r="11" spans="2:6" ht="14.25">
      <c r="B11" s="367" t="s">
        <v>998</v>
      </c>
      <c r="C11" s="525">
        <v>396852</v>
      </c>
      <c r="D11" s="525">
        <v>390000</v>
      </c>
      <c r="E11" s="525">
        <v>400000</v>
      </c>
      <c r="F11" s="525">
        <v>400000</v>
      </c>
    </row>
    <row r="12" spans="2:6" ht="14.25">
      <c r="B12" s="367" t="s">
        <v>910</v>
      </c>
      <c r="C12" s="474">
        <v>0</v>
      </c>
      <c r="D12" s="504">
        <v>0</v>
      </c>
      <c r="E12" s="504">
        <v>0</v>
      </c>
      <c r="F12" s="504">
        <v>0</v>
      </c>
    </row>
    <row r="13" spans="2:6" ht="14.25">
      <c r="B13" s="367" t="s">
        <v>912</v>
      </c>
      <c r="C13" s="474">
        <v>0</v>
      </c>
      <c r="D13" s="504">
        <v>0</v>
      </c>
      <c r="E13" s="504">
        <v>0</v>
      </c>
      <c r="F13" s="504">
        <v>0</v>
      </c>
    </row>
    <row r="14" spans="2:6" ht="14.25">
      <c r="B14" s="451" t="s">
        <v>68</v>
      </c>
      <c r="C14" s="474">
        <v>24</v>
      </c>
      <c r="D14" s="504">
        <v>0</v>
      </c>
      <c r="E14" s="504">
        <v>0</v>
      </c>
      <c r="F14" s="504">
        <v>0</v>
      </c>
    </row>
    <row r="15" spans="2:6" ht="14.25">
      <c r="B15" s="451" t="s">
        <v>69</v>
      </c>
      <c r="C15" s="557"/>
      <c r="D15" s="557"/>
      <c r="E15" s="557"/>
      <c r="F15" s="557"/>
    </row>
    <row r="16" spans="2:6" ht="15">
      <c r="B16" s="568" t="s">
        <v>160</v>
      </c>
      <c r="C16" s="554">
        <f>SUM(C11:C14)</f>
        <v>396876</v>
      </c>
      <c r="D16" s="554">
        <f>SUM(D11:D14)</f>
        <v>390000</v>
      </c>
      <c r="E16" s="554">
        <f>SUM(E11:E14)</f>
        <v>400000</v>
      </c>
      <c r="F16" s="554">
        <f>SUM(F11:F14)</f>
        <v>400000</v>
      </c>
    </row>
    <row r="17" spans="2:6" ht="15">
      <c r="B17" s="568" t="s">
        <v>161</v>
      </c>
      <c r="C17" s="554">
        <f>C9+C16</f>
        <v>1076757</v>
      </c>
      <c r="D17" s="554">
        <f>D9+D16</f>
        <v>1064801</v>
      </c>
      <c r="E17" s="554">
        <f>E9+E16</f>
        <v>1113354</v>
      </c>
      <c r="F17" s="554">
        <f>F9+F16</f>
        <v>1082152</v>
      </c>
    </row>
    <row r="18" spans="2:6" ht="15">
      <c r="B18" s="367" t="s">
        <v>163</v>
      </c>
      <c r="C18" s="560"/>
      <c r="D18" s="560"/>
      <c r="E18" s="560"/>
      <c r="F18" s="560"/>
    </row>
    <row r="19" spans="2:6" ht="14.25">
      <c r="B19" s="569" t="s">
        <v>932</v>
      </c>
      <c r="C19" s="525">
        <v>312988</v>
      </c>
      <c r="D19" s="504">
        <v>277824</v>
      </c>
      <c r="E19" s="525">
        <v>320000</v>
      </c>
      <c r="F19" s="525">
        <v>320000</v>
      </c>
    </row>
    <row r="20" spans="2:6" ht="14.25">
      <c r="B20" s="569" t="s">
        <v>933</v>
      </c>
      <c r="C20" s="474">
        <v>45199</v>
      </c>
      <c r="D20" s="504">
        <v>65610</v>
      </c>
      <c r="E20" s="525">
        <v>65610</v>
      </c>
      <c r="F20" s="525">
        <v>65610</v>
      </c>
    </row>
    <row r="21" spans="2:6" ht="14.25">
      <c r="B21" s="569" t="s">
        <v>934</v>
      </c>
      <c r="C21" s="474">
        <v>5216</v>
      </c>
      <c r="D21" s="504">
        <v>5592</v>
      </c>
      <c r="E21" s="525">
        <v>5592</v>
      </c>
      <c r="F21" s="525">
        <v>5592</v>
      </c>
    </row>
    <row r="22" spans="2:6" ht="14.25">
      <c r="B22" s="569" t="s">
        <v>935</v>
      </c>
      <c r="C22" s="474">
        <v>0</v>
      </c>
      <c r="D22" s="504">
        <v>0</v>
      </c>
      <c r="E22" s="525">
        <v>0</v>
      </c>
      <c r="F22" s="525">
        <v>0</v>
      </c>
    </row>
    <row r="23" spans="2:6" ht="14.25">
      <c r="B23" s="451" t="s">
        <v>936</v>
      </c>
      <c r="C23" s="474">
        <v>0</v>
      </c>
      <c r="D23" s="504">
        <v>0</v>
      </c>
      <c r="E23" s="525">
        <v>0</v>
      </c>
      <c r="F23" s="525">
        <v>0</v>
      </c>
    </row>
    <row r="24" spans="2:6" ht="14.25">
      <c r="B24" s="451" t="s">
        <v>68</v>
      </c>
      <c r="C24" s="474">
        <v>0</v>
      </c>
      <c r="D24" s="504">
        <v>38000</v>
      </c>
      <c r="E24" s="525">
        <v>40000</v>
      </c>
      <c r="F24" s="525">
        <v>40000</v>
      </c>
    </row>
    <row r="25" spans="2:6" ht="14.25">
      <c r="B25" s="531" t="s">
        <v>702</v>
      </c>
      <c r="C25" s="558">
        <f>IF(C26*0.1&lt;C24,"Exceed 10% Rule","")</f>
      </c>
      <c r="D25" s="559">
        <f>IF(D26*0.1&lt;D24,"Exceed 10% Rule","")</f>
      </c>
      <c r="E25" s="559">
        <f>IF(E26*0.1&lt;E24,"Exceed 10% Rule","")</f>
      </c>
      <c r="F25" s="559">
        <f>IF(F26*0.1&lt;F24,"Exceed 10% Rule","")</f>
      </c>
    </row>
    <row r="26" spans="2:6" ht="15">
      <c r="B26" s="532" t="s">
        <v>164</v>
      </c>
      <c r="C26" s="560">
        <f>SUM(C19:C24)</f>
        <v>363403</v>
      </c>
      <c r="D26" s="560">
        <f>SUM(D19:D24)</f>
        <v>387026</v>
      </c>
      <c r="E26" s="560">
        <f>SUM(E19:E24)</f>
        <v>431202</v>
      </c>
      <c r="F26" s="560">
        <f>SUM(F19:F24)</f>
        <v>431202</v>
      </c>
    </row>
    <row r="27" spans="2:6" ht="14.25">
      <c r="B27" s="522" t="s">
        <v>304</v>
      </c>
      <c r="C27" s="561">
        <f>C17-C26</f>
        <v>713354</v>
      </c>
      <c r="D27" s="561">
        <f>D17-D26</f>
        <v>677775</v>
      </c>
      <c r="E27" s="561">
        <f>E17-E26</f>
        <v>682152</v>
      </c>
      <c r="F27" s="561">
        <f>F17-F26</f>
        <v>650950</v>
      </c>
    </row>
    <row r="28" spans="2:6" ht="15">
      <c r="B28" s="536" t="str">
        <f>CONCATENATE("",E$1-2,"/",E$1-1," Budget Authority Amount:")</f>
        <v>-2/-1 Budget Authority Amount:</v>
      </c>
      <c r="C28" s="537">
        <f>inputOth!B40</f>
        <v>395080</v>
      </c>
      <c r="D28" s="537">
        <f>inputPrYr!D28</f>
        <v>431202</v>
      </c>
      <c r="E28" s="562">
        <f>IF(E27&lt;0,"See Tab E","")</f>
      </c>
      <c r="F28" s="562"/>
    </row>
    <row r="29" spans="2:5" ht="15">
      <c r="B29" s="536"/>
      <c r="C29" s="539">
        <f>IF(C26&gt;C28,"See Tab A","")</f>
      </c>
      <c r="D29" s="539">
        <f>IF(D26&gt;D28,"See Tab C","")</f>
      </c>
      <c r="E29" s="453"/>
    </row>
    <row r="30" spans="2:5" ht="15">
      <c r="B30" s="536"/>
      <c r="C30" s="539">
        <f>IF(C27&lt;0,"See Tab B","")</f>
      </c>
      <c r="D30" s="539">
        <f>IF(D27&lt;0,"See Tab D","")</f>
      </c>
      <c r="E30" s="453"/>
    </row>
    <row r="31" spans="2:5" ht="14.25">
      <c r="B31" s="453"/>
      <c r="C31" s="453"/>
      <c r="D31" s="453"/>
      <c r="E31" s="453"/>
    </row>
    <row r="32" spans="2:5" ht="14.25">
      <c r="B32" s="536" t="s">
        <v>216</v>
      </c>
      <c r="C32" s="563"/>
      <c r="D32" s="453"/>
      <c r="E32" s="453"/>
    </row>
  </sheetData>
  <sheetProtection/>
  <conditionalFormatting sqref="C15">
    <cfRule type="cellIs" priority="25" dxfId="128" operator="greaterThan" stopIfTrue="1">
      <formula>$C$17*0.1</formula>
    </cfRule>
  </conditionalFormatting>
  <conditionalFormatting sqref="D15">
    <cfRule type="cellIs" priority="26" dxfId="128" operator="greaterThan" stopIfTrue="1">
      <formula>$D$17*0.1</formula>
    </cfRule>
  </conditionalFormatting>
  <conditionalFormatting sqref="E15:F15">
    <cfRule type="cellIs" priority="27" dxfId="128" operator="greaterThan" stopIfTrue="1">
      <formula>$E$17*0.1</formula>
    </cfRule>
  </conditionalFormatting>
  <conditionalFormatting sqref="E27 C27">
    <cfRule type="cellIs" priority="31" dxfId="1" operator="lessThan" stopIfTrue="1">
      <formula>0</formula>
    </cfRule>
  </conditionalFormatting>
  <conditionalFormatting sqref="D26">
    <cfRule type="cellIs" priority="32" dxfId="1" operator="greaterThan" stopIfTrue="1">
      <formula>$D$28</formula>
    </cfRule>
  </conditionalFormatting>
  <conditionalFormatting sqref="C26">
    <cfRule type="cellIs" priority="33" dxfId="1" operator="greaterThan" stopIfTrue="1">
      <formula>$C$28</formula>
    </cfRule>
  </conditionalFormatting>
  <conditionalFormatting sqref="D27">
    <cfRule type="cellIs" priority="13" dxfId="0" operator="lessThan" stopIfTrue="1">
      <formula>0</formula>
    </cfRule>
  </conditionalFormatting>
  <conditionalFormatting sqref="F27">
    <cfRule type="cellIs" priority="10" dxfId="1" operator="lessThan" stopIfTrue="1">
      <formula>0</formula>
    </cfRule>
  </conditionalFormatting>
  <conditionalFormatting sqref="C15:D15">
    <cfRule type="cellIs" priority="9" dxfId="128" operator="greaterThan" stopIfTrue="1">
      <formula>$E$17*0.1</formula>
    </cfRule>
  </conditionalFormatting>
  <conditionalFormatting sqref="E26">
    <cfRule type="cellIs" priority="8" dxfId="1" operator="greaterThan" stopIfTrue="1">
      <formula>$D$28</formula>
    </cfRule>
  </conditionalFormatting>
  <conditionalFormatting sqref="E26">
    <cfRule type="cellIs" priority="7" dxfId="1" operator="greaterThan" stopIfTrue="1">
      <formula>$D$28</formula>
    </cfRule>
  </conditionalFormatting>
  <conditionalFormatting sqref="D26:F26">
    <cfRule type="cellIs" priority="6" dxfId="1" operator="greaterThan" stopIfTrue="1">
      <formula>$C$28</formula>
    </cfRule>
  </conditionalFormatting>
  <conditionalFormatting sqref="D26:D27">
    <cfRule type="cellIs" priority="5" dxfId="1" operator="lessThan" stopIfTrue="1">
      <formula>0</formula>
    </cfRule>
  </conditionalFormatting>
  <conditionalFormatting sqref="D27">
    <cfRule type="cellIs" priority="4" dxfId="1" operator="lessThan" stopIfTrue="1">
      <formula>0</formula>
    </cfRule>
  </conditionalFormatting>
  <conditionalFormatting sqref="D26">
    <cfRule type="cellIs" priority="3" dxfId="1" operator="greaterThan" stopIfTrue="1">
      <formula>$C$28</formula>
    </cfRule>
  </conditionalFormatting>
  <conditionalFormatting sqref="D26">
    <cfRule type="cellIs" priority="2" dxfId="1" operator="greaterThan" stopIfTrue="1">
      <formula>$C$28</formula>
    </cfRule>
  </conditionalFormatting>
  <conditionalFormatting sqref="F27">
    <cfRule type="cellIs" priority="1" dxfId="1" operator="lessThan" stopIfTrue="1">
      <formula>0</formula>
    </cfRule>
  </conditionalFormatting>
  <printOptions/>
  <pageMargins left="1.12" right="0.5" top="0.74" bottom="0.34" header="0.5" footer="0"/>
  <pageSetup blackAndWhite="1" fitToHeight="1" fitToWidth="1" horizontalDpi="120" verticalDpi="120" orientation="portrait" scale="71" r:id="rId1"/>
  <headerFooter alignWithMargins="0">
    <oddHeader>&amp;RState of Kansas
County
</oddHeader>
    <oddFooter>&amp;C&amp;"Arial,Regular"&amp;11WY -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F62"/>
  <sheetViews>
    <sheetView zoomScale="80" zoomScaleNormal="80" zoomScalePageLayoutView="0" workbookViewId="0" topLeftCell="A1">
      <selection activeCell="D33" sqref="D33"/>
    </sheetView>
  </sheetViews>
  <sheetFormatPr defaultColWidth="8.796875" defaultRowHeight="15"/>
  <cols>
    <col min="1" max="1" width="2.3984375" style="455" customWidth="1"/>
    <col min="2" max="2" width="36.796875" style="455" customWidth="1"/>
    <col min="3" max="3" width="15.796875" style="587" customWidth="1"/>
    <col min="4" max="6" width="15.796875" style="455" customWidth="1"/>
    <col min="7" max="16384" width="8.8984375" style="455" customWidth="1"/>
  </cols>
  <sheetData>
    <row r="1" spans="2:6" ht="14.25">
      <c r="B1" s="512" t="str">
        <f>(inputPrYr!C2)</f>
        <v>Wyandotte County</v>
      </c>
      <c r="C1" s="536"/>
      <c r="D1" s="453"/>
      <c r="E1" s="454">
        <f>inputPrYr!C4</f>
        <v>2012</v>
      </c>
      <c r="F1" s="454"/>
    </row>
    <row r="2" spans="2:6" ht="14.25">
      <c r="B2" s="453"/>
      <c r="C2" s="536"/>
      <c r="D2" s="453"/>
      <c r="E2" s="515"/>
      <c r="F2" s="515"/>
    </row>
    <row r="3" spans="2:6" ht="15">
      <c r="B3" s="516" t="s">
        <v>264</v>
      </c>
      <c r="C3" s="574"/>
      <c r="D3" s="484"/>
      <c r="E3" s="518"/>
      <c r="F3" s="518"/>
    </row>
    <row r="4" spans="2:6" ht="14.25">
      <c r="B4" s="453"/>
      <c r="C4" s="515"/>
      <c r="D4" s="519"/>
      <c r="E4" s="519"/>
      <c r="F4" s="519"/>
    </row>
    <row r="5" spans="2:6" ht="14.25">
      <c r="B5" s="520" t="s">
        <v>155</v>
      </c>
      <c r="C5" s="575" t="s">
        <v>926</v>
      </c>
      <c r="D5" s="331">
        <v>2011</v>
      </c>
      <c r="E5" s="332" t="s">
        <v>928</v>
      </c>
      <c r="F5" s="333" t="s">
        <v>931</v>
      </c>
    </row>
    <row r="6" spans="2:6" ht="15">
      <c r="B6" s="521" t="s">
        <v>870</v>
      </c>
      <c r="C6" s="576" t="s">
        <v>927</v>
      </c>
      <c r="D6" s="510" t="s">
        <v>925</v>
      </c>
      <c r="E6" s="510" t="s">
        <v>929</v>
      </c>
      <c r="F6" s="511" t="s">
        <v>944</v>
      </c>
    </row>
    <row r="7" spans="2:6" ht="15">
      <c r="B7" s="522" t="s">
        <v>303</v>
      </c>
      <c r="C7" s="588">
        <v>221038</v>
      </c>
      <c r="D7" s="534">
        <v>191038</v>
      </c>
      <c r="E7" s="534">
        <f>C28</f>
        <v>181705</v>
      </c>
      <c r="F7" s="525">
        <f>E28</f>
        <v>134705</v>
      </c>
    </row>
    <row r="8" spans="2:6" ht="14.25">
      <c r="B8" s="564" t="s">
        <v>305</v>
      </c>
      <c r="C8" s="578"/>
      <c r="D8" s="474"/>
      <c r="E8" s="474"/>
      <c r="F8" s="474"/>
    </row>
    <row r="9" spans="2:6" ht="14.25">
      <c r="B9" s="567" t="s">
        <v>870</v>
      </c>
      <c r="C9" s="504">
        <v>0</v>
      </c>
      <c r="D9" s="504">
        <v>0</v>
      </c>
      <c r="E9" s="504">
        <v>0</v>
      </c>
      <c r="F9" s="504">
        <v>0</v>
      </c>
    </row>
    <row r="10" spans="2:6" ht="14.25">
      <c r="B10" s="567" t="s">
        <v>995</v>
      </c>
      <c r="C10" s="504">
        <v>12984</v>
      </c>
      <c r="D10" s="504">
        <v>30000</v>
      </c>
      <c r="E10" s="504">
        <v>13000</v>
      </c>
      <c r="F10" s="504">
        <v>13000</v>
      </c>
    </row>
    <row r="11" spans="2:6" ht="14.25">
      <c r="B11" s="567" t="s">
        <v>996</v>
      </c>
      <c r="C11" s="504">
        <v>0</v>
      </c>
      <c r="D11" s="504">
        <v>0</v>
      </c>
      <c r="E11" s="504">
        <v>0</v>
      </c>
      <c r="F11" s="504">
        <v>0</v>
      </c>
    </row>
    <row r="12" spans="2:6" ht="14.25">
      <c r="B12" s="567" t="s">
        <v>997</v>
      </c>
      <c r="C12" s="504">
        <v>0</v>
      </c>
      <c r="D12" s="504">
        <v>0</v>
      </c>
      <c r="E12" s="504">
        <v>0</v>
      </c>
      <c r="F12" s="504">
        <v>0</v>
      </c>
    </row>
    <row r="13" spans="2:6" ht="14.25">
      <c r="B13" s="451" t="s">
        <v>68</v>
      </c>
      <c r="C13" s="504">
        <v>0</v>
      </c>
      <c r="D13" s="504">
        <v>0</v>
      </c>
      <c r="E13" s="504">
        <v>0</v>
      </c>
      <c r="F13" s="504">
        <v>0</v>
      </c>
    </row>
    <row r="14" spans="2:6" ht="14.25">
      <c r="B14" s="451" t="s">
        <v>69</v>
      </c>
      <c r="C14" s="579">
        <f>IF(C15*0.1&lt;C13,"Exceed 10% Rule","")</f>
      </c>
      <c r="D14" s="559">
        <f>IF(D15*0.1&lt;D13,"Exceed 10% Rule","")</f>
      </c>
      <c r="E14" s="559">
        <f>IF(E15*0.1&lt;E13,"Exceed 10% Rule","")</f>
      </c>
      <c r="F14" s="559">
        <f>IF(F15*0.1&lt;F13,"Exceed 10% Rule","")</f>
      </c>
    </row>
    <row r="15" spans="2:6" ht="15">
      <c r="B15" s="568" t="s">
        <v>160</v>
      </c>
      <c r="C15" s="580">
        <f>SUM(C9:C13)</f>
        <v>12984</v>
      </c>
      <c r="D15" s="554">
        <f>SUM(D9:D13)</f>
        <v>30000</v>
      </c>
      <c r="E15" s="560">
        <f>SUM(E9:E13)</f>
        <v>13000</v>
      </c>
      <c r="F15" s="560">
        <f>SUM(F9:F13)</f>
        <v>13000</v>
      </c>
    </row>
    <row r="16" spans="2:6" ht="15">
      <c r="B16" s="568" t="s">
        <v>161</v>
      </c>
      <c r="C16" s="580">
        <f>C15+C7</f>
        <v>234022</v>
      </c>
      <c r="D16" s="554">
        <f>D15+D7</f>
        <v>221038</v>
      </c>
      <c r="E16" s="560">
        <f>E15+E7</f>
        <v>194705</v>
      </c>
      <c r="F16" s="560">
        <f>F15+F7</f>
        <v>147705</v>
      </c>
    </row>
    <row r="17" spans="2:6" ht="14.25">
      <c r="B17" s="367" t="s">
        <v>163</v>
      </c>
      <c r="C17" s="577"/>
      <c r="D17" s="525"/>
      <c r="E17" s="525"/>
      <c r="F17" s="474"/>
    </row>
    <row r="18" spans="2:6" ht="14.25">
      <c r="B18" s="569" t="s">
        <v>932</v>
      </c>
      <c r="C18" s="504">
        <v>0</v>
      </c>
      <c r="D18" s="504">
        <v>0</v>
      </c>
      <c r="E18" s="504">
        <v>0</v>
      </c>
      <c r="F18" s="504">
        <v>0</v>
      </c>
    </row>
    <row r="19" spans="2:6" ht="14.25">
      <c r="B19" s="569" t="s">
        <v>933</v>
      </c>
      <c r="C19" s="504">
        <v>0</v>
      </c>
      <c r="D19" s="504">
        <v>0</v>
      </c>
      <c r="E19" s="504">
        <v>0</v>
      </c>
      <c r="F19" s="504">
        <v>0</v>
      </c>
    </row>
    <row r="20" spans="2:6" ht="14.25">
      <c r="B20" s="569" t="s">
        <v>934</v>
      </c>
      <c r="C20" s="504">
        <v>52317</v>
      </c>
      <c r="D20" s="504">
        <v>60000</v>
      </c>
      <c r="E20" s="504">
        <v>60000</v>
      </c>
      <c r="F20" s="504">
        <v>60000</v>
      </c>
    </row>
    <row r="21" spans="2:6" ht="14.25">
      <c r="B21" s="367" t="s">
        <v>935</v>
      </c>
      <c r="C21" s="504">
        <v>0</v>
      </c>
      <c r="D21" s="504">
        <v>0</v>
      </c>
      <c r="E21" s="504">
        <v>0</v>
      </c>
      <c r="F21" s="504">
        <v>0</v>
      </c>
    </row>
    <row r="22" spans="2:6" ht="14.25">
      <c r="B22" s="367" t="s">
        <v>949</v>
      </c>
      <c r="C22" s="504">
        <v>0</v>
      </c>
      <c r="D22" s="504">
        <v>0</v>
      </c>
      <c r="E22" s="504">
        <v>0</v>
      </c>
      <c r="F22" s="504">
        <v>0</v>
      </c>
    </row>
    <row r="23" spans="2:6" ht="14.25">
      <c r="B23" s="367" t="s">
        <v>936</v>
      </c>
      <c r="C23" s="504">
        <v>0</v>
      </c>
      <c r="D23" s="504">
        <v>0</v>
      </c>
      <c r="E23" s="504">
        <v>0</v>
      </c>
      <c r="F23" s="504">
        <v>0</v>
      </c>
    </row>
    <row r="24" spans="2:6" ht="14.25">
      <c r="B24" s="367" t="s">
        <v>182</v>
      </c>
      <c r="C24" s="504">
        <v>0</v>
      </c>
      <c r="D24" s="504">
        <v>0</v>
      </c>
      <c r="E24" s="504">
        <v>0</v>
      </c>
      <c r="F24" s="504">
        <v>0</v>
      </c>
    </row>
    <row r="25" spans="2:6" ht="14.25">
      <c r="B25" s="367" t="s">
        <v>68</v>
      </c>
      <c r="C25" s="504">
        <v>0</v>
      </c>
      <c r="D25" s="504">
        <v>0</v>
      </c>
      <c r="E25" s="504">
        <v>0</v>
      </c>
      <c r="F25" s="504">
        <v>0</v>
      </c>
    </row>
    <row r="26" spans="2:6" ht="14.25">
      <c r="B26" s="531" t="s">
        <v>702</v>
      </c>
      <c r="C26" s="579">
        <f>IF(C27*0.1&lt;C25,"Exceed 10% Rule","")</f>
      </c>
      <c r="D26" s="579">
        <f>IF(D27*0.1&lt;D25,"Exceed 10% Rule","")</f>
      </c>
      <c r="E26" s="579">
        <f>IF(E27*0.1&lt;E25,"Exceed 10% Rule","")</f>
      </c>
      <c r="F26" s="579">
        <f>IF(F27*0.1&lt;F25,"Exceed 10% Rule","")</f>
      </c>
    </row>
    <row r="27" spans="2:6" ht="15">
      <c r="B27" s="532" t="s">
        <v>164</v>
      </c>
      <c r="C27" s="580">
        <f>SUM(C18:C25)</f>
        <v>52317</v>
      </c>
      <c r="D27" s="560">
        <f>SUM(D18:D25)</f>
        <v>60000</v>
      </c>
      <c r="E27" s="560">
        <f>SUM(E18:E25)</f>
        <v>60000</v>
      </c>
      <c r="F27" s="560">
        <f>SUM(F18:F25)</f>
        <v>60000</v>
      </c>
    </row>
    <row r="28" spans="2:6" ht="14.25">
      <c r="B28" s="522" t="s">
        <v>304</v>
      </c>
      <c r="C28" s="581">
        <f>C16-C27</f>
        <v>181705</v>
      </c>
      <c r="D28" s="561">
        <f>D16-D27</f>
        <v>161038</v>
      </c>
      <c r="E28" s="561">
        <f>E16-E27</f>
        <v>134705</v>
      </c>
      <c r="F28" s="561">
        <f>F16-F27</f>
        <v>87705</v>
      </c>
    </row>
    <row r="29" spans="2:6" ht="15">
      <c r="B29" s="536" t="str">
        <f>CONCATENATE("",E$1-2,"/",E$1-1," Budget Authority Amount:")</f>
        <v>2010/2011 Budget Authority Amount:</v>
      </c>
      <c r="C29" s="577">
        <f>inputOth!B41</f>
        <v>60000</v>
      </c>
      <c r="D29" s="537">
        <f>inputPrYr!D29</f>
        <v>60000</v>
      </c>
      <c r="E29" s="565">
        <f>IF(E28&lt;0,"See Tab E","")</f>
      </c>
      <c r="F29" s="474"/>
    </row>
    <row r="30" spans="2:6" ht="15">
      <c r="B30" s="536"/>
      <c r="C30" s="582">
        <f>IF(C27&gt;C29,"See Tab A","")</f>
      </c>
      <c r="D30" s="539">
        <f>IF(D27&gt;D29,"See Tab C","")</f>
      </c>
      <c r="E30" s="556"/>
      <c r="F30" s="474"/>
    </row>
    <row r="31" spans="2:6" ht="15">
      <c r="B31" s="536"/>
      <c r="C31" s="582">
        <f>IF(C28&lt;0,"See Tab B","")</f>
      </c>
      <c r="D31" s="539">
        <f>IF(D28&lt;0,"See Tab D","")</f>
      </c>
      <c r="E31" s="556"/>
      <c r="F31" s="474"/>
    </row>
    <row r="32" spans="2:6" ht="14.25">
      <c r="B32" s="453"/>
      <c r="C32" s="583"/>
      <c r="D32" s="556"/>
      <c r="E32" s="556"/>
      <c r="F32" s="474"/>
    </row>
    <row r="33" spans="2:6" ht="14.25">
      <c r="B33" s="466" t="s">
        <v>155</v>
      </c>
      <c r="C33" s="515"/>
      <c r="D33" s="519"/>
      <c r="E33" s="519"/>
      <c r="F33" s="474"/>
    </row>
    <row r="34" spans="2:6" ht="14.25">
      <c r="B34" s="453"/>
      <c r="C34" s="467" t="str">
        <f aca="true" t="shared" si="0" ref="C34:E35">C5</f>
        <v>Prior Year</v>
      </c>
      <c r="D34" s="333">
        <f t="shared" si="0"/>
        <v>2011</v>
      </c>
      <c r="E34" s="333" t="str">
        <f t="shared" si="0"/>
        <v>Current Year</v>
      </c>
      <c r="F34" s="333" t="s">
        <v>931</v>
      </c>
    </row>
    <row r="35" spans="2:6" ht="15">
      <c r="B35" s="545" t="str">
        <f>inputPrYr!B30</f>
        <v>Register of Deeds Technology</v>
      </c>
      <c r="C35" s="566" t="str">
        <f t="shared" si="0"/>
        <v>Actual 2010</v>
      </c>
      <c r="D35" s="566" t="str">
        <f t="shared" si="0"/>
        <v>Original Budget</v>
      </c>
      <c r="E35" s="566" t="str">
        <f t="shared" si="0"/>
        <v>Amended 2011</v>
      </c>
      <c r="F35" s="511" t="s">
        <v>944</v>
      </c>
    </row>
    <row r="36" spans="2:6" ht="14.25">
      <c r="B36" s="570" t="s">
        <v>303</v>
      </c>
      <c r="C36" s="584">
        <v>93587</v>
      </c>
      <c r="D36" s="525">
        <v>49587</v>
      </c>
      <c r="E36" s="525">
        <f>C57</f>
        <v>121286</v>
      </c>
      <c r="F36" s="525">
        <f>E57</f>
        <v>62886</v>
      </c>
    </row>
    <row r="37" spans="2:6" ht="14.25">
      <c r="B37" s="570" t="s">
        <v>305</v>
      </c>
      <c r="C37" s="585"/>
      <c r="D37" s="474"/>
      <c r="E37" s="474"/>
      <c r="F37" s="474"/>
    </row>
    <row r="38" spans="2:6" ht="14.25">
      <c r="B38" s="288" t="s">
        <v>898</v>
      </c>
      <c r="C38" s="573">
        <v>129658</v>
      </c>
      <c r="D38" s="504">
        <v>140000</v>
      </c>
      <c r="E38" s="504">
        <v>125000</v>
      </c>
      <c r="F38" s="504">
        <v>130000</v>
      </c>
    </row>
    <row r="39" spans="2:6" ht="14.25">
      <c r="B39" s="288" t="s">
        <v>902</v>
      </c>
      <c r="C39" s="573">
        <v>1615</v>
      </c>
      <c r="D39" s="504">
        <v>500</v>
      </c>
      <c r="E39" s="504">
        <v>1600</v>
      </c>
      <c r="F39" s="504">
        <v>1600</v>
      </c>
    </row>
    <row r="40" spans="2:6" ht="14.25">
      <c r="B40" s="288" t="s">
        <v>997</v>
      </c>
      <c r="C40" s="573">
        <v>0</v>
      </c>
      <c r="D40" s="504">
        <v>0</v>
      </c>
      <c r="E40" s="504">
        <v>0</v>
      </c>
      <c r="F40" s="504">
        <v>0</v>
      </c>
    </row>
    <row r="41" spans="2:6" ht="14.25">
      <c r="B41" s="288" t="s">
        <v>970</v>
      </c>
      <c r="C41" s="573">
        <v>0</v>
      </c>
      <c r="D41" s="504">
        <v>0</v>
      </c>
      <c r="E41" s="504">
        <v>0</v>
      </c>
      <c r="F41" s="504">
        <v>0</v>
      </c>
    </row>
    <row r="42" spans="2:6" ht="14.25">
      <c r="B42" s="505" t="s">
        <v>68</v>
      </c>
      <c r="C42" s="573">
        <v>0</v>
      </c>
      <c r="D42" s="504">
        <v>0</v>
      </c>
      <c r="E42" s="504">
        <v>0</v>
      </c>
      <c r="F42" s="504">
        <v>0</v>
      </c>
    </row>
    <row r="43" spans="2:6" ht="14.25">
      <c r="B43" s="505" t="s">
        <v>69</v>
      </c>
      <c r="C43" s="586"/>
      <c r="D43" s="559">
        <f>IF(D44*0.1&lt;D42,"Exceed 10% Rule","")</f>
      </c>
      <c r="E43" s="559">
        <f>IF(E44*0.1&lt;E42,"Exceed 10% Rule","")</f>
      </c>
      <c r="F43" s="559"/>
    </row>
    <row r="44" spans="2:6" ht="15">
      <c r="B44" s="571" t="s">
        <v>160</v>
      </c>
      <c r="C44" s="554">
        <f>SUM(C38:C42)</f>
        <v>131273</v>
      </c>
      <c r="D44" s="554">
        <f>SUM(D38:D42)</f>
        <v>140500</v>
      </c>
      <c r="E44" s="560">
        <f>SUM(E38:E42)</f>
        <v>126600</v>
      </c>
      <c r="F44" s="560">
        <f>SUM(F38:F42)</f>
        <v>131600</v>
      </c>
    </row>
    <row r="45" spans="2:6" ht="15">
      <c r="B45" s="571" t="s">
        <v>161</v>
      </c>
      <c r="C45" s="554">
        <f>C36+C44</f>
        <v>224860</v>
      </c>
      <c r="D45" s="554">
        <f>D36+D44</f>
        <v>190087</v>
      </c>
      <c r="E45" s="560">
        <f>E36+E44</f>
        <v>247886</v>
      </c>
      <c r="F45" s="560">
        <f>F36+F44</f>
        <v>194486</v>
      </c>
    </row>
    <row r="46" spans="2:6" ht="14.25">
      <c r="B46" s="288" t="s">
        <v>163</v>
      </c>
      <c r="C46" s="573"/>
      <c r="D46" s="525"/>
      <c r="E46" s="525"/>
      <c r="F46" s="474"/>
    </row>
    <row r="47" spans="2:6" ht="14.25">
      <c r="B47" s="572" t="s">
        <v>932</v>
      </c>
      <c r="C47" s="573">
        <v>0</v>
      </c>
      <c r="D47" s="504">
        <v>0</v>
      </c>
      <c r="E47" s="504">
        <v>50000</v>
      </c>
      <c r="F47" s="504">
        <v>45000</v>
      </c>
    </row>
    <row r="48" spans="2:6" ht="14.25">
      <c r="B48" s="572" t="s">
        <v>933</v>
      </c>
      <c r="C48" s="573">
        <v>0</v>
      </c>
      <c r="D48" s="504">
        <v>0</v>
      </c>
      <c r="E48" s="504">
        <v>0</v>
      </c>
      <c r="F48" s="504">
        <v>0</v>
      </c>
    </row>
    <row r="49" spans="2:6" ht="14.25">
      <c r="B49" s="572" t="s">
        <v>934</v>
      </c>
      <c r="C49" s="573">
        <v>0</v>
      </c>
      <c r="D49" s="504">
        <v>0</v>
      </c>
      <c r="E49" s="504">
        <v>0</v>
      </c>
      <c r="F49" s="504">
        <v>0</v>
      </c>
    </row>
    <row r="50" spans="2:6" ht="14.25">
      <c r="B50" s="572" t="s">
        <v>935</v>
      </c>
      <c r="C50" s="573">
        <v>0</v>
      </c>
      <c r="D50" s="504">
        <v>0</v>
      </c>
      <c r="E50" s="504">
        <v>0</v>
      </c>
      <c r="F50" s="504">
        <v>0</v>
      </c>
    </row>
    <row r="51" spans="2:6" ht="14.25">
      <c r="B51" s="572" t="s">
        <v>938</v>
      </c>
      <c r="C51" s="573">
        <v>0</v>
      </c>
      <c r="D51" s="504">
        <v>25000</v>
      </c>
      <c r="E51" s="504">
        <v>25000</v>
      </c>
      <c r="F51" s="504">
        <v>0</v>
      </c>
    </row>
    <row r="52" spans="2:6" ht="14.25">
      <c r="B52" s="572" t="s">
        <v>936</v>
      </c>
      <c r="C52" s="573">
        <v>103574</v>
      </c>
      <c r="D52" s="504">
        <v>150000</v>
      </c>
      <c r="E52" s="504">
        <v>110000</v>
      </c>
      <c r="F52" s="504">
        <v>120000</v>
      </c>
    </row>
    <row r="53" spans="2:6" ht="14.25">
      <c r="B53" s="572" t="s">
        <v>182</v>
      </c>
      <c r="C53" s="573">
        <v>0</v>
      </c>
      <c r="D53" s="504">
        <v>0</v>
      </c>
      <c r="E53" s="504">
        <v>0</v>
      </c>
      <c r="F53" s="504">
        <v>0</v>
      </c>
    </row>
    <row r="54" spans="2:6" ht="14.25">
      <c r="B54" s="531" t="s">
        <v>68</v>
      </c>
      <c r="C54" s="573">
        <v>0</v>
      </c>
      <c r="D54" s="504">
        <v>0</v>
      </c>
      <c r="E54" s="504">
        <v>0</v>
      </c>
      <c r="F54" s="504">
        <v>0</v>
      </c>
    </row>
    <row r="55" spans="2:6" ht="14.25">
      <c r="B55" s="531" t="s">
        <v>702</v>
      </c>
      <c r="C55" s="579">
        <f>IF(C56*0.1&lt;C54,"Exceed 10% Rule","")</f>
      </c>
      <c r="D55" s="559">
        <f>IF(D56*0.1&lt;D54,"Exceed 10% Rule","")</f>
      </c>
      <c r="E55" s="559">
        <f>IF(E56*0.1&lt;E54,"Exceed 10% Rule","")</f>
      </c>
      <c r="F55" s="559"/>
    </row>
    <row r="56" spans="2:6" ht="15">
      <c r="B56" s="532" t="s">
        <v>164</v>
      </c>
      <c r="C56" s="580">
        <f>SUM(C47:C54)</f>
        <v>103574</v>
      </c>
      <c r="D56" s="560">
        <f>SUM(D47:D54)</f>
        <v>175000</v>
      </c>
      <c r="E56" s="560">
        <f>SUM(E47:E54)</f>
        <v>185000</v>
      </c>
      <c r="F56" s="560">
        <f>SUM(F47:F54)</f>
        <v>165000</v>
      </c>
    </row>
    <row r="57" spans="2:6" ht="14.25">
      <c r="B57" s="522" t="s">
        <v>304</v>
      </c>
      <c r="C57" s="581">
        <f>C45-C56</f>
        <v>121286</v>
      </c>
      <c r="D57" s="561">
        <f>D45-D56</f>
        <v>15087</v>
      </c>
      <c r="E57" s="561">
        <f>E45-E56</f>
        <v>62886</v>
      </c>
      <c r="F57" s="561">
        <f>F45-F56</f>
        <v>29486</v>
      </c>
    </row>
    <row r="58" spans="2:6" ht="15">
      <c r="B58" s="536" t="str">
        <f>CONCATENATE("",E$1-2,"/",E$1-1," Budget Authority Amount:")</f>
        <v>2010/2011 Budget Authority Amount:</v>
      </c>
      <c r="C58" s="577">
        <f>inputOth!B42</f>
        <v>175000</v>
      </c>
      <c r="D58" s="537">
        <f>inputPrYr!D30</f>
        <v>185000</v>
      </c>
      <c r="E58" s="562">
        <f>IF(E57&lt;0,"See Tab E","")</f>
      </c>
      <c r="F58" s="474"/>
    </row>
    <row r="59" spans="2:5" ht="15">
      <c r="B59" s="536"/>
      <c r="C59" s="582">
        <f>IF(C56&gt;C58,"See Tab A","")</f>
      </c>
      <c r="D59" s="539">
        <f>IF(D56&gt;D58,"See Tab C","")</f>
      </c>
      <c r="E59" s="453"/>
    </row>
    <row r="60" spans="2:5" ht="15">
      <c r="B60" s="536"/>
      <c r="C60" s="582">
        <f>IF(C57&lt;0,"See Tab B","")</f>
      </c>
      <c r="D60" s="539">
        <f>IF(D57&lt;0,"See Tab D","")</f>
      </c>
      <c r="E60" s="453"/>
    </row>
    <row r="61" spans="2:5" ht="14.25">
      <c r="B61" s="453"/>
      <c r="C61" s="536"/>
      <c r="D61" s="453"/>
      <c r="E61" s="453"/>
    </row>
    <row r="62" spans="2:5" ht="15">
      <c r="B62" s="536"/>
      <c r="C62" s="582"/>
      <c r="D62" s="453"/>
      <c r="E62" s="453"/>
    </row>
  </sheetData>
  <sheetProtection/>
  <conditionalFormatting sqref="D13">
    <cfRule type="cellIs" priority="13" dxfId="128" operator="greaterThan" stopIfTrue="1">
      <formula>$D$15*0.1</formula>
    </cfRule>
  </conditionalFormatting>
  <conditionalFormatting sqref="E13">
    <cfRule type="cellIs" priority="14" dxfId="128" operator="greaterThan" stopIfTrue="1">
      <formula>$E$15*0.1</formula>
    </cfRule>
  </conditionalFormatting>
  <conditionalFormatting sqref="C28 C57 E28">
    <cfRule type="cellIs" priority="21" dxfId="1" operator="lessThan" stopIfTrue="1">
      <formula>0</formula>
    </cfRule>
  </conditionalFormatting>
  <conditionalFormatting sqref="D27">
    <cfRule type="cellIs" priority="22" dxfId="1" operator="greaterThan" stopIfTrue="1">
      <formula>$D$29</formula>
    </cfRule>
  </conditionalFormatting>
  <conditionalFormatting sqref="C27">
    <cfRule type="cellIs" priority="23" dxfId="1" operator="greaterThan" stopIfTrue="1">
      <formula>$C$29</formula>
    </cfRule>
  </conditionalFormatting>
  <conditionalFormatting sqref="D56">
    <cfRule type="cellIs" priority="24" dxfId="1" operator="greaterThan" stopIfTrue="1">
      <formula>$D$58</formula>
    </cfRule>
  </conditionalFormatting>
  <conditionalFormatting sqref="C56">
    <cfRule type="cellIs" priority="25" dxfId="1" operator="greaterThan" stopIfTrue="1">
      <formula>$C$58</formula>
    </cfRule>
  </conditionalFormatting>
  <conditionalFormatting sqref="D28">
    <cfRule type="cellIs" priority="8" dxfId="0" operator="lessThan" stopIfTrue="1">
      <formula>0</formula>
    </cfRule>
  </conditionalFormatting>
  <conditionalFormatting sqref="D57">
    <cfRule type="cellIs" priority="7" dxfId="0" operator="lessThan" stopIfTrue="1">
      <formula>0</formula>
    </cfRule>
  </conditionalFormatting>
  <conditionalFormatting sqref="D57">
    <cfRule type="cellIs" priority="6" dxfId="1" operator="lessThan" stopIfTrue="1">
      <formula>0</formula>
    </cfRule>
  </conditionalFormatting>
  <conditionalFormatting sqref="E13:F13">
    <cfRule type="cellIs" priority="5" dxfId="128" operator="greaterThan" stopIfTrue="1">
      <formula>$D$15*0.1</formula>
    </cfRule>
  </conditionalFormatting>
  <conditionalFormatting sqref="F28">
    <cfRule type="cellIs" priority="4" dxfId="1" operator="lessThan" stopIfTrue="1">
      <formula>0</formula>
    </cfRule>
  </conditionalFormatting>
  <conditionalFormatting sqref="E56:F56">
    <cfRule type="cellIs" priority="3" dxfId="1" operator="greaterThan" stopIfTrue="1">
      <formula>$D$58</formula>
    </cfRule>
  </conditionalFormatting>
  <conditionalFormatting sqref="E57:F57">
    <cfRule type="cellIs" priority="2" dxfId="0" operator="lessThan" stopIfTrue="1">
      <formula>0</formula>
    </cfRule>
  </conditionalFormatting>
  <conditionalFormatting sqref="E57:F57">
    <cfRule type="cellIs" priority="1" dxfId="1"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oddFooter>&amp;C&amp;"Arial,Regular"&amp;11WY -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11" sqref="E11"/>
    </sheetView>
  </sheetViews>
  <sheetFormatPr defaultColWidth="8.796875" defaultRowHeight="15"/>
  <cols>
    <col min="1" max="1" width="11.59765625" style="671" customWidth="1"/>
    <col min="2" max="2" width="7.3984375" style="671" customWidth="1"/>
    <col min="3" max="3" width="11.59765625" style="671" customWidth="1"/>
    <col min="4" max="4" width="7.3984375" style="671" customWidth="1"/>
    <col min="5" max="5" width="11.59765625" style="671" customWidth="1"/>
    <col min="6" max="6" width="7.3984375" style="671" customWidth="1"/>
    <col min="7" max="7" width="11.59765625" style="671" customWidth="1"/>
    <col min="8" max="8" width="7.3984375" style="671" customWidth="1"/>
    <col min="9" max="9" width="11.59765625" style="671" customWidth="1"/>
    <col min="10" max="16384" width="8.8984375" style="671" customWidth="1"/>
  </cols>
  <sheetData>
    <row r="1" spans="1:11" ht="12.75">
      <c r="A1" s="757" t="str">
        <f>inputPrYr!$C$2</f>
        <v>Wyandotte County</v>
      </c>
      <c r="B1" s="758"/>
      <c r="C1" s="670"/>
      <c r="D1" s="670"/>
      <c r="E1" s="670"/>
      <c r="F1" s="759" t="s">
        <v>10</v>
      </c>
      <c r="G1" s="670"/>
      <c r="H1" s="670"/>
      <c r="I1" s="670"/>
      <c r="J1" s="670"/>
      <c r="K1" s="670">
        <f>inputPrYr!$C$4</f>
        <v>2012</v>
      </c>
    </row>
    <row r="2" spans="1:11" ht="12.75">
      <c r="A2" s="670"/>
      <c r="B2" s="670"/>
      <c r="C2" s="670"/>
      <c r="D2" s="670"/>
      <c r="E2" s="670"/>
      <c r="F2" s="760" t="str">
        <f>CONCATENATE("(Only the actual budget year for ",K1-2," is to be shown)")</f>
        <v>(Only the actual budget year for 2010 is to be shown)</v>
      </c>
      <c r="G2" s="670"/>
      <c r="H2" s="670"/>
      <c r="I2" s="670"/>
      <c r="J2" s="670"/>
      <c r="K2" s="670"/>
    </row>
    <row r="3" spans="1:11" ht="12.75">
      <c r="A3" s="670" t="s">
        <v>11</v>
      </c>
      <c r="B3" s="670"/>
      <c r="C3" s="670"/>
      <c r="D3" s="670"/>
      <c r="E3" s="670"/>
      <c r="F3" s="758"/>
      <c r="G3" s="670"/>
      <c r="H3" s="670"/>
      <c r="I3" s="670"/>
      <c r="J3" s="670"/>
      <c r="K3" s="670"/>
    </row>
    <row r="4" spans="1:11" ht="12.75">
      <c r="A4" s="670" t="s">
        <v>12</v>
      </c>
      <c r="B4" s="670"/>
      <c r="C4" s="670" t="s">
        <v>13</v>
      </c>
      <c r="D4" s="670"/>
      <c r="E4" s="670" t="s">
        <v>14</v>
      </c>
      <c r="F4" s="758"/>
      <c r="G4" s="670" t="s">
        <v>15</v>
      </c>
      <c r="H4" s="670"/>
      <c r="I4" s="670" t="s">
        <v>16</v>
      </c>
      <c r="J4" s="670"/>
      <c r="K4" s="670"/>
    </row>
    <row r="5" spans="1:11" ht="12.75">
      <c r="A5" s="832" t="str">
        <f>IF(inputPrYr!B34&gt;" ",(inputPrYr!B34)," ")</f>
        <v>Special Prosecutor's Trust</v>
      </c>
      <c r="B5" s="833"/>
      <c r="C5" s="832" t="str">
        <f>IF(inputPrYr!B35&gt;" ",(inputPrYr!B35)," ")</f>
        <v>Aging Grants</v>
      </c>
      <c r="D5" s="833"/>
      <c r="E5" s="832" t="str">
        <f>IF(inputPrYr!B36&gt;" ",(inputPrYr!B36)," ")</f>
        <v>Community Corrections Grants</v>
      </c>
      <c r="F5" s="833"/>
      <c r="G5" s="832" t="str">
        <f>IF(inputPrYr!B37&gt;" ",(inputPrYr!B37)," ")</f>
        <v>Developmental Disabilities Grants</v>
      </c>
      <c r="H5" s="833"/>
      <c r="I5" s="832" t="str">
        <f>IF(inputPrYr!B38&gt;" ",(inputPrYr!B38)," ")</f>
        <v>County Grants</v>
      </c>
      <c r="J5" s="833"/>
      <c r="K5" s="762"/>
    </row>
    <row r="6" spans="1:11" ht="12.75">
      <c r="A6" s="763" t="s">
        <v>17</v>
      </c>
      <c r="B6" s="761"/>
      <c r="C6" s="764" t="s">
        <v>17</v>
      </c>
      <c r="D6" s="765"/>
      <c r="E6" s="764" t="s">
        <v>17</v>
      </c>
      <c r="F6" s="761"/>
      <c r="G6" s="764" t="s">
        <v>17</v>
      </c>
      <c r="H6" s="766"/>
      <c r="I6" s="764" t="s">
        <v>17</v>
      </c>
      <c r="J6" s="670"/>
      <c r="K6" s="765" t="s">
        <v>124</v>
      </c>
    </row>
    <row r="7" spans="1:11" ht="12.75">
      <c r="A7" s="767" t="s">
        <v>79</v>
      </c>
      <c r="B7" s="768">
        <v>48991</v>
      </c>
      <c r="C7" s="762" t="s">
        <v>79</v>
      </c>
      <c r="D7" s="768">
        <v>707429</v>
      </c>
      <c r="E7" s="762" t="s">
        <v>79</v>
      </c>
      <c r="F7" s="768">
        <v>134252</v>
      </c>
      <c r="G7" s="762" t="s">
        <v>79</v>
      </c>
      <c r="H7" s="768">
        <v>362390</v>
      </c>
      <c r="I7" s="762" t="s">
        <v>79</v>
      </c>
      <c r="J7" s="768">
        <v>-27362</v>
      </c>
      <c r="K7" s="769">
        <f>SUM(B7+D7+F7+H7+J7)</f>
        <v>1225700</v>
      </c>
    </row>
    <row r="8" spans="1:11" ht="12.75">
      <c r="A8" s="670" t="s">
        <v>305</v>
      </c>
      <c r="B8" s="770"/>
      <c r="C8" s="670" t="s">
        <v>305</v>
      </c>
      <c r="D8" s="758"/>
      <c r="E8" s="670" t="s">
        <v>305</v>
      </c>
      <c r="F8" s="758"/>
      <c r="G8" s="670" t="s">
        <v>305</v>
      </c>
      <c r="H8" s="670"/>
      <c r="I8" s="670" t="s">
        <v>305</v>
      </c>
      <c r="J8" s="670"/>
      <c r="K8" s="758"/>
    </row>
    <row r="9" spans="1:11" ht="12.75">
      <c r="A9" s="614" t="s">
        <v>1015</v>
      </c>
      <c r="B9" s="616">
        <v>1994</v>
      </c>
      <c r="C9" s="614" t="s">
        <v>1015</v>
      </c>
      <c r="D9" s="616">
        <v>0</v>
      </c>
      <c r="E9" s="614" t="s">
        <v>1015</v>
      </c>
      <c r="F9" s="616">
        <v>0</v>
      </c>
      <c r="G9" s="614" t="s">
        <v>1015</v>
      </c>
      <c r="H9" s="616">
        <v>0</v>
      </c>
      <c r="I9" s="614" t="s">
        <v>1015</v>
      </c>
      <c r="J9" s="616">
        <v>0</v>
      </c>
      <c r="K9" s="758"/>
    </row>
    <row r="10" spans="1:11" ht="12.75">
      <c r="A10" s="615" t="s">
        <v>1016</v>
      </c>
      <c r="B10" s="616">
        <v>0</v>
      </c>
      <c r="C10" s="615" t="s">
        <v>1016</v>
      </c>
      <c r="D10" s="616">
        <v>2279708</v>
      </c>
      <c r="E10" s="615" t="s">
        <v>1016</v>
      </c>
      <c r="F10" s="616">
        <v>2513320</v>
      </c>
      <c r="G10" s="615" t="s">
        <v>1016</v>
      </c>
      <c r="H10" s="616">
        <v>548301</v>
      </c>
      <c r="I10" s="615" t="s">
        <v>1016</v>
      </c>
      <c r="J10" s="616">
        <v>4022768</v>
      </c>
      <c r="K10" s="758"/>
    </row>
    <row r="11" spans="1:11" ht="12.75">
      <c r="A11" s="615" t="s">
        <v>1017</v>
      </c>
      <c r="B11" s="616">
        <v>0</v>
      </c>
      <c r="C11" s="615" t="s">
        <v>1017</v>
      </c>
      <c r="D11" s="616">
        <v>75467</v>
      </c>
      <c r="E11" s="615" t="s">
        <v>1017</v>
      </c>
      <c r="F11" s="616">
        <v>0</v>
      </c>
      <c r="G11" s="615" t="s">
        <v>1017</v>
      </c>
      <c r="H11" s="616">
        <v>0</v>
      </c>
      <c r="I11" s="615" t="s">
        <v>1017</v>
      </c>
      <c r="J11" s="616">
        <v>0</v>
      </c>
      <c r="K11" s="758"/>
    </row>
    <row r="12" spans="1:11" ht="12.75">
      <c r="A12" s="615" t="s">
        <v>1018</v>
      </c>
      <c r="B12" s="616">
        <v>0</v>
      </c>
      <c r="C12" s="615" t="s">
        <v>1018</v>
      </c>
      <c r="D12" s="616">
        <v>0</v>
      </c>
      <c r="E12" s="615" t="s">
        <v>1018</v>
      </c>
      <c r="F12" s="616">
        <v>0</v>
      </c>
      <c r="G12" s="615" t="s">
        <v>1018</v>
      </c>
      <c r="H12" s="616">
        <v>0</v>
      </c>
      <c r="I12" s="615" t="s">
        <v>1018</v>
      </c>
      <c r="J12" s="616">
        <v>0</v>
      </c>
      <c r="K12" s="758"/>
    </row>
    <row r="13" spans="1:11" ht="12.75">
      <c r="A13" s="615" t="s">
        <v>970</v>
      </c>
      <c r="B13" s="616">
        <v>0</v>
      </c>
      <c r="C13" s="615" t="s">
        <v>970</v>
      </c>
      <c r="D13" s="616">
        <v>0</v>
      </c>
      <c r="E13" s="615" t="s">
        <v>970</v>
      </c>
      <c r="F13" s="616">
        <v>3359</v>
      </c>
      <c r="G13" s="615" t="s">
        <v>970</v>
      </c>
      <c r="H13" s="616">
        <v>0</v>
      </c>
      <c r="I13" s="615" t="s">
        <v>970</v>
      </c>
      <c r="J13" s="616">
        <v>298897</v>
      </c>
      <c r="K13" s="758"/>
    </row>
    <row r="14" spans="1:11" ht="12.75">
      <c r="A14" s="615" t="s">
        <v>1019</v>
      </c>
      <c r="B14" s="616">
        <v>53937</v>
      </c>
      <c r="C14" s="615" t="s">
        <v>1019</v>
      </c>
      <c r="D14" s="616">
        <v>0</v>
      </c>
      <c r="E14" s="615" t="s">
        <v>1019</v>
      </c>
      <c r="F14" s="616">
        <v>0</v>
      </c>
      <c r="G14" s="615" t="s">
        <v>1019</v>
      </c>
      <c r="H14" s="616">
        <v>0</v>
      </c>
      <c r="I14" s="615" t="s">
        <v>1019</v>
      </c>
      <c r="J14" s="616">
        <v>11783</v>
      </c>
      <c r="K14" s="758"/>
    </row>
    <row r="15" spans="1:11" ht="12.75">
      <c r="A15" s="615" t="s">
        <v>68</v>
      </c>
      <c r="B15" s="616">
        <v>0</v>
      </c>
      <c r="C15" s="615" t="s">
        <v>68</v>
      </c>
      <c r="D15" s="616">
        <v>13614</v>
      </c>
      <c r="E15" s="615" t="s">
        <v>68</v>
      </c>
      <c r="F15" s="616">
        <v>0</v>
      </c>
      <c r="G15" s="615" t="s">
        <v>68</v>
      </c>
      <c r="H15" s="616">
        <v>0</v>
      </c>
      <c r="I15" s="615" t="s">
        <v>68</v>
      </c>
      <c r="J15" s="616">
        <v>283345</v>
      </c>
      <c r="K15" s="758"/>
    </row>
    <row r="16" spans="1:11" ht="12.75">
      <c r="A16" s="615" t="s">
        <v>1020</v>
      </c>
      <c r="B16" s="616">
        <v>19389</v>
      </c>
      <c r="C16" s="615" t="s">
        <v>1020</v>
      </c>
      <c r="D16" s="616">
        <v>67202</v>
      </c>
      <c r="E16" s="615" t="s">
        <v>1020</v>
      </c>
      <c r="F16" s="616">
        <v>0</v>
      </c>
      <c r="G16" s="615" t="s">
        <v>1020</v>
      </c>
      <c r="H16" s="616">
        <v>0</v>
      </c>
      <c r="I16" s="615" t="s">
        <v>1020</v>
      </c>
      <c r="J16" s="616">
        <v>0</v>
      </c>
      <c r="K16" s="758"/>
    </row>
    <row r="17" spans="1:11" ht="12.75">
      <c r="A17" s="670" t="s">
        <v>160</v>
      </c>
      <c r="B17" s="771">
        <f>SUM(B9:B16)</f>
        <v>75320</v>
      </c>
      <c r="C17" s="670" t="s">
        <v>160</v>
      </c>
      <c r="D17" s="769">
        <f>SUM(D9:D16)</f>
        <v>2435991</v>
      </c>
      <c r="E17" s="670" t="s">
        <v>160</v>
      </c>
      <c r="F17" s="772">
        <f>SUM(F9:F16)</f>
        <v>2516679</v>
      </c>
      <c r="G17" s="670" t="s">
        <v>160</v>
      </c>
      <c r="H17" s="769">
        <f>SUM(H9:H16)</f>
        <v>548301</v>
      </c>
      <c r="I17" s="670" t="s">
        <v>160</v>
      </c>
      <c r="J17" s="769">
        <f>SUM(J9:J16)</f>
        <v>4616793</v>
      </c>
      <c r="K17" s="769">
        <f>SUM(B17+D17+F17+H17+J17)</f>
        <v>10193084</v>
      </c>
    </row>
    <row r="18" spans="1:11" ht="12.75">
      <c r="A18" s="670" t="s">
        <v>161</v>
      </c>
      <c r="B18" s="771">
        <f>SUM(B7+B17)</f>
        <v>124311</v>
      </c>
      <c r="C18" s="670" t="s">
        <v>161</v>
      </c>
      <c r="D18" s="769">
        <f>SUM(D7+D17)</f>
        <v>3143420</v>
      </c>
      <c r="E18" s="670" t="s">
        <v>161</v>
      </c>
      <c r="F18" s="769">
        <f>SUM(F7+F17)</f>
        <v>2650931</v>
      </c>
      <c r="G18" s="670" t="s">
        <v>161</v>
      </c>
      <c r="H18" s="769">
        <f>SUM(H7+H17)</f>
        <v>910691</v>
      </c>
      <c r="I18" s="670" t="s">
        <v>161</v>
      </c>
      <c r="J18" s="769">
        <f>SUM(J7+J17)</f>
        <v>4589431</v>
      </c>
      <c r="K18" s="769">
        <f>SUM(B18+D18+F18+H18+J18)</f>
        <v>11418784</v>
      </c>
    </row>
    <row r="19" spans="1:11" ht="12.75">
      <c r="A19" s="670" t="s">
        <v>163</v>
      </c>
      <c r="B19" s="770"/>
      <c r="C19" s="670" t="s">
        <v>163</v>
      </c>
      <c r="D19" s="758"/>
      <c r="E19" s="670" t="s">
        <v>163</v>
      </c>
      <c r="F19" s="758"/>
      <c r="G19" s="670" t="s">
        <v>163</v>
      </c>
      <c r="H19" s="670"/>
      <c r="I19" s="670" t="s">
        <v>163</v>
      </c>
      <c r="J19" s="670"/>
      <c r="K19" s="758"/>
    </row>
    <row r="20" spans="1:11" ht="12.75">
      <c r="A20" s="615" t="s">
        <v>1021</v>
      </c>
      <c r="B20" s="616">
        <v>15539</v>
      </c>
      <c r="C20" s="615" t="s">
        <v>1021</v>
      </c>
      <c r="D20" s="616">
        <v>1172908</v>
      </c>
      <c r="E20" s="615" t="s">
        <v>1021</v>
      </c>
      <c r="F20" s="616">
        <v>237904</v>
      </c>
      <c r="G20" s="615" t="s">
        <v>1021</v>
      </c>
      <c r="H20" s="616">
        <v>136541</v>
      </c>
      <c r="I20" s="615" t="s">
        <v>1021</v>
      </c>
      <c r="J20" s="616">
        <v>1366666</v>
      </c>
      <c r="K20" s="758"/>
    </row>
    <row r="21" spans="1:11" ht="12.75">
      <c r="A21" s="615" t="s">
        <v>1022</v>
      </c>
      <c r="B21" s="616">
        <v>0</v>
      </c>
      <c r="C21" s="615" t="s">
        <v>1022</v>
      </c>
      <c r="D21" s="616">
        <v>564976</v>
      </c>
      <c r="E21" s="615" t="s">
        <v>1022</v>
      </c>
      <c r="F21" s="616">
        <v>92846</v>
      </c>
      <c r="G21" s="615" t="s">
        <v>1022</v>
      </c>
      <c r="H21" s="616">
        <v>3000</v>
      </c>
      <c r="I21" s="615" t="s">
        <v>1022</v>
      </c>
      <c r="J21" s="616">
        <v>553199</v>
      </c>
      <c r="K21" s="758"/>
    </row>
    <row r="22" spans="1:11" ht="12.75">
      <c r="A22" s="615" t="s">
        <v>936</v>
      </c>
      <c r="B22" s="616">
        <v>43635</v>
      </c>
      <c r="C22" s="615" t="s">
        <v>936</v>
      </c>
      <c r="D22" s="616">
        <v>0</v>
      </c>
      <c r="E22" s="615" t="s">
        <v>936</v>
      </c>
      <c r="F22" s="616">
        <v>0</v>
      </c>
      <c r="G22" s="615" t="s">
        <v>936</v>
      </c>
      <c r="H22" s="616">
        <v>0</v>
      </c>
      <c r="I22" s="615" t="s">
        <v>936</v>
      </c>
      <c r="J22" s="616">
        <v>1382379</v>
      </c>
      <c r="K22" s="758"/>
    </row>
    <row r="23" spans="1:11" ht="12.75">
      <c r="A23" s="615" t="s">
        <v>1023</v>
      </c>
      <c r="B23" s="616">
        <v>0</v>
      </c>
      <c r="C23" s="615" t="s">
        <v>1023</v>
      </c>
      <c r="D23" s="616">
        <v>0</v>
      </c>
      <c r="E23" s="615" t="s">
        <v>1023</v>
      </c>
      <c r="F23" s="616">
        <v>1471</v>
      </c>
      <c r="G23" s="615" t="s">
        <v>1023</v>
      </c>
      <c r="H23" s="616">
        <v>15648</v>
      </c>
      <c r="I23" s="615" t="s">
        <v>1023</v>
      </c>
      <c r="J23" s="616">
        <v>4191</v>
      </c>
      <c r="K23" s="758"/>
    </row>
    <row r="24" spans="1:11" ht="12.75">
      <c r="A24" s="615" t="s">
        <v>1024</v>
      </c>
      <c r="B24" s="616"/>
      <c r="C24" s="615" t="s">
        <v>1024</v>
      </c>
      <c r="D24" s="616">
        <v>67202</v>
      </c>
      <c r="E24" s="615" t="s">
        <v>1024</v>
      </c>
      <c r="F24" s="616"/>
      <c r="G24" s="615" t="s">
        <v>1024</v>
      </c>
      <c r="H24" s="616">
        <v>-6</v>
      </c>
      <c r="I24" s="615" t="s">
        <v>1024</v>
      </c>
      <c r="J24" s="616">
        <v>219874</v>
      </c>
      <c r="K24" s="758"/>
    </row>
    <row r="25" spans="1:11" ht="12.75">
      <c r="A25" s="617" t="s">
        <v>215</v>
      </c>
      <c r="B25" s="616">
        <v>10065</v>
      </c>
      <c r="C25" s="617" t="s">
        <v>932</v>
      </c>
      <c r="D25" s="616">
        <v>725372</v>
      </c>
      <c r="E25" s="617" t="s">
        <v>932</v>
      </c>
      <c r="F25" s="616">
        <v>2221365</v>
      </c>
      <c r="G25" s="617" t="s">
        <v>932</v>
      </c>
      <c r="H25" s="616">
        <v>253509</v>
      </c>
      <c r="I25" s="617" t="s">
        <v>932</v>
      </c>
      <c r="J25" s="616">
        <v>914076</v>
      </c>
      <c r="K25" s="758"/>
    </row>
    <row r="26" spans="1:11" ht="12.75">
      <c r="A26" s="617"/>
      <c r="B26" s="616"/>
      <c r="C26" s="617"/>
      <c r="D26" s="616"/>
      <c r="E26" s="617"/>
      <c r="F26" s="616"/>
      <c r="G26" s="617"/>
      <c r="H26" s="616"/>
      <c r="I26" s="617"/>
      <c r="J26" s="616"/>
      <c r="K26" s="758"/>
    </row>
    <row r="27" spans="1:11" ht="12.75">
      <c r="A27" s="617"/>
      <c r="B27" s="616"/>
      <c r="C27" s="617"/>
      <c r="D27" s="616"/>
      <c r="E27" s="617"/>
      <c r="F27" s="616"/>
      <c r="G27" s="617"/>
      <c r="H27" s="616"/>
      <c r="I27" s="617"/>
      <c r="J27" s="616"/>
      <c r="K27" s="758"/>
    </row>
    <row r="28" spans="1:11" ht="12.75">
      <c r="A28" s="670" t="s">
        <v>164</v>
      </c>
      <c r="B28" s="769">
        <f>SUM(B20:B27)</f>
        <v>69239</v>
      </c>
      <c r="C28" s="670" t="s">
        <v>164</v>
      </c>
      <c r="D28" s="769">
        <f>SUM(D20:D27)</f>
        <v>2530458</v>
      </c>
      <c r="E28" s="670" t="s">
        <v>164</v>
      </c>
      <c r="F28" s="772">
        <f>SUM(F20:F27)</f>
        <v>2553586</v>
      </c>
      <c r="G28" s="670" t="s">
        <v>164</v>
      </c>
      <c r="H28" s="772">
        <f>SUM(H20:H27)</f>
        <v>408692</v>
      </c>
      <c r="I28" s="670" t="s">
        <v>164</v>
      </c>
      <c r="J28" s="769">
        <f>SUM(J20:J27)</f>
        <v>4440385</v>
      </c>
      <c r="K28" s="769">
        <f>SUM(B28+D28+F28+H28+J28)</f>
        <v>10002360</v>
      </c>
    </row>
    <row r="29" spans="1:12" ht="12.75">
      <c r="A29" s="670" t="s">
        <v>18</v>
      </c>
      <c r="B29" s="769">
        <f>B18-B28</f>
        <v>55072</v>
      </c>
      <c r="C29" s="670" t="s">
        <v>18</v>
      </c>
      <c r="D29" s="769">
        <f>D18-D28</f>
        <v>612962</v>
      </c>
      <c r="E29" s="670" t="s">
        <v>18</v>
      </c>
      <c r="F29" s="769">
        <f>F18-F28</f>
        <v>97345</v>
      </c>
      <c r="G29" s="670" t="s">
        <v>18</v>
      </c>
      <c r="H29" s="769">
        <f>H18-H28</f>
        <v>501999</v>
      </c>
      <c r="I29" s="670" t="s">
        <v>18</v>
      </c>
      <c r="J29" s="769">
        <f>J18-J28</f>
        <v>149046</v>
      </c>
      <c r="K29" s="773">
        <f>SUM(B29+D29+F29+H29+J29)</f>
        <v>1416424</v>
      </c>
      <c r="L29" s="671" t="s">
        <v>52</v>
      </c>
    </row>
    <row r="30" spans="1:12" ht="12.75">
      <c r="A30" s="670"/>
      <c r="B30" s="774">
        <f>IF(B29&lt;0,"See Tab B","")</f>
      </c>
      <c r="C30" s="670"/>
      <c r="D30" s="774">
        <f>IF(D29&lt;0,"See Tab B","")</f>
      </c>
      <c r="E30" s="670"/>
      <c r="F30" s="774">
        <f>IF(F29&lt;0,"See Tab B","")</f>
      </c>
      <c r="G30" s="670"/>
      <c r="H30" s="774">
        <f>IF(H29&lt;0,"See Tab B","")</f>
      </c>
      <c r="I30" s="670"/>
      <c r="J30" s="774">
        <f>IF(J29&lt;0,"See Tab B","")</f>
      </c>
      <c r="K30" s="773">
        <f>SUM(K7+K17-K28)</f>
        <v>1416424</v>
      </c>
      <c r="L30" s="671" t="s">
        <v>52</v>
      </c>
    </row>
    <row r="31" spans="1:11" ht="12.75">
      <c r="A31" s="670"/>
      <c r="B31" s="775"/>
      <c r="C31" s="670"/>
      <c r="D31" s="758"/>
      <c r="E31" s="670"/>
      <c r="F31" s="670"/>
      <c r="G31" s="776" t="s">
        <v>53</v>
      </c>
      <c r="H31" s="776"/>
      <c r="I31" s="776"/>
      <c r="J31" s="776"/>
      <c r="K31" s="670"/>
    </row>
    <row r="32" spans="1:11" ht="12.75">
      <c r="A32" s="670"/>
      <c r="B32" s="775"/>
      <c r="C32" s="670"/>
      <c r="D32" s="670"/>
      <c r="E32" s="670"/>
      <c r="F32" s="670"/>
      <c r="G32" s="670"/>
      <c r="H32" s="670"/>
      <c r="I32" s="670"/>
      <c r="J32" s="670"/>
      <c r="K32" s="670"/>
    </row>
    <row r="33" spans="1:11" ht="12.75">
      <c r="A33" s="670"/>
      <c r="B33" s="775"/>
      <c r="C33" s="670"/>
      <c r="D33" s="670"/>
      <c r="E33" s="670"/>
      <c r="F33" s="670"/>
      <c r="G33" s="670"/>
      <c r="H33" s="670"/>
      <c r="I33" s="670"/>
      <c r="J33" s="670"/>
      <c r="K33" s="670"/>
    </row>
    <row r="34" ht="12.75">
      <c r="B34" s="777"/>
    </row>
    <row r="35" ht="12.75">
      <c r="B35" s="777"/>
    </row>
    <row r="36" ht="12.75">
      <c r="B36" s="777"/>
    </row>
    <row r="37" ht="12.75">
      <c r="B37" s="777"/>
    </row>
    <row r="38" ht="12.75">
      <c r="B38" s="777"/>
    </row>
    <row r="39" ht="12.75">
      <c r="B39" s="777"/>
    </row>
    <row r="40" ht="12.75">
      <c r="B40" s="777"/>
    </row>
    <row r="41" ht="12.75">
      <c r="B41" s="777"/>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oddFooter>&amp;C&amp;"Arial,Regular"&amp;11WY -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12" sqref="K12"/>
    </sheetView>
  </sheetViews>
  <sheetFormatPr defaultColWidth="16.09765625" defaultRowHeight="15"/>
  <cols>
    <col min="1" max="8" width="16.09765625" style="671" customWidth="1"/>
    <col min="9" max="10" width="16.09765625" style="671" hidden="1" customWidth="1"/>
    <col min="11" max="16384" width="16.09765625" style="671" customWidth="1"/>
  </cols>
  <sheetData>
    <row r="1" spans="1:11" ht="12.75">
      <c r="A1" s="757" t="str">
        <f>inputPrYr!$C$2</f>
        <v>Wyandotte County</v>
      </c>
      <c r="B1" s="758"/>
      <c r="C1" s="670"/>
      <c r="D1" s="670"/>
      <c r="E1" s="670"/>
      <c r="F1" s="759" t="s">
        <v>19</v>
      </c>
      <c r="G1" s="670"/>
      <c r="H1" s="670"/>
      <c r="I1" s="670"/>
      <c r="J1" s="670"/>
      <c r="K1" s="670">
        <f>inputPrYr!$C$4</f>
        <v>2012</v>
      </c>
    </row>
    <row r="2" spans="1:11" ht="12.75">
      <c r="A2" s="670"/>
      <c r="B2" s="670"/>
      <c r="C2" s="670"/>
      <c r="D2" s="670"/>
      <c r="E2" s="670"/>
      <c r="F2" s="760" t="str">
        <f>CONCATENATE("(Only the actual budget year for ",K1-2," is to be shown)")</f>
        <v>(Only the actual budget year for 2010 is to be shown)</v>
      </c>
      <c r="G2" s="670"/>
      <c r="H2" s="670"/>
      <c r="I2" s="670"/>
      <c r="J2" s="670"/>
      <c r="K2" s="670"/>
    </row>
    <row r="3" spans="1:11" ht="12.75">
      <c r="A3" s="670" t="s">
        <v>20</v>
      </c>
      <c r="B3" s="670"/>
      <c r="C3" s="670"/>
      <c r="D3" s="670"/>
      <c r="E3" s="670"/>
      <c r="F3" s="758"/>
      <c r="G3" s="670"/>
      <c r="H3" s="670"/>
      <c r="I3" s="670"/>
      <c r="J3" s="670"/>
      <c r="K3" s="670"/>
    </row>
    <row r="4" spans="1:11" ht="12.75">
      <c r="A4" s="670" t="s">
        <v>12</v>
      </c>
      <c r="B4" s="670"/>
      <c r="C4" s="670" t="s">
        <v>13</v>
      </c>
      <c r="D4" s="670"/>
      <c r="E4" s="670" t="s">
        <v>14</v>
      </c>
      <c r="F4" s="758"/>
      <c r="G4" s="670" t="s">
        <v>15</v>
      </c>
      <c r="H4" s="670"/>
      <c r="I4" s="670" t="s">
        <v>16</v>
      </c>
      <c r="J4" s="670"/>
      <c r="K4" s="670"/>
    </row>
    <row r="5" spans="1:11" ht="12.75">
      <c r="A5" s="832" t="str">
        <f>IF(inputPrYr!B40&gt;" ",(inputPrYr!B40)," ")</f>
        <v>Health Grants</v>
      </c>
      <c r="B5" s="833"/>
      <c r="C5" s="832" t="str">
        <f>IF(inputPrYr!B41&gt;" ",(inputPrYr!B41)," ")</f>
        <v> </v>
      </c>
      <c r="D5" s="833"/>
      <c r="E5" s="832" t="str">
        <f>IF(inputPrYr!B42&gt;" ",(inputPrYr!B42)," ")</f>
        <v> </v>
      </c>
      <c r="F5" s="833"/>
      <c r="G5" s="832" t="str">
        <f>IF(inputPrYr!B43&gt;" ",(inputPrYr!B43)," ")</f>
        <v> </v>
      </c>
      <c r="H5" s="833"/>
      <c r="I5" s="832" t="str">
        <f>IF(inputPrYr!B44&gt;" ",(inputPrYr!B44)," ")</f>
        <v> </v>
      </c>
      <c r="J5" s="833"/>
      <c r="K5" s="762"/>
    </row>
    <row r="6" spans="1:11" ht="12.75">
      <c r="A6" s="763" t="s">
        <v>17</v>
      </c>
      <c r="B6" s="761"/>
      <c r="C6" s="764" t="s">
        <v>17</v>
      </c>
      <c r="D6" s="765"/>
      <c r="E6" s="764" t="s">
        <v>17</v>
      </c>
      <c r="F6" s="761"/>
      <c r="G6" s="764" t="s">
        <v>17</v>
      </c>
      <c r="H6" s="766"/>
      <c r="I6" s="764" t="s">
        <v>17</v>
      </c>
      <c r="J6" s="670"/>
      <c r="K6" s="765" t="s">
        <v>124</v>
      </c>
    </row>
    <row r="7" spans="1:11" ht="12.75">
      <c r="A7" s="767" t="s">
        <v>79</v>
      </c>
      <c r="B7" s="778">
        <v>-1038151</v>
      </c>
      <c r="C7" s="762" t="s">
        <v>79</v>
      </c>
      <c r="D7" s="768"/>
      <c r="E7" s="762" t="s">
        <v>79</v>
      </c>
      <c r="F7" s="768"/>
      <c r="G7" s="762" t="s">
        <v>79</v>
      </c>
      <c r="H7" s="768"/>
      <c r="I7" s="762" t="s">
        <v>79</v>
      </c>
      <c r="J7" s="768"/>
      <c r="K7" s="769">
        <f>SUM(B7+D7+F7+H7+J7)</f>
        <v>-1038151</v>
      </c>
    </row>
    <row r="8" spans="1:11" ht="12.75">
      <c r="A8" s="670" t="s">
        <v>305</v>
      </c>
      <c r="B8" s="779"/>
      <c r="C8" s="670" t="s">
        <v>305</v>
      </c>
      <c r="D8" s="758"/>
      <c r="E8" s="670" t="s">
        <v>305</v>
      </c>
      <c r="F8" s="758"/>
      <c r="G8" s="670" t="s">
        <v>305</v>
      </c>
      <c r="H8" s="670"/>
      <c r="I8" s="670" t="s">
        <v>305</v>
      </c>
      <c r="J8" s="670"/>
      <c r="K8" s="758"/>
    </row>
    <row r="9" spans="1:11" ht="12.75">
      <c r="A9" s="614" t="s">
        <v>1015</v>
      </c>
      <c r="B9" s="618">
        <v>0</v>
      </c>
      <c r="C9" s="780"/>
      <c r="D9" s="768"/>
      <c r="E9" s="780"/>
      <c r="F9" s="768"/>
      <c r="G9" s="780"/>
      <c r="H9" s="768"/>
      <c r="I9" s="780"/>
      <c r="J9" s="768"/>
      <c r="K9" s="758"/>
    </row>
    <row r="10" spans="1:11" ht="12.75">
      <c r="A10" s="615" t="s">
        <v>1016</v>
      </c>
      <c r="B10" s="619">
        <v>4411881</v>
      </c>
      <c r="C10" s="780"/>
      <c r="D10" s="768"/>
      <c r="E10" s="780"/>
      <c r="F10" s="768"/>
      <c r="G10" s="780"/>
      <c r="H10" s="768"/>
      <c r="I10" s="780"/>
      <c r="J10" s="768"/>
      <c r="K10" s="758"/>
    </row>
    <row r="11" spans="1:11" ht="12.75">
      <c r="A11" s="615" t="s">
        <v>1017</v>
      </c>
      <c r="B11" s="619">
        <v>0</v>
      </c>
      <c r="C11" s="781"/>
      <c r="D11" s="768"/>
      <c r="E11" s="781"/>
      <c r="F11" s="768"/>
      <c r="G11" s="781"/>
      <c r="H11" s="768"/>
      <c r="I11" s="782"/>
      <c r="J11" s="768"/>
      <c r="K11" s="758"/>
    </row>
    <row r="12" spans="1:11" ht="12.75">
      <c r="A12" s="615" t="s">
        <v>1018</v>
      </c>
      <c r="B12" s="619">
        <v>0</v>
      </c>
      <c r="C12" s="780"/>
      <c r="D12" s="768"/>
      <c r="E12" s="783"/>
      <c r="F12" s="768"/>
      <c r="G12" s="783"/>
      <c r="H12" s="768"/>
      <c r="I12" s="783"/>
      <c r="J12" s="768"/>
      <c r="K12" s="758"/>
    </row>
    <row r="13" spans="1:11" ht="12.75">
      <c r="A13" s="615" t="s">
        <v>970</v>
      </c>
      <c r="B13" s="619">
        <v>0</v>
      </c>
      <c r="C13" s="784"/>
      <c r="D13" s="768"/>
      <c r="E13" s="784"/>
      <c r="F13" s="768"/>
      <c r="G13" s="784"/>
      <c r="H13" s="768"/>
      <c r="I13" s="782"/>
      <c r="J13" s="768"/>
      <c r="K13" s="758"/>
    </row>
    <row r="14" spans="1:11" ht="12.75">
      <c r="A14" s="615" t="s">
        <v>1019</v>
      </c>
      <c r="B14" s="619">
        <v>0</v>
      </c>
      <c r="C14" s="783"/>
      <c r="D14" s="768"/>
      <c r="E14" s="783"/>
      <c r="F14" s="768"/>
      <c r="G14" s="783"/>
      <c r="H14" s="768"/>
      <c r="I14" s="783"/>
      <c r="J14" s="768"/>
      <c r="K14" s="758"/>
    </row>
    <row r="15" spans="1:11" ht="12.75">
      <c r="A15" s="615" t="s">
        <v>68</v>
      </c>
      <c r="B15" s="619">
        <v>449294</v>
      </c>
      <c r="C15" s="783"/>
      <c r="D15" s="768"/>
      <c r="E15" s="783"/>
      <c r="F15" s="768"/>
      <c r="G15" s="783"/>
      <c r="H15" s="768"/>
      <c r="I15" s="783"/>
      <c r="J15" s="768"/>
      <c r="K15" s="758"/>
    </row>
    <row r="16" spans="1:11" ht="12.75">
      <c r="A16" s="615" t="s">
        <v>1020</v>
      </c>
      <c r="B16" s="619"/>
      <c r="C16" s="780"/>
      <c r="D16" s="768"/>
      <c r="E16" s="780"/>
      <c r="F16" s="768"/>
      <c r="G16" s="783"/>
      <c r="H16" s="768"/>
      <c r="I16" s="780"/>
      <c r="J16" s="768"/>
      <c r="K16" s="758"/>
    </row>
    <row r="17" spans="1:11" ht="12.75">
      <c r="A17" s="670" t="s">
        <v>160</v>
      </c>
      <c r="B17" s="785">
        <f>SUM(B9:B16)</f>
        <v>4861175</v>
      </c>
      <c r="C17" s="670" t="s">
        <v>160</v>
      </c>
      <c r="D17" s="769">
        <f>SUM(D9:D16)</f>
        <v>0</v>
      </c>
      <c r="E17" s="670" t="s">
        <v>160</v>
      </c>
      <c r="F17" s="772">
        <f>SUM(F9:F16)</f>
        <v>0</v>
      </c>
      <c r="G17" s="670" t="s">
        <v>160</v>
      </c>
      <c r="H17" s="769">
        <f>SUM(H9:H16)</f>
        <v>0</v>
      </c>
      <c r="I17" s="670" t="s">
        <v>160</v>
      </c>
      <c r="J17" s="769">
        <f>SUM(J9:J16)</f>
        <v>0</v>
      </c>
      <c r="K17" s="769">
        <f>SUM(B17+D17+F17+H17+J17)</f>
        <v>4861175</v>
      </c>
    </row>
    <row r="18" spans="1:11" ht="12.75">
      <c r="A18" s="670" t="s">
        <v>161</v>
      </c>
      <c r="B18" s="785">
        <f>SUM(B7+B17)</f>
        <v>3823024</v>
      </c>
      <c r="C18" s="670" t="s">
        <v>161</v>
      </c>
      <c r="D18" s="769">
        <f>SUM(D7+D17)</f>
        <v>0</v>
      </c>
      <c r="E18" s="670" t="s">
        <v>161</v>
      </c>
      <c r="F18" s="769">
        <f>SUM(F7+F17)</f>
        <v>0</v>
      </c>
      <c r="G18" s="670" t="s">
        <v>161</v>
      </c>
      <c r="H18" s="769">
        <f>SUM(H7+H17)</f>
        <v>0</v>
      </c>
      <c r="I18" s="670" t="s">
        <v>161</v>
      </c>
      <c r="J18" s="769">
        <f>SUM(J7+J17)</f>
        <v>0</v>
      </c>
      <c r="K18" s="769">
        <f>SUM(B18+D18+F18+H18+J18)</f>
        <v>3823024</v>
      </c>
    </row>
    <row r="19" spans="1:11" ht="12.75">
      <c r="A19" s="670" t="s">
        <v>163</v>
      </c>
      <c r="B19" s="779"/>
      <c r="C19" s="670" t="s">
        <v>163</v>
      </c>
      <c r="D19" s="758"/>
      <c r="E19" s="670" t="s">
        <v>163</v>
      </c>
      <c r="F19" s="758"/>
      <c r="G19" s="670" t="s">
        <v>163</v>
      </c>
      <c r="H19" s="670"/>
      <c r="I19" s="670" t="s">
        <v>163</v>
      </c>
      <c r="J19" s="670"/>
      <c r="K19" s="758"/>
    </row>
    <row r="20" spans="1:11" ht="12.75">
      <c r="A20" s="615" t="s">
        <v>1021</v>
      </c>
      <c r="B20" s="619">
        <v>1472364</v>
      </c>
      <c r="C20" s="783"/>
      <c r="D20" s="768"/>
      <c r="E20" s="783"/>
      <c r="F20" s="768"/>
      <c r="G20" s="783"/>
      <c r="H20" s="768"/>
      <c r="I20" s="783"/>
      <c r="J20" s="768"/>
      <c r="K20" s="758"/>
    </row>
    <row r="21" spans="1:11" ht="12.75">
      <c r="A21" s="615" t="s">
        <v>1022</v>
      </c>
      <c r="B21" s="619">
        <v>353044</v>
      </c>
      <c r="C21" s="783"/>
      <c r="D21" s="768"/>
      <c r="E21" s="783"/>
      <c r="F21" s="768"/>
      <c r="G21" s="783"/>
      <c r="H21" s="768"/>
      <c r="I21" s="783"/>
      <c r="J21" s="768"/>
      <c r="K21" s="758"/>
    </row>
    <row r="22" spans="1:11" ht="12.75">
      <c r="A22" s="615" t="s">
        <v>936</v>
      </c>
      <c r="B22" s="619">
        <v>0</v>
      </c>
      <c r="C22" s="784"/>
      <c r="D22" s="768"/>
      <c r="E22" s="784"/>
      <c r="F22" s="768"/>
      <c r="G22" s="784"/>
      <c r="H22" s="768"/>
      <c r="I22" s="782"/>
      <c r="J22" s="768"/>
      <c r="K22" s="758"/>
    </row>
    <row r="23" spans="1:11" ht="12.75">
      <c r="A23" s="615" t="s">
        <v>1023</v>
      </c>
      <c r="B23" s="619">
        <v>0</v>
      </c>
      <c r="C23" s="783"/>
      <c r="D23" s="768"/>
      <c r="E23" s="783"/>
      <c r="F23" s="768"/>
      <c r="G23" s="783"/>
      <c r="H23" s="768"/>
      <c r="I23" s="783"/>
      <c r="J23" s="768"/>
      <c r="K23" s="758"/>
    </row>
    <row r="24" spans="1:11" ht="12.75">
      <c r="A24" s="615" t="s">
        <v>1024</v>
      </c>
      <c r="B24" s="619">
        <v>0</v>
      </c>
      <c r="C24" s="784"/>
      <c r="D24" s="768"/>
      <c r="E24" s="784"/>
      <c r="F24" s="768"/>
      <c r="G24" s="784"/>
      <c r="H24" s="768"/>
      <c r="I24" s="782"/>
      <c r="J24" s="768"/>
      <c r="K24" s="758"/>
    </row>
    <row r="25" spans="1:11" ht="12.75">
      <c r="A25" s="617" t="s">
        <v>932</v>
      </c>
      <c r="B25" s="620">
        <v>2956777</v>
      </c>
      <c r="C25" s="783"/>
      <c r="D25" s="768"/>
      <c r="E25" s="783"/>
      <c r="F25" s="768"/>
      <c r="G25" s="783"/>
      <c r="H25" s="768"/>
      <c r="I25" s="783"/>
      <c r="J25" s="768"/>
      <c r="K25" s="758"/>
    </row>
    <row r="26" spans="1:11" ht="12.75">
      <c r="A26" s="617"/>
      <c r="B26" s="620"/>
      <c r="C26" s="783"/>
      <c r="D26" s="768"/>
      <c r="E26" s="783"/>
      <c r="F26" s="768"/>
      <c r="G26" s="783"/>
      <c r="H26" s="768"/>
      <c r="I26" s="783"/>
      <c r="J26" s="768"/>
      <c r="K26" s="758"/>
    </row>
    <row r="27" spans="1:11" ht="12.75">
      <c r="A27" s="617"/>
      <c r="B27" s="620"/>
      <c r="C27" s="780"/>
      <c r="D27" s="768"/>
      <c r="E27" s="780"/>
      <c r="F27" s="768"/>
      <c r="G27" s="783"/>
      <c r="H27" s="768"/>
      <c r="I27" s="783"/>
      <c r="J27" s="768"/>
      <c r="K27" s="758"/>
    </row>
    <row r="28" spans="1:11" ht="12.75">
      <c r="A28" s="670" t="s">
        <v>164</v>
      </c>
      <c r="B28" s="785">
        <f>SUM(B20:B27)</f>
        <v>4782185</v>
      </c>
      <c r="C28" s="670" t="s">
        <v>164</v>
      </c>
      <c r="D28" s="769">
        <f>SUM(D20:D27)</f>
        <v>0</v>
      </c>
      <c r="E28" s="670" t="s">
        <v>164</v>
      </c>
      <c r="F28" s="772">
        <f>SUM(F20:F27)</f>
        <v>0</v>
      </c>
      <c r="G28" s="670" t="s">
        <v>164</v>
      </c>
      <c r="H28" s="772">
        <f>SUM(H20:H27)</f>
        <v>0</v>
      </c>
      <c r="I28" s="670" t="s">
        <v>164</v>
      </c>
      <c r="J28" s="769">
        <f>SUM(J20:J27)</f>
        <v>0</v>
      </c>
      <c r="K28" s="769">
        <f>SUM(B28+D28+F28+H28+J28)</f>
        <v>4782185</v>
      </c>
    </row>
    <row r="29" spans="1:12" ht="12.75">
      <c r="A29" s="670" t="s">
        <v>18</v>
      </c>
      <c r="B29" s="785">
        <f>B18-B28</f>
        <v>-959161</v>
      </c>
      <c r="C29" s="670" t="s">
        <v>18</v>
      </c>
      <c r="D29" s="769">
        <f>D18-D28</f>
        <v>0</v>
      </c>
      <c r="E29" s="670" t="s">
        <v>18</v>
      </c>
      <c r="F29" s="769">
        <f>F18-F28</f>
        <v>0</v>
      </c>
      <c r="G29" s="670" t="s">
        <v>18</v>
      </c>
      <c r="H29" s="769">
        <f>H18-H28</f>
        <v>0</v>
      </c>
      <c r="I29" s="670" t="s">
        <v>18</v>
      </c>
      <c r="J29" s="769">
        <f>J18-J28</f>
        <v>0</v>
      </c>
      <c r="K29" s="773">
        <f>SUM(B29+D29+F29+H29+J29)</f>
        <v>-959161</v>
      </c>
      <c r="L29" s="671" t="s">
        <v>52</v>
      </c>
    </row>
    <row r="30" spans="1:12" ht="12.75">
      <c r="A30" s="670"/>
      <c r="B30" s="774" t="str">
        <f>IF(B29&lt;0,"See Tab B","")</f>
        <v>See Tab B</v>
      </c>
      <c r="C30" s="670"/>
      <c r="D30" s="774">
        <f>IF(D29&lt;0,"See Tab B","")</f>
      </c>
      <c r="E30" s="670"/>
      <c r="F30" s="774">
        <f>IF(F29&lt;0,"See Tab B","")</f>
      </c>
      <c r="G30" s="670"/>
      <c r="H30" s="774">
        <f>IF(H29&lt;0,"See Tab B","")</f>
      </c>
      <c r="I30" s="670"/>
      <c r="J30" s="774">
        <f>IF(J29&lt;0,"See Tab B","")</f>
      </c>
      <c r="K30" s="773">
        <f>SUM(K7+K17-K28)</f>
        <v>-959161</v>
      </c>
      <c r="L30" s="671" t="s">
        <v>52</v>
      </c>
    </row>
    <row r="31" spans="1:11" ht="12.75">
      <c r="A31" s="670"/>
      <c r="B31" s="775"/>
      <c r="C31" s="670"/>
      <c r="D31" s="758"/>
      <c r="E31" s="670"/>
      <c r="F31" s="670"/>
      <c r="G31" s="776" t="s">
        <v>53</v>
      </c>
      <c r="H31" s="776"/>
      <c r="I31" s="776"/>
      <c r="J31" s="776"/>
      <c r="K31" s="670"/>
    </row>
    <row r="32" spans="1:11" ht="12.75">
      <c r="A32" s="670"/>
      <c r="B32" s="775"/>
      <c r="C32" s="670"/>
      <c r="D32" s="670"/>
      <c r="E32" s="670"/>
      <c r="F32" s="670"/>
      <c r="G32" s="670"/>
      <c r="H32" s="670"/>
      <c r="I32" s="670"/>
      <c r="J32" s="670"/>
      <c r="K32" s="670"/>
    </row>
    <row r="33" spans="1:11" ht="12.75">
      <c r="A33" s="670"/>
      <c r="B33" s="775"/>
      <c r="C33" s="670"/>
      <c r="D33" s="670"/>
      <c r="E33" s="670"/>
      <c r="F33" s="670"/>
      <c r="G33" s="670"/>
      <c r="H33" s="670"/>
      <c r="I33" s="670"/>
      <c r="J33" s="670"/>
      <c r="K33" s="670"/>
    </row>
    <row r="34" ht="12.75">
      <c r="B34" s="777"/>
    </row>
    <row r="35" ht="12.75">
      <c r="B35" s="777"/>
    </row>
    <row r="36" ht="12.75">
      <c r="B36" s="777"/>
    </row>
    <row r="37" ht="12.75">
      <c r="B37" s="777"/>
    </row>
    <row r="38" ht="12.75">
      <c r="B38" s="777"/>
    </row>
    <row r="39" ht="12.75">
      <c r="B39" s="777"/>
    </row>
    <row r="40" ht="12.75">
      <c r="B40" s="777"/>
    </row>
    <row r="41" ht="12.75">
      <c r="B41" s="777"/>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58" r:id="rId1"/>
  <headerFooter alignWithMargins="0">
    <oddHeader>&amp;RState of Kansas
County</oddHeader>
    <oddFooter>&amp;C&amp;"Arial,Regular"&amp;11WY -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7">
      <selection activeCell="E28" sqref="E28"/>
    </sheetView>
  </sheetViews>
  <sheetFormatPr defaultColWidth="8.796875" defaultRowHeight="15.75" customHeight="1"/>
  <cols>
    <col min="1" max="2" width="3.296875" style="455" customWidth="1"/>
    <col min="3" max="3" width="31.296875" style="455" customWidth="1"/>
    <col min="4" max="4" width="2.296875" style="455" customWidth="1"/>
    <col min="5" max="5" width="15.796875" style="455" customWidth="1"/>
    <col min="6" max="6" width="2" style="455" customWidth="1"/>
    <col min="7" max="7" width="15.796875" style="455" customWidth="1"/>
    <col min="8" max="8" width="1.8984375" style="455" customWidth="1"/>
    <col min="9" max="9" width="1.796875" style="455" customWidth="1"/>
    <col min="10" max="10" width="15.796875" style="455" customWidth="1"/>
    <col min="11" max="16384" width="8.8984375" style="455" customWidth="1"/>
  </cols>
  <sheetData>
    <row r="1" spans="1:10" ht="15.75" customHeight="1">
      <c r="A1" s="453"/>
      <c r="B1" s="453"/>
      <c r="C1" s="512" t="s">
        <v>1007</v>
      </c>
      <c r="D1" s="453"/>
      <c r="E1" s="453"/>
      <c r="F1" s="453"/>
      <c r="G1" s="453"/>
      <c r="H1" s="453"/>
      <c r="I1" s="453"/>
      <c r="J1" s="453">
        <f>inputPrYr!C4</f>
        <v>2012</v>
      </c>
    </row>
    <row r="2" spans="1:10" ht="15.75" customHeight="1">
      <c r="A2" s="453"/>
      <c r="B2" s="453"/>
      <c r="C2" s="453"/>
      <c r="D2" s="453"/>
      <c r="E2" s="453"/>
      <c r="F2" s="453"/>
      <c r="G2" s="453"/>
      <c r="H2" s="453"/>
      <c r="I2" s="453"/>
      <c r="J2" s="453"/>
    </row>
    <row r="3" spans="1:10" ht="15">
      <c r="A3" s="787" t="str">
        <f>CONCATENATE("Computation to Determine Limit for ",J1,"")</f>
        <v>Computation to Determine Limit for 2012</v>
      </c>
      <c r="B3" s="800"/>
      <c r="C3" s="800"/>
      <c r="D3" s="800"/>
      <c r="E3" s="800"/>
      <c r="F3" s="800"/>
      <c r="G3" s="800"/>
      <c r="H3" s="800"/>
      <c r="I3" s="800"/>
      <c r="J3" s="800"/>
    </row>
    <row r="4" spans="1:10" ht="15">
      <c r="A4" s="453"/>
      <c r="B4" s="453"/>
      <c r="C4" s="453"/>
      <c r="D4" s="453"/>
      <c r="E4" s="800"/>
      <c r="F4" s="800"/>
      <c r="G4" s="800"/>
      <c r="H4" s="590"/>
      <c r="I4" s="453"/>
      <c r="J4" s="591" t="s">
        <v>269</v>
      </c>
    </row>
    <row r="5" spans="1:10" ht="14.25">
      <c r="A5" s="592" t="s">
        <v>270</v>
      </c>
      <c r="B5" s="453" t="str">
        <f>CONCATENATE("Total Tax Levy Amount in ",J1-1," Budget")</f>
        <v>Total Tax Levy Amount in 2011 Budget</v>
      </c>
      <c r="C5" s="453"/>
      <c r="D5" s="453"/>
      <c r="E5" s="556"/>
      <c r="F5" s="556"/>
      <c r="G5" s="556"/>
      <c r="H5" s="593" t="s">
        <v>271</v>
      </c>
      <c r="I5" s="556" t="s">
        <v>272</v>
      </c>
      <c r="J5" s="594">
        <v>1582937</v>
      </c>
    </row>
    <row r="6" spans="1:10" ht="14.25">
      <c r="A6" s="592" t="s">
        <v>273</v>
      </c>
      <c r="B6" s="453" t="str">
        <f>CONCATENATE("Debt Service Levy in ",J1-1," Budget")</f>
        <v>Debt Service Levy in 2011 Budget</v>
      </c>
      <c r="C6" s="453"/>
      <c r="D6" s="453"/>
      <c r="E6" s="556"/>
      <c r="F6" s="556"/>
      <c r="G6" s="556"/>
      <c r="H6" s="593" t="s">
        <v>274</v>
      </c>
      <c r="I6" s="556" t="s">
        <v>272</v>
      </c>
      <c r="J6" s="595">
        <v>0</v>
      </c>
    </row>
    <row r="7" spans="1:10" ht="15">
      <c r="A7" s="592" t="s">
        <v>275</v>
      </c>
      <c r="B7" s="516" t="s">
        <v>293</v>
      </c>
      <c r="C7" s="453"/>
      <c r="D7" s="453"/>
      <c r="E7" s="556"/>
      <c r="F7" s="556"/>
      <c r="G7" s="556"/>
      <c r="H7" s="556"/>
      <c r="I7" s="556" t="s">
        <v>272</v>
      </c>
      <c r="J7" s="595">
        <f>J5-J6</f>
        <v>1582937</v>
      </c>
    </row>
    <row r="8" spans="1:10" ht="14.25">
      <c r="A8" s="453"/>
      <c r="B8" s="453"/>
      <c r="C8" s="453"/>
      <c r="D8" s="453"/>
      <c r="E8" s="556"/>
      <c r="F8" s="556"/>
      <c r="G8" s="556"/>
      <c r="H8" s="556"/>
      <c r="I8" s="556"/>
      <c r="J8" s="556"/>
    </row>
    <row r="9" spans="1:10" ht="15">
      <c r="A9" s="453"/>
      <c r="B9" s="516" t="str">
        <f>CONCATENATE("",J1-1," Valuation Information for Valuation Adjustments:")</f>
        <v>2011 Valuation Information for Valuation Adjustments:</v>
      </c>
      <c r="C9" s="453"/>
      <c r="D9" s="453"/>
      <c r="E9" s="556"/>
      <c r="F9" s="556"/>
      <c r="G9" s="556"/>
      <c r="H9" s="556"/>
      <c r="I9" s="556"/>
      <c r="J9" s="556"/>
    </row>
    <row r="10" spans="1:10" ht="15">
      <c r="A10" s="453"/>
      <c r="B10" s="453"/>
      <c r="C10" s="516"/>
      <c r="D10" s="453"/>
      <c r="E10" s="556"/>
      <c r="F10" s="556"/>
      <c r="G10" s="556"/>
      <c r="H10" s="556"/>
      <c r="I10" s="556"/>
      <c r="J10" s="556"/>
    </row>
    <row r="11" spans="1:10" ht="15">
      <c r="A11" s="592" t="s">
        <v>276</v>
      </c>
      <c r="B11" s="516" t="str">
        <f>CONCATENATE("New Improvements for ",J1-1,":")</f>
        <v>New Improvements for 2011:</v>
      </c>
      <c r="C11" s="453"/>
      <c r="D11" s="453"/>
      <c r="E11" s="593"/>
      <c r="F11" s="593" t="s">
        <v>271</v>
      </c>
      <c r="G11" s="594">
        <v>4358591</v>
      </c>
      <c r="H11" s="589"/>
      <c r="I11" s="556"/>
      <c r="J11" s="556"/>
    </row>
    <row r="12" spans="1:10" ht="14.25">
      <c r="A12" s="592"/>
      <c r="B12" s="592"/>
      <c r="C12" s="453"/>
      <c r="D12" s="453"/>
      <c r="E12" s="593"/>
      <c r="F12" s="593"/>
      <c r="G12" s="589"/>
      <c r="H12" s="589"/>
      <c r="I12" s="556"/>
      <c r="J12" s="556"/>
    </row>
    <row r="13" spans="1:10" ht="15">
      <c r="A13" s="592" t="s">
        <v>277</v>
      </c>
      <c r="B13" s="516" t="str">
        <f>CONCATENATE("Increase in Personal Property for ",J1-1,":")</f>
        <v>Increase in Personal Property for 2011:</v>
      </c>
      <c r="C13" s="453"/>
      <c r="D13" s="453"/>
      <c r="E13" s="593"/>
      <c r="F13" s="593"/>
      <c r="G13" s="589"/>
      <c r="H13" s="589"/>
      <c r="I13" s="556"/>
      <c r="J13" s="556"/>
    </row>
    <row r="14" spans="1:10" ht="14.25">
      <c r="A14" s="453"/>
      <c r="B14" s="453" t="s">
        <v>278</v>
      </c>
      <c r="C14" s="453" t="str">
        <f>CONCATENATE("Personal Property ",J1-1,"")</f>
        <v>Personal Property 2011</v>
      </c>
      <c r="D14" s="592" t="s">
        <v>271</v>
      </c>
      <c r="E14" s="594">
        <v>20632685</v>
      </c>
      <c r="F14" s="593"/>
      <c r="G14" s="556"/>
      <c r="H14" s="556"/>
      <c r="I14" s="589"/>
      <c r="J14" s="556"/>
    </row>
    <row r="15" spans="1:10" ht="14.25">
      <c r="A15" s="592"/>
      <c r="B15" s="453" t="s">
        <v>279</v>
      </c>
      <c r="C15" s="453" t="str">
        <f>CONCATENATE("Personal Property ",J1-2,"")</f>
        <v>Personal Property 2010</v>
      </c>
      <c r="D15" s="592" t="s">
        <v>274</v>
      </c>
      <c r="E15" s="595">
        <v>23104136</v>
      </c>
      <c r="F15" s="593"/>
      <c r="G15" s="589"/>
      <c r="H15" s="589"/>
      <c r="I15" s="556"/>
      <c r="J15" s="556"/>
    </row>
    <row r="16" spans="1:10" ht="14.25">
      <c r="A16" s="592"/>
      <c r="B16" s="453" t="s">
        <v>280</v>
      </c>
      <c r="C16" s="453" t="s">
        <v>294</v>
      </c>
      <c r="D16" s="453"/>
      <c r="E16" s="556"/>
      <c r="F16" s="556" t="s">
        <v>271</v>
      </c>
      <c r="G16" s="594">
        <f>IF(E14&gt;E15,E14-E15,0)</f>
        <v>0</v>
      </c>
      <c r="H16" s="589"/>
      <c r="I16" s="556"/>
      <c r="J16" s="556"/>
    </row>
    <row r="17" spans="1:10" ht="14.25">
      <c r="A17" s="592"/>
      <c r="B17" s="592"/>
      <c r="C17" s="453"/>
      <c r="D17" s="453"/>
      <c r="E17" s="556"/>
      <c r="F17" s="556"/>
      <c r="G17" s="589" t="s">
        <v>286</v>
      </c>
      <c r="H17" s="589"/>
      <c r="I17" s="556"/>
      <c r="J17" s="556"/>
    </row>
    <row r="18" spans="1:10" ht="14.25">
      <c r="A18" s="592"/>
      <c r="B18" s="592"/>
      <c r="C18" s="453"/>
      <c r="D18" s="592"/>
      <c r="E18" s="589"/>
      <c r="F18" s="556"/>
      <c r="G18" s="589"/>
      <c r="H18" s="589"/>
      <c r="I18" s="556"/>
      <c r="J18" s="556"/>
    </row>
    <row r="19" spans="1:10" ht="15">
      <c r="A19" s="592" t="s">
        <v>281</v>
      </c>
      <c r="B19" s="516" t="str">
        <f>CONCATENATE("Valuation of Property that has Changed in Use during ",J1-1,":")</f>
        <v>Valuation of Property that has Changed in Use during 2011:</v>
      </c>
      <c r="C19" s="453"/>
      <c r="D19" s="453"/>
      <c r="E19" s="556"/>
      <c r="F19" s="556"/>
      <c r="G19" s="556">
        <v>2656801</v>
      </c>
      <c r="H19" s="556"/>
      <c r="I19" s="556"/>
      <c r="J19" s="556"/>
    </row>
    <row r="20" spans="1:10" ht="14.25">
      <c r="A20" s="592"/>
      <c r="B20" s="453"/>
      <c r="C20" s="453"/>
      <c r="D20" s="592"/>
      <c r="E20" s="589"/>
      <c r="F20" s="556"/>
      <c r="G20" s="596"/>
      <c r="H20" s="589"/>
      <c r="I20" s="556"/>
      <c r="J20" s="556"/>
    </row>
    <row r="21" spans="1:10" ht="15">
      <c r="A21" s="592" t="s">
        <v>289</v>
      </c>
      <c r="B21" s="516" t="s">
        <v>1005</v>
      </c>
      <c r="C21" s="453"/>
      <c r="D21" s="453"/>
      <c r="E21" s="556"/>
      <c r="F21" s="556"/>
      <c r="G21" s="594">
        <f>G11+G16+G19</f>
        <v>7015392</v>
      </c>
      <c r="H21" s="589"/>
      <c r="I21" s="556"/>
      <c r="J21" s="556"/>
    </row>
    <row r="22" spans="1:10" ht="15">
      <c r="A22" s="592"/>
      <c r="B22" s="592"/>
      <c r="C22" s="516"/>
      <c r="D22" s="453"/>
      <c r="E22" s="556"/>
      <c r="F22" s="556"/>
      <c r="G22" s="589"/>
      <c r="H22" s="589"/>
      <c r="I22" s="556"/>
      <c r="J22" s="556"/>
    </row>
    <row r="23" spans="1:10" ht="14.25">
      <c r="A23" s="592" t="s">
        <v>290</v>
      </c>
      <c r="B23" s="453" t="str">
        <f>CONCATENATE("Total Estimated Valuation July 1,",J1-1,"")</f>
        <v>Total Estimated Valuation July 1,2011</v>
      </c>
      <c r="C23" s="453"/>
      <c r="D23" s="453"/>
      <c r="E23" s="594">
        <v>350236838</v>
      </c>
      <c r="F23" s="556"/>
      <c r="G23" s="556"/>
      <c r="H23" s="556"/>
      <c r="I23" s="593"/>
      <c r="J23" s="556"/>
    </row>
    <row r="24" spans="1:10" ht="14.25">
      <c r="A24" s="592"/>
      <c r="B24" s="592"/>
      <c r="C24" s="453"/>
      <c r="D24" s="453"/>
      <c r="E24" s="589"/>
      <c r="F24" s="556"/>
      <c r="G24" s="556"/>
      <c r="H24" s="556"/>
      <c r="I24" s="593"/>
      <c r="J24" s="556"/>
    </row>
    <row r="25" spans="1:10" ht="15">
      <c r="A25" s="592" t="s">
        <v>282</v>
      </c>
      <c r="B25" s="516" t="s">
        <v>297</v>
      </c>
      <c r="C25" s="453"/>
      <c r="D25" s="453"/>
      <c r="E25" s="556"/>
      <c r="F25" s="556"/>
      <c r="G25" s="594">
        <f>E23-G21</f>
        <v>343221446</v>
      </c>
      <c r="H25" s="589"/>
      <c r="I25" s="593"/>
      <c r="J25" s="556"/>
    </row>
    <row r="26" spans="1:10" ht="15">
      <c r="A26" s="592"/>
      <c r="B26" s="592"/>
      <c r="C26" s="516"/>
      <c r="D26" s="453"/>
      <c r="E26" s="453"/>
      <c r="F26" s="453"/>
      <c r="G26" s="597"/>
      <c r="H26" s="598"/>
      <c r="I26" s="592"/>
      <c r="J26" s="453"/>
    </row>
    <row r="27" spans="1:10" ht="14.25">
      <c r="A27" s="592" t="s">
        <v>283</v>
      </c>
      <c r="B27" s="453" t="s">
        <v>296</v>
      </c>
      <c r="C27" s="453"/>
      <c r="D27" s="453"/>
      <c r="E27" s="453"/>
      <c r="F27" s="453"/>
      <c r="G27" s="599">
        <f>IF(G21&gt;0,G21/G25,0)</f>
        <v>0.020439841629243647</v>
      </c>
      <c r="H27" s="598"/>
      <c r="I27" s="453"/>
      <c r="J27" s="453"/>
    </row>
    <row r="28" spans="1:10" ht="14.25">
      <c r="A28" s="592"/>
      <c r="B28" s="592"/>
      <c r="C28" s="453"/>
      <c r="D28" s="453"/>
      <c r="E28" s="453"/>
      <c r="F28" s="453"/>
      <c r="G28" s="598"/>
      <c r="H28" s="598"/>
      <c r="I28" s="453"/>
      <c r="J28" s="453"/>
    </row>
    <row r="29" spans="1:10" ht="14.25">
      <c r="A29" s="592" t="s">
        <v>284</v>
      </c>
      <c r="B29" s="453" t="s">
        <v>295</v>
      </c>
      <c r="C29" s="453"/>
      <c r="D29" s="453"/>
      <c r="E29" s="453"/>
      <c r="F29" s="453"/>
      <c r="G29" s="598"/>
      <c r="H29" s="600" t="s">
        <v>271</v>
      </c>
      <c r="I29" s="453" t="s">
        <v>272</v>
      </c>
      <c r="J29" s="594">
        <f>ROUND(G27*J7,0)</f>
        <v>32355</v>
      </c>
    </row>
    <row r="30" spans="1:10" ht="14.25">
      <c r="A30" s="592"/>
      <c r="B30" s="592"/>
      <c r="C30" s="453"/>
      <c r="D30" s="453"/>
      <c r="E30" s="453"/>
      <c r="F30" s="453"/>
      <c r="G30" s="598"/>
      <c r="H30" s="600"/>
      <c r="I30" s="453"/>
      <c r="J30" s="589"/>
    </row>
    <row r="31" spans="1:10" ht="15.75" thickBot="1">
      <c r="A31" s="592" t="s">
        <v>285</v>
      </c>
      <c r="B31" s="516" t="s">
        <v>301</v>
      </c>
      <c r="C31" s="453"/>
      <c r="D31" s="453"/>
      <c r="E31" s="453"/>
      <c r="F31" s="453"/>
      <c r="G31" s="453"/>
      <c r="H31" s="453"/>
      <c r="I31" s="453" t="s">
        <v>272</v>
      </c>
      <c r="J31" s="601">
        <f>J7+J29</f>
        <v>1615292</v>
      </c>
    </row>
    <row r="32" spans="1:10" ht="15" thickTop="1">
      <c r="A32" s="453"/>
      <c r="B32" s="453"/>
      <c r="C32" s="453"/>
      <c r="D32" s="453"/>
      <c r="E32" s="453"/>
      <c r="F32" s="453"/>
      <c r="G32" s="453"/>
      <c r="H32" s="453"/>
      <c r="I32" s="453"/>
      <c r="J32" s="453"/>
    </row>
    <row r="33" spans="1:10" ht="15">
      <c r="A33" s="592" t="s">
        <v>299</v>
      </c>
      <c r="B33" s="516" t="str">
        <f>CONCATENATE("Debt Service Levy in this ",J1," Budget")</f>
        <v>Debt Service Levy in this 2012 Budget</v>
      </c>
      <c r="C33" s="453"/>
      <c r="D33" s="453"/>
      <c r="E33" s="453"/>
      <c r="F33" s="453"/>
      <c r="G33" s="453"/>
      <c r="H33" s="453"/>
      <c r="I33" s="453"/>
      <c r="J33" s="602">
        <f>bondint!F42</f>
        <v>884158.872</v>
      </c>
    </row>
    <row r="34" spans="1:10" ht="15">
      <c r="A34" s="592"/>
      <c r="B34" s="516"/>
      <c r="C34" s="453"/>
      <c r="D34" s="453"/>
      <c r="E34" s="453"/>
      <c r="F34" s="453"/>
      <c r="G34" s="453"/>
      <c r="H34" s="453"/>
      <c r="I34" s="453"/>
      <c r="J34" s="598"/>
    </row>
    <row r="35" spans="1:10" ht="15.75" thickBot="1">
      <c r="A35" s="592" t="s">
        <v>300</v>
      </c>
      <c r="B35" s="516" t="s">
        <v>302</v>
      </c>
      <c r="C35" s="453"/>
      <c r="D35" s="453"/>
      <c r="E35" s="453"/>
      <c r="F35" s="453"/>
      <c r="G35" s="453"/>
      <c r="H35" s="453"/>
      <c r="I35" s="453"/>
      <c r="J35" s="601">
        <f>J31+J33</f>
        <v>2499450.872</v>
      </c>
    </row>
    <row r="36" spans="1:10" ht="15" thickTop="1">
      <c r="A36" s="453"/>
      <c r="B36" s="453"/>
      <c r="C36" s="453"/>
      <c r="D36" s="453"/>
      <c r="E36" s="453"/>
      <c r="F36" s="453"/>
      <c r="G36" s="453"/>
      <c r="H36" s="453"/>
      <c r="I36" s="453"/>
      <c r="J36" s="453"/>
    </row>
    <row r="37" spans="1:10" ht="14.25">
      <c r="A37" s="797" t="str">
        <f>CONCATENATE("If the ",J1," budget includes tax levies exceeding the total on line 14, you must")</f>
        <v>If the 2012 budget includes tax levies exceeding the total on line 14, you must</v>
      </c>
      <c r="B37" s="797"/>
      <c r="C37" s="797"/>
      <c r="D37" s="797"/>
      <c r="E37" s="797"/>
      <c r="F37" s="797"/>
      <c r="G37" s="797"/>
      <c r="H37" s="797"/>
      <c r="I37" s="797"/>
      <c r="J37" s="797"/>
    </row>
    <row r="38" spans="1:10" ht="14.25">
      <c r="A38" s="797" t="s">
        <v>298</v>
      </c>
      <c r="B38" s="797"/>
      <c r="C38" s="797"/>
      <c r="D38" s="797"/>
      <c r="E38" s="797"/>
      <c r="F38" s="797"/>
      <c r="G38" s="797"/>
      <c r="H38" s="797"/>
      <c r="I38" s="797"/>
      <c r="J38" s="797"/>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&amp;C&amp;"Arial,Regular"&amp;11WY - &amp;P</oddFooter>
  </headerFooter>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B1:G53"/>
  <sheetViews>
    <sheetView zoomScale="80" zoomScaleNormal="80" zoomScalePageLayoutView="0" workbookViewId="0" topLeftCell="A10">
      <selection activeCell="G39" sqref="G39"/>
    </sheetView>
  </sheetViews>
  <sheetFormatPr defaultColWidth="8.796875" defaultRowHeight="15"/>
  <cols>
    <col min="1" max="1" width="2.3984375" style="455" customWidth="1"/>
    <col min="2" max="2" width="31.09765625" style="455" customWidth="1"/>
    <col min="3" max="5" width="15.796875" style="455" customWidth="1"/>
    <col min="6" max="6" width="16.19921875" style="455" customWidth="1"/>
    <col min="7" max="8" width="8.8984375" style="455" customWidth="1"/>
    <col min="9" max="9" width="10.296875" style="455" customWidth="1"/>
    <col min="10" max="16384" width="8.8984375" style="455" customWidth="1"/>
  </cols>
  <sheetData>
    <row r="1" spans="2:6" ht="14.25">
      <c r="B1" s="512" t="str">
        <f>(inputPrYr!C2)</f>
        <v>Wyandotte County</v>
      </c>
      <c r="C1" s="513"/>
      <c r="D1" s="513"/>
      <c r="E1" s="513"/>
      <c r="F1" s="514">
        <f>inputPrYr!C4</f>
        <v>2012</v>
      </c>
    </row>
    <row r="2" spans="2:6" ht="14.25">
      <c r="B2" s="513"/>
      <c r="C2" s="513"/>
      <c r="D2" s="513"/>
      <c r="E2" s="513"/>
      <c r="F2" s="515"/>
    </row>
    <row r="3" spans="2:6" ht="15">
      <c r="B3" s="516" t="s">
        <v>263</v>
      </c>
      <c r="C3" s="517"/>
      <c r="D3" s="517"/>
      <c r="E3" s="517"/>
      <c r="F3" s="518"/>
    </row>
    <row r="4" spans="2:6" ht="14.25">
      <c r="B4" s="513"/>
      <c r="C4" s="519"/>
      <c r="D4" s="519"/>
      <c r="E4" s="519"/>
      <c r="F4" s="519"/>
    </row>
    <row r="5" spans="2:6" ht="14.25">
      <c r="B5" s="520" t="s">
        <v>155</v>
      </c>
      <c r="C5" s="331" t="s">
        <v>926</v>
      </c>
      <c r="D5" s="331">
        <v>2011</v>
      </c>
      <c r="E5" s="332" t="s">
        <v>928</v>
      </c>
      <c r="F5" s="333" t="s">
        <v>931</v>
      </c>
    </row>
    <row r="6" spans="2:6" ht="15">
      <c r="B6" s="604" t="s">
        <v>202</v>
      </c>
      <c r="C6" s="510" t="s">
        <v>927</v>
      </c>
      <c r="D6" s="510" t="s">
        <v>925</v>
      </c>
      <c r="E6" s="510" t="s">
        <v>929</v>
      </c>
      <c r="F6" s="511" t="s">
        <v>944</v>
      </c>
    </row>
    <row r="7" spans="2:6" ht="15">
      <c r="B7" s="522" t="s">
        <v>303</v>
      </c>
      <c r="C7" s="555">
        <v>392434</v>
      </c>
      <c r="D7" s="555">
        <v>194592</v>
      </c>
      <c r="E7" s="533">
        <f>C33</f>
        <v>294594</v>
      </c>
      <c r="F7" s="534">
        <f>E33</f>
        <v>275517</v>
      </c>
    </row>
    <row r="8" spans="2:6" ht="14.25">
      <c r="B8" s="526" t="s">
        <v>305</v>
      </c>
      <c r="C8" s="527"/>
      <c r="D8" s="527"/>
      <c r="E8" s="527"/>
      <c r="F8" s="528"/>
    </row>
    <row r="9" spans="2:6" ht="14.25">
      <c r="B9" s="288" t="s">
        <v>156</v>
      </c>
      <c r="C9" s="523">
        <v>1381592</v>
      </c>
      <c r="D9" s="504">
        <v>1582937</v>
      </c>
      <c r="E9" s="524">
        <v>1693000</v>
      </c>
      <c r="F9" s="529" t="s">
        <v>140</v>
      </c>
    </row>
    <row r="10" spans="2:6" ht="14.25">
      <c r="B10" s="288" t="s">
        <v>157</v>
      </c>
      <c r="C10" s="523">
        <v>76307</v>
      </c>
      <c r="D10" s="504">
        <v>10000</v>
      </c>
      <c r="E10" s="523">
        <v>35900</v>
      </c>
      <c r="F10" s="530">
        <v>30000</v>
      </c>
    </row>
    <row r="11" spans="2:6" ht="14.25">
      <c r="B11" s="288" t="s">
        <v>158</v>
      </c>
      <c r="C11" s="523">
        <v>142245</v>
      </c>
      <c r="D11" s="504">
        <v>147392</v>
      </c>
      <c r="E11" s="523">
        <v>138100</v>
      </c>
      <c r="F11" s="525">
        <v>165899</v>
      </c>
    </row>
    <row r="12" spans="2:6" ht="14.25">
      <c r="B12" s="288" t="s">
        <v>159</v>
      </c>
      <c r="C12" s="523">
        <v>977</v>
      </c>
      <c r="D12" s="504">
        <v>1160</v>
      </c>
      <c r="E12" s="523">
        <v>910</v>
      </c>
      <c r="F12" s="525">
        <v>1047</v>
      </c>
    </row>
    <row r="13" spans="2:6" ht="14.25">
      <c r="B13" s="288" t="s">
        <v>287</v>
      </c>
      <c r="C13" s="523">
        <v>1305</v>
      </c>
      <c r="D13" s="504">
        <v>1115</v>
      </c>
      <c r="E13" s="523">
        <v>1200</v>
      </c>
      <c r="F13" s="525">
        <v>1522</v>
      </c>
    </row>
    <row r="14" spans="2:6" ht="14.25">
      <c r="B14" s="288" t="s">
        <v>357</v>
      </c>
      <c r="C14" s="523">
        <v>0</v>
      </c>
      <c r="D14" s="504">
        <v>0</v>
      </c>
      <c r="E14" s="523">
        <v>0</v>
      </c>
      <c r="F14" s="525">
        <v>0</v>
      </c>
    </row>
    <row r="15" spans="2:6" ht="14.25">
      <c r="B15" s="288" t="s">
        <v>879</v>
      </c>
      <c r="C15" s="523">
        <v>32573</v>
      </c>
      <c r="D15" s="504">
        <v>24430</v>
      </c>
      <c r="E15" s="523">
        <v>39650</v>
      </c>
      <c r="F15" s="525">
        <v>30930</v>
      </c>
    </row>
    <row r="16" spans="2:6" ht="14.25">
      <c r="B16" s="288" t="s">
        <v>880</v>
      </c>
      <c r="C16" s="523">
        <v>143</v>
      </c>
      <c r="D16" s="504">
        <v>20</v>
      </c>
      <c r="E16" s="523">
        <v>120</v>
      </c>
      <c r="F16" s="525">
        <v>250</v>
      </c>
    </row>
    <row r="17" spans="2:6" ht="14.25">
      <c r="B17" s="288" t="s">
        <v>247</v>
      </c>
      <c r="C17" s="523">
        <v>4393</v>
      </c>
      <c r="D17" s="504">
        <v>3400</v>
      </c>
      <c r="E17" s="523">
        <v>3300</v>
      </c>
      <c r="F17" s="525">
        <v>3300</v>
      </c>
    </row>
    <row r="18" spans="2:6" ht="14.25">
      <c r="B18" s="531" t="s">
        <v>68</v>
      </c>
      <c r="C18" s="523">
        <v>0</v>
      </c>
      <c r="D18" s="504">
        <v>0</v>
      </c>
      <c r="E18" s="523">
        <v>12987</v>
      </c>
      <c r="F18" s="530">
        <v>0</v>
      </c>
    </row>
    <row r="19" spans="2:6" ht="15.75">
      <c r="B19" s="531" t="s">
        <v>703</v>
      </c>
      <c r="C19" s="542">
        <f>IF(C20*0.1&lt;C18,"Exceed 10% Rule","")</f>
      </c>
      <c r="D19" s="132">
        <f>IF(D20*0.1&lt;D18,"Exceed 10% Rule","")</f>
      </c>
      <c r="E19" s="542">
        <f>IF(E20*0.1&lt;E18,"Exceed 10% Rule","")</f>
      </c>
      <c r="F19" s="543">
        <f>IF(F20*0.1+F39&lt;F18,"Exceed 10% Rule","")</f>
      </c>
    </row>
    <row r="20" spans="2:6" ht="15">
      <c r="B20" s="532" t="s">
        <v>160</v>
      </c>
      <c r="C20" s="533">
        <f>SUM(C9:C18)</f>
        <v>1639535</v>
      </c>
      <c r="D20" s="554">
        <f>SUM(D9:D18)</f>
        <v>1770454</v>
      </c>
      <c r="E20" s="533">
        <f>SUM(E9:E18)</f>
        <v>1925167</v>
      </c>
      <c r="F20" s="534">
        <f>SUM(F9:F18)</f>
        <v>232948</v>
      </c>
    </row>
    <row r="21" spans="2:6" ht="15">
      <c r="B21" s="532" t="s">
        <v>161</v>
      </c>
      <c r="C21" s="533">
        <f>C7+C20</f>
        <v>2031969</v>
      </c>
      <c r="D21" s="554">
        <f>D7+D20</f>
        <v>1965046</v>
      </c>
      <c r="E21" s="533">
        <f>E7+E20</f>
        <v>2219761</v>
      </c>
      <c r="F21" s="534">
        <f>F7+F20</f>
        <v>508465</v>
      </c>
    </row>
    <row r="22" spans="2:6" ht="15.75">
      <c r="B22" s="522" t="s">
        <v>163</v>
      </c>
      <c r="C22" s="531"/>
      <c r="D22" s="59"/>
      <c r="E22" s="531"/>
      <c r="F22" s="535"/>
    </row>
    <row r="23" spans="2:6" ht="14.25">
      <c r="B23" s="346" t="s">
        <v>932</v>
      </c>
      <c r="C23" s="523">
        <v>0</v>
      </c>
      <c r="D23" s="523">
        <v>0</v>
      </c>
      <c r="E23" s="523">
        <v>0</v>
      </c>
      <c r="F23" s="525">
        <v>0</v>
      </c>
    </row>
    <row r="24" spans="2:6" ht="14.25">
      <c r="B24" s="346" t="s">
        <v>933</v>
      </c>
      <c r="C24" s="523">
        <v>0</v>
      </c>
      <c r="D24" s="523">
        <v>0</v>
      </c>
      <c r="E24" s="523">
        <v>0</v>
      </c>
      <c r="F24" s="525">
        <v>0</v>
      </c>
    </row>
    <row r="25" spans="2:6" ht="14.25">
      <c r="B25" s="346" t="s">
        <v>934</v>
      </c>
      <c r="C25" s="523">
        <v>0</v>
      </c>
      <c r="D25" s="523">
        <v>0</v>
      </c>
      <c r="E25" s="523">
        <v>0</v>
      </c>
      <c r="F25" s="525">
        <v>0</v>
      </c>
    </row>
    <row r="26" spans="2:6" ht="14.25">
      <c r="B26" s="346" t="s">
        <v>935</v>
      </c>
      <c r="C26" s="523">
        <v>1737375</v>
      </c>
      <c r="D26" s="523">
        <v>1824244</v>
      </c>
      <c r="E26" s="523">
        <v>1824244</v>
      </c>
      <c r="F26" s="525">
        <v>1878971</v>
      </c>
    </row>
    <row r="27" spans="2:6" ht="14.25">
      <c r="B27" s="346" t="s">
        <v>949</v>
      </c>
      <c r="C27" s="523">
        <v>0</v>
      </c>
      <c r="D27" s="523">
        <v>0</v>
      </c>
      <c r="E27" s="523">
        <v>0</v>
      </c>
      <c r="F27" s="525">
        <v>0</v>
      </c>
    </row>
    <row r="28" spans="2:6" ht="14.25">
      <c r="B28" s="346" t="s">
        <v>936</v>
      </c>
      <c r="C28" s="523">
        <v>0</v>
      </c>
      <c r="D28" s="523">
        <v>0</v>
      </c>
      <c r="E28" s="523">
        <v>0</v>
      </c>
      <c r="F28" s="525">
        <v>0</v>
      </c>
    </row>
    <row r="29" spans="2:6" ht="14.25">
      <c r="B29" s="346" t="s">
        <v>182</v>
      </c>
      <c r="C29" s="523">
        <v>0</v>
      </c>
      <c r="D29" s="523">
        <v>0</v>
      </c>
      <c r="E29" s="523">
        <v>0</v>
      </c>
      <c r="F29" s="525">
        <v>0</v>
      </c>
    </row>
    <row r="30" spans="2:6" ht="14.25">
      <c r="B30" s="531" t="s">
        <v>68</v>
      </c>
      <c r="C30" s="523">
        <v>0</v>
      </c>
      <c r="D30" s="523">
        <v>55000</v>
      </c>
      <c r="E30" s="523">
        <v>120000</v>
      </c>
      <c r="F30" s="525">
        <v>120000</v>
      </c>
    </row>
    <row r="31" spans="2:7" ht="14.25">
      <c r="B31" s="531" t="s">
        <v>702</v>
      </c>
      <c r="C31" s="542">
        <f>IF(C32*0.1&lt;C30,"Exceed 10% Rule","")</f>
      </c>
      <c r="D31" s="542">
        <f>IF(D32*0.1&lt;D30,"Exceed 10% Rule","")</f>
      </c>
      <c r="E31" s="542">
        <f>IF(E32*0.1&lt;E30,"Exceed 10% Rule","")</f>
      </c>
      <c r="F31" s="543">
        <f>IF(F32*0.1&lt;F30,"Exceed 10% Rule","")</f>
      </c>
      <c r="G31" s="455" t="s">
        <v>217</v>
      </c>
    </row>
    <row r="32" spans="2:6" ht="15">
      <c r="B32" s="532" t="s">
        <v>164</v>
      </c>
      <c r="C32" s="533">
        <f>SUM(C23:C30)</f>
        <v>1737375</v>
      </c>
      <c r="D32" s="533">
        <f>SUM(D23:D30)</f>
        <v>1879244</v>
      </c>
      <c r="E32" s="533">
        <f>SUM(E23:E30)</f>
        <v>1944244</v>
      </c>
      <c r="F32" s="534">
        <f>SUM(F23:F30)</f>
        <v>1998971</v>
      </c>
    </row>
    <row r="33" spans="2:6" ht="14.25">
      <c r="B33" s="522" t="s">
        <v>304</v>
      </c>
      <c r="C33" s="524">
        <f>C21-C32</f>
        <v>294594</v>
      </c>
      <c r="D33" s="524">
        <f>D21-D32</f>
        <v>85802</v>
      </c>
      <c r="E33" s="524">
        <f>E21-E32</f>
        <v>275517</v>
      </c>
      <c r="F33" s="529" t="s">
        <v>140</v>
      </c>
    </row>
    <row r="34" spans="2:7" ht="14.25">
      <c r="B34" s="536" t="str">
        <f>CONCATENATE("",F$1-2,"/",F$1-1," Budget Authority Amount:")</f>
        <v>2010/2011 Budget Authority Amount:</v>
      </c>
      <c r="C34" s="537">
        <f>inputOth!B43</f>
        <v>1792375</v>
      </c>
      <c r="D34" s="537"/>
      <c r="E34" s="537">
        <f>inputPrYr!D25</f>
        <v>0</v>
      </c>
      <c r="F34" s="529" t="s">
        <v>140</v>
      </c>
      <c r="G34" s="547"/>
    </row>
    <row r="35" spans="2:7" ht="14.25">
      <c r="B35" s="536"/>
      <c r="C35" s="826" t="s">
        <v>705</v>
      </c>
      <c r="D35" s="826"/>
      <c r="E35" s="827"/>
      <c r="F35" s="530">
        <v>95016</v>
      </c>
      <c r="G35" s="547">
        <f>IF(F32/0.95-F32&lt;F35,"Exceeds 5%","")</f>
      </c>
    </row>
    <row r="36" spans="2:6" ht="15">
      <c r="B36" s="548"/>
      <c r="C36" s="828" t="s">
        <v>706</v>
      </c>
      <c r="D36" s="828"/>
      <c r="E36" s="829"/>
      <c r="F36" s="525">
        <f>F32+F35</f>
        <v>2093987</v>
      </c>
    </row>
    <row r="37" spans="2:6" ht="15">
      <c r="B37" s="548" t="str">
        <f>CONCATENATE(C51,"     ",E51)</f>
        <v>     </v>
      </c>
      <c r="C37" s="539"/>
      <c r="D37" s="539"/>
      <c r="E37" s="515" t="s">
        <v>165</v>
      </c>
      <c r="F37" s="525">
        <f>IF(F36-F21&gt;0,F36-F21,0)</f>
        <v>1585522</v>
      </c>
    </row>
    <row r="38" spans="2:6" ht="14.25">
      <c r="B38" s="515"/>
      <c r="C38" s="603" t="s">
        <v>707</v>
      </c>
      <c r="D38" s="603"/>
      <c r="E38" s="541">
        <v>0.1</v>
      </c>
      <c r="F38" s="525">
        <f>ROUND(IF(E38&gt;0,(F37/((100-(100*E38))*0.01)-F37),0),0)</f>
        <v>176169</v>
      </c>
    </row>
    <row r="39" spans="2:6" ht="14.25">
      <c r="B39" s="513"/>
      <c r="C39" s="830" t="str">
        <f>CONCATENATE("Amount of  ",$F$1-1," Ad Valorem Tax")</f>
        <v>Amount of  2011 Ad Valorem Tax</v>
      </c>
      <c r="D39" s="830"/>
      <c r="E39" s="831"/>
      <c r="F39" s="525">
        <f>F37+F38</f>
        <v>1761691</v>
      </c>
    </row>
    <row r="40" spans="2:6" ht="14.25">
      <c r="B40" s="513"/>
      <c r="C40" s="519"/>
      <c r="D40" s="519"/>
      <c r="E40" s="519"/>
      <c r="F40" s="553"/>
    </row>
    <row r="50" spans="3:5" ht="14.25" hidden="1">
      <c r="C50" s="455">
        <f>IF(C32&gt;C34,"See Tab A","")</f>
      </c>
      <c r="E50" s="455" t="str">
        <f>IF(E32&gt;E34,"See Tab C","")</f>
        <v>See Tab C</v>
      </c>
    </row>
    <row r="51" spans="3:5" ht="14.25" hidden="1">
      <c r="C51" s="455">
        <f>IF(C33&lt;0,"See Tab B","")</f>
      </c>
      <c r="E51" s="455">
        <f>IF(E33&lt;0,"See Tab D","")</f>
      </c>
    </row>
    <row r="52" spans="3:5" ht="14.25" hidden="1">
      <c r="C52" s="455" t="e">
        <f>IF(#REF!&gt;#REF!,"See Tab A","")</f>
        <v>#REF!</v>
      </c>
      <c r="E52" s="455" t="e">
        <f>IF(#REF!&gt;#REF!,"See Tab C","")</f>
        <v>#REF!</v>
      </c>
    </row>
    <row r="53" spans="3:5" ht="14.25" hidden="1">
      <c r="C53" s="455" t="e">
        <f>IF(#REF!&lt;0,"See Tab B","")</f>
        <v>#REF!</v>
      </c>
      <c r="E53" s="455" t="e">
        <f>IF(#REF!&lt;0,"See Tab D","")</f>
        <v>#REF!</v>
      </c>
    </row>
  </sheetData>
  <sheetProtection/>
  <mergeCells count="3">
    <mergeCell ref="C35:E35"/>
    <mergeCell ref="C36:E36"/>
    <mergeCell ref="C39:E39"/>
  </mergeCells>
  <conditionalFormatting sqref="F35">
    <cfRule type="cellIs" priority="12" dxfId="128" operator="greaterThan" stopIfTrue="1">
      <formula>$F$32/0.95-$F$32</formula>
    </cfRule>
  </conditionalFormatting>
  <conditionalFormatting sqref="C33:D33">
    <cfRule type="cellIs" priority="10" dxfId="1" operator="lessThan" stopIfTrue="1">
      <formula>0</formula>
    </cfRule>
  </conditionalFormatting>
  <conditionalFormatting sqref="C32:D32">
    <cfRule type="cellIs" priority="9" dxfId="1" operator="greaterThan" stopIfTrue="1">
      <formula>$C$34</formula>
    </cfRule>
  </conditionalFormatting>
  <conditionalFormatting sqref="E32">
    <cfRule type="cellIs" priority="8" dxfId="1" operator="greaterThan" stopIfTrue="1">
      <formula>$E$34</formula>
    </cfRule>
  </conditionalFormatting>
  <conditionalFormatting sqref="C30">
    <cfRule type="cellIs" priority="7" dxfId="1" operator="greaterThan" stopIfTrue="1">
      <formula>$C$32*0.1</formula>
    </cfRule>
  </conditionalFormatting>
  <conditionalFormatting sqref="E30">
    <cfRule type="cellIs" priority="6" dxfId="1" operator="greaterThan" stopIfTrue="1">
      <formula>$E$32*0.1</formula>
    </cfRule>
  </conditionalFormatting>
  <conditionalFormatting sqref="F18">
    <cfRule type="cellIs" priority="5" dxfId="128" operator="greaterThan" stopIfTrue="1">
      <formula>$F$20*0.1+F39</formula>
    </cfRule>
  </conditionalFormatting>
  <conditionalFormatting sqref="C18:D18">
    <cfRule type="cellIs" priority="4" dxfId="1" operator="greaterThan" stopIfTrue="1">
      <formula>$C$20*0.1</formula>
    </cfRule>
  </conditionalFormatting>
  <conditionalFormatting sqref="E18">
    <cfRule type="cellIs" priority="3" dxfId="1" operator="greaterThan" stopIfTrue="1">
      <formula>$E$20*0.1</formula>
    </cfRule>
  </conditionalFormatting>
  <conditionalFormatting sqref="E33">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4" r:id="rId1"/>
  <headerFooter alignWithMargins="0">
    <oddHeader>&amp;RState of Kansas
County
</oddHeader>
    <oddFooter>&amp;C&amp;"Arial,Regular"&amp;11WY -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0">
      <selection activeCell="J33" sqref="J33"/>
    </sheetView>
  </sheetViews>
  <sheetFormatPr defaultColWidth="8.796875" defaultRowHeight="15.75" customHeight="1"/>
  <cols>
    <col min="1" max="2" width="3.296875" style="455" customWidth="1"/>
    <col min="3" max="3" width="31.296875" style="455" customWidth="1"/>
    <col min="4" max="4" width="2.296875" style="455" customWidth="1"/>
    <col min="5" max="5" width="15.796875" style="455" customWidth="1"/>
    <col min="6" max="6" width="2" style="455" customWidth="1"/>
    <col min="7" max="7" width="15.796875" style="455" customWidth="1"/>
    <col min="8" max="8" width="1.8984375" style="455" customWidth="1"/>
    <col min="9" max="9" width="1.796875" style="455" customWidth="1"/>
    <col min="10" max="10" width="15.796875" style="455" customWidth="1"/>
    <col min="11" max="16384" width="8.8984375" style="455" customWidth="1"/>
  </cols>
  <sheetData>
    <row r="1" spans="1:10" ht="15.75" customHeight="1">
      <c r="A1" s="453"/>
      <c r="B1" s="453"/>
      <c r="C1" s="512" t="str">
        <f>inputPrYr!C2</f>
        <v>Wyandotte County</v>
      </c>
      <c r="D1" s="453"/>
      <c r="E1" s="453"/>
      <c r="F1" s="453"/>
      <c r="G1" s="453"/>
      <c r="H1" s="453"/>
      <c r="I1" s="453"/>
      <c r="J1" s="453">
        <f>inputPrYr!C4</f>
        <v>2012</v>
      </c>
    </row>
    <row r="2" spans="1:10" ht="15.75" customHeight="1">
      <c r="A2" s="453"/>
      <c r="B2" s="453"/>
      <c r="C2" s="453"/>
      <c r="D2" s="453"/>
      <c r="E2" s="453"/>
      <c r="F2" s="453"/>
      <c r="G2" s="453"/>
      <c r="H2" s="453"/>
      <c r="I2" s="453"/>
      <c r="J2" s="453"/>
    </row>
    <row r="3" spans="1:10" ht="15">
      <c r="A3" s="787" t="str">
        <f>CONCATENATE("Computation to Determine Limit for ",J1,"")</f>
        <v>Computation to Determine Limit for 2012</v>
      </c>
      <c r="B3" s="800"/>
      <c r="C3" s="800"/>
      <c r="D3" s="800"/>
      <c r="E3" s="800"/>
      <c r="F3" s="800"/>
      <c r="G3" s="800"/>
      <c r="H3" s="800"/>
      <c r="I3" s="800"/>
      <c r="J3" s="800"/>
    </row>
    <row r="4" spans="1:10" ht="15">
      <c r="A4" s="453"/>
      <c r="B4" s="453"/>
      <c r="C4" s="453"/>
      <c r="D4" s="453"/>
      <c r="E4" s="800"/>
      <c r="F4" s="800"/>
      <c r="G4" s="800"/>
      <c r="H4" s="590"/>
      <c r="I4" s="453"/>
      <c r="J4" s="591" t="s">
        <v>269</v>
      </c>
    </row>
    <row r="5" spans="1:10" ht="14.25">
      <c r="A5" s="592" t="s">
        <v>270</v>
      </c>
      <c r="B5" s="453" t="str">
        <f>CONCATENATE("Total Tax Levy Amount in ",J1-1," Budget")</f>
        <v>Total Tax Levy Amount in 2011 Budget</v>
      </c>
      <c r="C5" s="453"/>
      <c r="D5" s="453"/>
      <c r="E5" s="556"/>
      <c r="F5" s="556"/>
      <c r="G5" s="556"/>
      <c r="H5" s="593" t="s">
        <v>271</v>
      </c>
      <c r="I5" s="556" t="s">
        <v>272</v>
      </c>
      <c r="J5" s="594">
        <f>inputPrYr!E26</f>
        <v>37448392</v>
      </c>
    </row>
    <row r="6" spans="1:10" ht="14.25">
      <c r="A6" s="592" t="s">
        <v>273</v>
      </c>
      <c r="B6" s="453" t="str">
        <f>CONCATENATE("Debt Service Levy in ",J1-1," Budget")</f>
        <v>Debt Service Levy in 2011 Budget</v>
      </c>
      <c r="C6" s="453"/>
      <c r="D6" s="453"/>
      <c r="E6" s="556"/>
      <c r="F6" s="556"/>
      <c r="G6" s="556"/>
      <c r="H6" s="593" t="s">
        <v>274</v>
      </c>
      <c r="I6" s="556" t="s">
        <v>272</v>
      </c>
      <c r="J6" s="595">
        <f>inputPrYr!E17</f>
        <v>897760</v>
      </c>
    </row>
    <row r="7" spans="1:10" ht="15">
      <c r="A7" s="592" t="s">
        <v>275</v>
      </c>
      <c r="B7" s="516" t="s">
        <v>293</v>
      </c>
      <c r="C7" s="453"/>
      <c r="D7" s="453"/>
      <c r="E7" s="556"/>
      <c r="F7" s="556"/>
      <c r="G7" s="556"/>
      <c r="H7" s="556"/>
      <c r="I7" s="556" t="s">
        <v>272</v>
      </c>
      <c r="J7" s="595">
        <f>J5-J6</f>
        <v>36550632</v>
      </c>
    </row>
    <row r="8" spans="1:10" ht="14.25">
      <c r="A8" s="453"/>
      <c r="B8" s="453"/>
      <c r="C8" s="453"/>
      <c r="D8" s="453"/>
      <c r="E8" s="556"/>
      <c r="F8" s="556"/>
      <c r="G8" s="556"/>
      <c r="H8" s="556"/>
      <c r="I8" s="556"/>
      <c r="J8" s="556"/>
    </row>
    <row r="9" spans="1:10" ht="15">
      <c r="A9" s="453"/>
      <c r="B9" s="516" t="str">
        <f>CONCATENATE("",J1-1," Valuation Information for Valuation Adjustments:")</f>
        <v>2011 Valuation Information for Valuation Adjustments:</v>
      </c>
      <c r="C9" s="453"/>
      <c r="D9" s="453"/>
      <c r="E9" s="556"/>
      <c r="F9" s="556"/>
      <c r="G9" s="556"/>
      <c r="H9" s="556"/>
      <c r="I9" s="556"/>
      <c r="J9" s="556"/>
    </row>
    <row r="10" spans="1:10" ht="15">
      <c r="A10" s="453"/>
      <c r="B10" s="453"/>
      <c r="C10" s="516"/>
      <c r="D10" s="453"/>
      <c r="E10" s="556"/>
      <c r="F10" s="556"/>
      <c r="G10" s="556"/>
      <c r="H10" s="556"/>
      <c r="I10" s="556"/>
      <c r="J10" s="556"/>
    </row>
    <row r="11" spans="1:10" ht="15">
      <c r="A11" s="592" t="s">
        <v>276</v>
      </c>
      <c r="B11" s="516" t="str">
        <f>CONCATENATE("New Improvements for ",J1-1,":")</f>
        <v>New Improvements for 2011:</v>
      </c>
      <c r="C11" s="453"/>
      <c r="D11" s="453"/>
      <c r="E11" s="593"/>
      <c r="F11" s="593" t="s">
        <v>271</v>
      </c>
      <c r="G11" s="594">
        <v>11632613</v>
      </c>
      <c r="H11" s="589"/>
      <c r="I11" s="556"/>
      <c r="J11" s="556"/>
    </row>
    <row r="12" spans="1:10" ht="14.25">
      <c r="A12" s="592"/>
      <c r="B12" s="592"/>
      <c r="C12" s="453"/>
      <c r="D12" s="453"/>
      <c r="E12" s="593"/>
      <c r="F12" s="593"/>
      <c r="G12" s="589"/>
      <c r="H12" s="589"/>
      <c r="I12" s="556"/>
      <c r="J12" s="556"/>
    </row>
    <row r="13" spans="1:10" ht="15">
      <c r="A13" s="592" t="s">
        <v>277</v>
      </c>
      <c r="B13" s="516" t="str">
        <f>CONCATENATE("Increase in Personal Property for ",J1-1,":")</f>
        <v>Increase in Personal Property for 2011:</v>
      </c>
      <c r="C13" s="453"/>
      <c r="D13" s="453"/>
      <c r="E13" s="593"/>
      <c r="F13" s="593"/>
      <c r="G13" s="589"/>
      <c r="H13" s="589"/>
      <c r="I13" s="556"/>
      <c r="J13" s="556"/>
    </row>
    <row r="14" spans="1:10" ht="14.25">
      <c r="A14" s="453"/>
      <c r="B14" s="453" t="s">
        <v>278</v>
      </c>
      <c r="C14" s="453" t="str">
        <f>CONCATENATE("Personal Property ",J1-1,"")</f>
        <v>Personal Property 2011</v>
      </c>
      <c r="D14" s="592" t="s">
        <v>271</v>
      </c>
      <c r="E14" s="594">
        <v>96573607</v>
      </c>
      <c r="F14" s="593"/>
      <c r="G14" s="556"/>
      <c r="H14" s="556"/>
      <c r="I14" s="589"/>
      <c r="J14" s="556"/>
    </row>
    <row r="15" spans="1:10" ht="14.25">
      <c r="A15" s="592"/>
      <c r="B15" s="453" t="s">
        <v>279</v>
      </c>
      <c r="C15" s="453" t="str">
        <f>CONCATENATE("Personal Property ",J1-2,"")</f>
        <v>Personal Property 2010</v>
      </c>
      <c r="D15" s="592" t="s">
        <v>274</v>
      </c>
      <c r="E15" s="595">
        <v>108560874</v>
      </c>
      <c r="F15" s="593"/>
      <c r="G15" s="589"/>
      <c r="H15" s="589"/>
      <c r="I15" s="556"/>
      <c r="J15" s="556"/>
    </row>
    <row r="16" spans="1:10" ht="14.25">
      <c r="A16" s="592"/>
      <c r="B16" s="453" t="s">
        <v>280</v>
      </c>
      <c r="C16" s="453" t="s">
        <v>294</v>
      </c>
      <c r="D16" s="453"/>
      <c r="E16" s="556"/>
      <c r="F16" s="556" t="s">
        <v>271</v>
      </c>
      <c r="G16" s="594">
        <f>IF(E14&gt;E15,E14-E15,0)</f>
        <v>0</v>
      </c>
      <c r="H16" s="589"/>
      <c r="I16" s="556"/>
      <c r="J16" s="556"/>
    </row>
    <row r="17" spans="1:10" ht="14.25">
      <c r="A17" s="592"/>
      <c r="B17" s="592"/>
      <c r="C17" s="453"/>
      <c r="D17" s="453"/>
      <c r="E17" s="556"/>
      <c r="F17" s="556"/>
      <c r="G17" s="589" t="s">
        <v>286</v>
      </c>
      <c r="H17" s="589"/>
      <c r="I17" s="556"/>
      <c r="J17" s="556"/>
    </row>
    <row r="18" spans="1:10" ht="14.25">
      <c r="A18" s="592"/>
      <c r="B18" s="592"/>
      <c r="C18" s="453"/>
      <c r="D18" s="592"/>
      <c r="E18" s="589"/>
      <c r="F18" s="556"/>
      <c r="G18" s="589"/>
      <c r="H18" s="589"/>
      <c r="I18" s="556"/>
      <c r="J18" s="556"/>
    </row>
    <row r="19" spans="1:10" ht="15">
      <c r="A19" s="592" t="s">
        <v>281</v>
      </c>
      <c r="B19" s="516" t="str">
        <f>CONCATENATE("Valuation of Property that has Changed in Use during ",J1-1,":")</f>
        <v>Valuation of Property that has Changed in Use during 2011:</v>
      </c>
      <c r="C19" s="453"/>
      <c r="D19" s="453"/>
      <c r="E19" s="556"/>
      <c r="F19" s="556"/>
      <c r="G19" s="556">
        <v>11597444</v>
      </c>
      <c r="H19" s="556"/>
      <c r="I19" s="556"/>
      <c r="J19" s="556"/>
    </row>
    <row r="20" spans="1:10" ht="14.25">
      <c r="A20" s="592"/>
      <c r="B20" s="453"/>
      <c r="C20" s="453"/>
      <c r="D20" s="592"/>
      <c r="E20" s="589"/>
      <c r="F20" s="556"/>
      <c r="G20" s="596"/>
      <c r="H20" s="589"/>
      <c r="I20" s="556"/>
      <c r="J20" s="556"/>
    </row>
    <row r="21" spans="1:10" ht="15">
      <c r="A21" s="592" t="s">
        <v>289</v>
      </c>
      <c r="B21" s="516" t="s">
        <v>1005</v>
      </c>
      <c r="C21" s="453"/>
      <c r="D21" s="453"/>
      <c r="E21" s="556"/>
      <c r="F21" s="556"/>
      <c r="G21" s="594">
        <f>G11+G16+G19</f>
        <v>23230057</v>
      </c>
      <c r="H21" s="589"/>
      <c r="I21" s="556"/>
      <c r="J21" s="556"/>
    </row>
    <row r="22" spans="1:10" ht="15">
      <c r="A22" s="592"/>
      <c r="B22" s="592"/>
      <c r="C22" s="516"/>
      <c r="D22" s="453"/>
      <c r="E22" s="556"/>
      <c r="F22" s="556"/>
      <c r="G22" s="589"/>
      <c r="H22" s="589"/>
      <c r="I22" s="556"/>
      <c r="J22" s="556"/>
    </row>
    <row r="23" spans="1:10" ht="14.25">
      <c r="A23" s="592" t="s">
        <v>290</v>
      </c>
      <c r="B23" s="453" t="str">
        <f>CONCATENATE("Total Estimated Valuation July 1,",J1-1,"")</f>
        <v>Total Estimated Valuation July 1,2011</v>
      </c>
      <c r="C23" s="453"/>
      <c r="D23" s="453"/>
      <c r="E23" s="594">
        <v>1081797845</v>
      </c>
      <c r="F23" s="556"/>
      <c r="G23" s="556"/>
      <c r="H23" s="556"/>
      <c r="I23" s="593"/>
      <c r="J23" s="556"/>
    </row>
    <row r="24" spans="1:10" ht="14.25">
      <c r="A24" s="592"/>
      <c r="B24" s="592"/>
      <c r="C24" s="453"/>
      <c r="D24" s="453"/>
      <c r="E24" s="589"/>
      <c r="F24" s="556"/>
      <c r="G24" s="556"/>
      <c r="H24" s="556"/>
      <c r="I24" s="593"/>
      <c r="J24" s="556"/>
    </row>
    <row r="25" spans="1:10" ht="15">
      <c r="A25" s="592" t="s">
        <v>282</v>
      </c>
      <c r="B25" s="516" t="s">
        <v>297</v>
      </c>
      <c r="C25" s="453"/>
      <c r="D25" s="453"/>
      <c r="E25" s="556"/>
      <c r="F25" s="556"/>
      <c r="G25" s="594">
        <f>E23-G21</f>
        <v>1058567788</v>
      </c>
      <c r="H25" s="589"/>
      <c r="I25" s="593"/>
      <c r="J25" s="556"/>
    </row>
    <row r="26" spans="1:10" ht="15">
      <c r="A26" s="592"/>
      <c r="B26" s="592"/>
      <c r="C26" s="516"/>
      <c r="D26" s="453"/>
      <c r="E26" s="453"/>
      <c r="F26" s="453"/>
      <c r="G26" s="597"/>
      <c r="H26" s="598"/>
      <c r="I26" s="592"/>
      <c r="J26" s="453"/>
    </row>
    <row r="27" spans="1:10" ht="14.25">
      <c r="A27" s="592" t="s">
        <v>283</v>
      </c>
      <c r="B27" s="453" t="s">
        <v>296</v>
      </c>
      <c r="C27" s="453"/>
      <c r="D27" s="453"/>
      <c r="E27" s="453"/>
      <c r="F27" s="453"/>
      <c r="G27" s="599">
        <f>IF(G21&gt;0,G21/G25,0)</f>
        <v>0.02194479868302964</v>
      </c>
      <c r="H27" s="598"/>
      <c r="I27" s="453"/>
      <c r="J27" s="453"/>
    </row>
    <row r="28" spans="1:10" ht="14.25">
      <c r="A28" s="592"/>
      <c r="B28" s="592"/>
      <c r="C28" s="453"/>
      <c r="D28" s="453"/>
      <c r="E28" s="453"/>
      <c r="F28" s="453"/>
      <c r="G28" s="598"/>
      <c r="H28" s="598"/>
      <c r="I28" s="453"/>
      <c r="J28" s="453"/>
    </row>
    <row r="29" spans="1:10" ht="14.25">
      <c r="A29" s="592" t="s">
        <v>284</v>
      </c>
      <c r="B29" s="453" t="s">
        <v>295</v>
      </c>
      <c r="C29" s="453"/>
      <c r="D29" s="453"/>
      <c r="E29" s="453"/>
      <c r="F29" s="453"/>
      <c r="G29" s="598"/>
      <c r="H29" s="600" t="s">
        <v>271</v>
      </c>
      <c r="I29" s="453" t="s">
        <v>272</v>
      </c>
      <c r="J29" s="594">
        <f>ROUND(G27*J7,0)</f>
        <v>802096</v>
      </c>
    </row>
    <row r="30" spans="1:10" ht="14.25">
      <c r="A30" s="592"/>
      <c r="B30" s="592"/>
      <c r="C30" s="453"/>
      <c r="D30" s="453"/>
      <c r="E30" s="453"/>
      <c r="F30" s="453"/>
      <c r="G30" s="598"/>
      <c r="H30" s="600"/>
      <c r="I30" s="453"/>
      <c r="J30" s="589"/>
    </row>
    <row r="31" spans="1:10" ht="15.75" thickBot="1">
      <c r="A31" s="592" t="s">
        <v>285</v>
      </c>
      <c r="B31" s="516" t="s">
        <v>301</v>
      </c>
      <c r="C31" s="453"/>
      <c r="D31" s="453"/>
      <c r="E31" s="453"/>
      <c r="F31" s="453"/>
      <c r="G31" s="453"/>
      <c r="H31" s="453"/>
      <c r="I31" s="453" t="s">
        <v>272</v>
      </c>
      <c r="J31" s="601">
        <f>J7+J29</f>
        <v>37352728</v>
      </c>
    </row>
    <row r="32" spans="1:10" ht="15" thickTop="1">
      <c r="A32" s="453"/>
      <c r="B32" s="453"/>
      <c r="C32" s="453"/>
      <c r="D32" s="453"/>
      <c r="E32" s="453"/>
      <c r="F32" s="453"/>
      <c r="G32" s="453"/>
      <c r="H32" s="453"/>
      <c r="I32" s="453"/>
      <c r="J32" s="453"/>
    </row>
    <row r="33" spans="1:10" ht="15">
      <c r="A33" s="592" t="s">
        <v>299</v>
      </c>
      <c r="B33" s="516" t="str">
        <f>CONCATENATE("Debt Service Levy in this ",J1," Budget")</f>
        <v>Debt Service Levy in this 2012 Budget</v>
      </c>
      <c r="C33" s="453"/>
      <c r="D33" s="453"/>
      <c r="E33" s="453"/>
      <c r="F33" s="453"/>
      <c r="G33" s="453"/>
      <c r="H33" s="453"/>
      <c r="I33" s="453"/>
      <c r="J33" s="602">
        <f>bondint!F42</f>
        <v>884158.872</v>
      </c>
    </row>
    <row r="34" spans="1:10" ht="15">
      <c r="A34" s="592"/>
      <c r="B34" s="516"/>
      <c r="C34" s="453"/>
      <c r="D34" s="453"/>
      <c r="E34" s="453"/>
      <c r="F34" s="453"/>
      <c r="G34" s="453"/>
      <c r="H34" s="453"/>
      <c r="I34" s="453"/>
      <c r="J34" s="598"/>
    </row>
    <row r="35" spans="1:10" ht="15.75" thickBot="1">
      <c r="A35" s="592" t="s">
        <v>300</v>
      </c>
      <c r="B35" s="516" t="s">
        <v>302</v>
      </c>
      <c r="C35" s="453"/>
      <c r="D35" s="453"/>
      <c r="E35" s="453"/>
      <c r="F35" s="453"/>
      <c r="G35" s="453"/>
      <c r="H35" s="453"/>
      <c r="I35" s="453"/>
      <c r="J35" s="601">
        <f>J31+J33</f>
        <v>38236886.872</v>
      </c>
    </row>
    <row r="36" spans="1:10" ht="15" thickTop="1">
      <c r="A36" s="453"/>
      <c r="B36" s="453"/>
      <c r="C36" s="453"/>
      <c r="D36" s="453"/>
      <c r="E36" s="453"/>
      <c r="F36" s="453"/>
      <c r="G36" s="453"/>
      <c r="H36" s="453"/>
      <c r="I36" s="453"/>
      <c r="J36" s="453"/>
    </row>
    <row r="37" spans="1:10" ht="14.25">
      <c r="A37" s="797" t="str">
        <f>CONCATENATE("If the ",J1," budget includes tax levies exceeding the total on line 14, you must")</f>
        <v>If the 2012 budget includes tax levies exceeding the total on line 14, you must</v>
      </c>
      <c r="B37" s="797"/>
      <c r="C37" s="797"/>
      <c r="D37" s="797"/>
      <c r="E37" s="797"/>
      <c r="F37" s="797"/>
      <c r="G37" s="797"/>
      <c r="H37" s="797"/>
      <c r="I37" s="797"/>
      <c r="J37" s="797"/>
    </row>
    <row r="38" spans="1:10" ht="14.25">
      <c r="A38" s="797" t="s">
        <v>298</v>
      </c>
      <c r="B38" s="797"/>
      <c r="C38" s="797"/>
      <c r="D38" s="797"/>
      <c r="E38" s="797"/>
      <c r="F38" s="797"/>
      <c r="G38" s="797"/>
      <c r="H38" s="797"/>
      <c r="I38" s="797"/>
      <c r="J38" s="797"/>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&amp;C&amp;"Arial,Regular"&amp;11WY - &amp;P</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M51"/>
  <sheetViews>
    <sheetView zoomScale="75" zoomScaleNormal="75" zoomScalePageLayoutView="0" workbookViewId="0" topLeftCell="A24">
      <selection activeCell="F27" sqref="F27"/>
    </sheetView>
  </sheetViews>
  <sheetFormatPr defaultColWidth="8.796875" defaultRowHeight="15"/>
  <cols>
    <col min="1" max="1" width="32.09765625" style="455" customWidth="1"/>
    <col min="2" max="2" width="15.69921875" style="455" customWidth="1"/>
    <col min="3" max="3" width="9.3984375" style="455" customWidth="1"/>
    <col min="4" max="4" width="16.796875" style="455" customWidth="1"/>
    <col min="5" max="5" width="9.796875" style="455" customWidth="1"/>
    <col min="6" max="6" width="15.796875" style="455" customWidth="1"/>
    <col min="7" max="7" width="13.69921875" style="455" customWidth="1"/>
    <col min="8" max="8" width="9.796875" style="455" customWidth="1"/>
    <col min="9" max="9" width="8.8984375" style="455" customWidth="1"/>
    <col min="10" max="10" width="12.3984375" style="455" customWidth="1"/>
    <col min="11" max="11" width="12.296875" style="455" customWidth="1"/>
    <col min="12" max="12" width="10.59765625" style="455" customWidth="1"/>
    <col min="13" max="13" width="12.09765625" style="455" customWidth="1"/>
    <col min="14" max="16384" width="8.8984375" style="455" customWidth="1"/>
  </cols>
  <sheetData>
    <row r="1" spans="1:8" ht="18" customHeight="1">
      <c r="A1" s="453"/>
      <c r="B1" s="453"/>
      <c r="C1" s="453"/>
      <c r="D1" s="453"/>
      <c r="E1" s="453"/>
      <c r="F1" s="453"/>
      <c r="G1" s="453"/>
      <c r="H1" s="454">
        <f>inputPrYr!C4</f>
        <v>2012</v>
      </c>
    </row>
    <row r="2" spans="1:9" ht="18" customHeight="1">
      <c r="A2" s="787" t="s">
        <v>259</v>
      </c>
      <c r="B2" s="787"/>
      <c r="C2" s="787"/>
      <c r="D2" s="787"/>
      <c r="E2" s="787"/>
      <c r="F2" s="787"/>
      <c r="G2" s="787"/>
      <c r="H2" s="787"/>
      <c r="I2" s="456"/>
    </row>
    <row r="3" spans="1:8" ht="18" customHeight="1">
      <c r="A3" s="453"/>
      <c r="B3" s="453"/>
      <c r="C3" s="453"/>
      <c r="D3" s="453"/>
      <c r="E3" s="453"/>
      <c r="F3" s="453"/>
      <c r="G3" s="453"/>
      <c r="H3" s="453"/>
    </row>
    <row r="4" spans="1:8" ht="18" customHeight="1">
      <c r="A4" s="792" t="s">
        <v>288</v>
      </c>
      <c r="B4" s="792"/>
      <c r="C4" s="792"/>
      <c r="D4" s="792"/>
      <c r="E4" s="792"/>
      <c r="F4" s="792"/>
      <c r="G4" s="792"/>
      <c r="H4" s="792"/>
    </row>
    <row r="5" spans="1:8" ht="18" customHeight="1">
      <c r="A5" s="790" t="str">
        <f>inputPrYr!C2</f>
        <v>Wyandotte County</v>
      </c>
      <c r="B5" s="790"/>
      <c r="C5" s="790"/>
      <c r="D5" s="790"/>
      <c r="E5" s="790"/>
      <c r="F5" s="790"/>
      <c r="G5" s="790"/>
      <c r="H5" s="790"/>
    </row>
    <row r="6" spans="1:8" ht="18" customHeight="1">
      <c r="A6" s="834" t="s">
        <v>1033</v>
      </c>
      <c r="B6" s="834"/>
      <c r="C6" s="834"/>
      <c r="D6" s="834"/>
      <c r="E6" s="834"/>
      <c r="F6" s="834"/>
      <c r="G6" s="834"/>
      <c r="H6" s="834"/>
    </row>
    <row r="7" spans="1:8" ht="18" customHeight="1">
      <c r="A7" s="792" t="s">
        <v>676</v>
      </c>
      <c r="B7" s="792"/>
      <c r="C7" s="792"/>
      <c r="D7" s="792"/>
      <c r="E7" s="792"/>
      <c r="F7" s="792"/>
      <c r="G7" s="792"/>
      <c r="H7" s="792"/>
    </row>
    <row r="8" spans="1:8" ht="18" customHeight="1">
      <c r="A8" s="834" t="str">
        <f>CONCATENATE("Detailed budget information is available at the Unified Government Budget Office, 701 N. 7th Street, Room 510 and will be available at this hearing.")</f>
        <v>Detailed budget information is available at the Unified Government Budget Office, 701 N. 7th Street, Room 510 and will be available at this hearing.</v>
      </c>
      <c r="B8" s="834"/>
      <c r="C8" s="834"/>
      <c r="D8" s="834"/>
      <c r="E8" s="834"/>
      <c r="F8" s="834"/>
      <c r="G8" s="834"/>
      <c r="H8" s="834"/>
    </row>
    <row r="9" spans="1:8" ht="18" customHeight="1">
      <c r="A9" s="457" t="s">
        <v>260</v>
      </c>
      <c r="B9" s="458"/>
      <c r="C9" s="458"/>
      <c r="D9" s="459"/>
      <c r="E9" s="458"/>
      <c r="F9" s="458"/>
      <c r="G9" s="458"/>
      <c r="H9" s="458"/>
    </row>
    <row r="10" spans="1:8" ht="18" customHeight="1">
      <c r="A10" s="792" t="str">
        <f>CONCATENATE("Proposed Budget ",H1," Expenditures and Amount of ",H1-1," Ad Valorem Tax establish the maximum limits of the ",H1," budget.")</f>
        <v>Proposed Budget 2012 Expenditures and Amount of 2011 Ad Valorem Tax establish the maximum limits of the 2012 budget.</v>
      </c>
      <c r="B10" s="792"/>
      <c r="C10" s="792"/>
      <c r="D10" s="792"/>
      <c r="E10" s="792"/>
      <c r="F10" s="792"/>
      <c r="G10" s="792"/>
      <c r="H10" s="792"/>
    </row>
    <row r="11" spans="1:8" ht="18" customHeight="1">
      <c r="A11" s="792" t="s">
        <v>311</v>
      </c>
      <c r="B11" s="792"/>
      <c r="C11" s="792"/>
      <c r="D11" s="792"/>
      <c r="E11" s="792"/>
      <c r="F11" s="792"/>
      <c r="G11" s="792"/>
      <c r="H11" s="792"/>
    </row>
    <row r="12" spans="1:9" ht="18" customHeight="1">
      <c r="A12" s="453"/>
      <c r="B12" s="453"/>
      <c r="C12" s="453"/>
      <c r="D12" s="453"/>
      <c r="E12" s="453"/>
      <c r="F12" s="453"/>
      <c r="G12" s="453"/>
      <c r="H12" s="453"/>
      <c r="I12" s="460"/>
    </row>
    <row r="13" spans="1:8" ht="18" customHeight="1">
      <c r="A13" s="453"/>
      <c r="B13" s="461" t="str">
        <f>CONCATENATE("Prior Year Actual for ",H1-2,"")</f>
        <v>Prior Year Actual for 2010</v>
      </c>
      <c r="C13" s="462"/>
      <c r="D13" s="463" t="str">
        <f>CONCATENATE("Current Year Estimate for ",H1-1,"")</f>
        <v>Current Year Estimate for 2011</v>
      </c>
      <c r="E13" s="462"/>
      <c r="F13" s="464" t="str">
        <f>CONCATENATE("Proposed Budget Year for ",H1,"")</f>
        <v>Proposed Budget Year for 2012</v>
      </c>
      <c r="G13" s="465"/>
      <c r="H13" s="462"/>
    </row>
    <row r="14" spans="1:8" ht="18" customHeight="1">
      <c r="A14" s="466"/>
      <c r="B14" s="467"/>
      <c r="C14" s="333" t="s">
        <v>218</v>
      </c>
      <c r="D14" s="333"/>
      <c r="E14" s="333" t="s">
        <v>218</v>
      </c>
      <c r="F14" s="468" t="s">
        <v>696</v>
      </c>
      <c r="G14" s="788" t="str">
        <f>CONCATENATE("Amount of ",H1-1,"       Ad Valorem Tax")</f>
        <v>Amount of 2011       Ad Valorem Tax</v>
      </c>
      <c r="H14" s="333" t="s">
        <v>219</v>
      </c>
    </row>
    <row r="15" spans="1:8" ht="18" customHeight="1">
      <c r="A15" s="469" t="s">
        <v>220</v>
      </c>
      <c r="B15" s="470" t="s">
        <v>133</v>
      </c>
      <c r="C15" s="470" t="s">
        <v>221</v>
      </c>
      <c r="D15" s="470" t="s">
        <v>133</v>
      </c>
      <c r="E15" s="470" t="s">
        <v>221</v>
      </c>
      <c r="F15" s="471" t="s">
        <v>697</v>
      </c>
      <c r="G15" s="789"/>
      <c r="H15" s="470" t="s">
        <v>221</v>
      </c>
    </row>
    <row r="16" spans="1:9" ht="18" customHeight="1">
      <c r="A16" s="472" t="str">
        <f>inputPrYr!B16</f>
        <v>General</v>
      </c>
      <c r="B16" s="472">
        <f>IF(general!$C$89&lt;&gt;0,general!$C$89,"  ")</f>
        <v>46690166</v>
      </c>
      <c r="C16" s="473">
        <f>IF(inputPrYr!D50&lt;&gt;0,inputPrYr!D50,"  ")</f>
        <v>24.557</v>
      </c>
      <c r="D16" s="472">
        <f>IF(general!$E$89&lt;&gt;0,general!$E$89,"  ")</f>
        <v>47922001</v>
      </c>
      <c r="E16" s="473">
        <f>IF(inputPrYr!F16&lt;&gt;0,inputPrYr!F16,"  ")</f>
        <v>27.857</v>
      </c>
      <c r="F16" s="472">
        <f>IF(general!$F$89&lt;&gt;0,general!$F$89,"  ")</f>
        <v>49541947</v>
      </c>
      <c r="G16" s="472">
        <f>IF(general!$F$96&lt;&gt;0,general!$F$96,"  ")</f>
        <v>32408029.32058824</v>
      </c>
      <c r="H16" s="473">
        <f>IF(general!F96&lt;&gt;0,ROUND(G16/$F$35*1000,3),"  ")</f>
        <v>29.958</v>
      </c>
      <c r="I16" s="509"/>
    </row>
    <row r="17" spans="1:9" ht="18" customHeight="1">
      <c r="A17" s="472" t="str">
        <f>inputPrYr!B17</f>
        <v>Bond and Interest</v>
      </c>
      <c r="B17" s="472">
        <f>IF(bondint!$C$35&lt;&gt;0,bondint!$C$35,"  ")</f>
        <v>1024588</v>
      </c>
      <c r="C17" s="473">
        <f>IF(inputPrYr!D51&lt;&gt;0,inputPrYr!D51,"  ")</f>
        <v>1.014</v>
      </c>
      <c r="D17" s="472">
        <f>IF(bondint!$E$35&lt;&gt;0,bondint!$E$35,"  ")</f>
        <v>1161820</v>
      </c>
      <c r="E17" s="473">
        <f>IF(inputPrYr!F17&lt;&gt;0,inputPrYr!F17,"  ")</f>
        <v>0.817</v>
      </c>
      <c r="F17" s="472">
        <f>IF(bondint!$F$35&lt;&gt;0,bondint!$F$35,"  ")</f>
        <v>1116950</v>
      </c>
      <c r="G17" s="472">
        <f>IF(bondint!$F$42&lt;&gt;0,bondint!$F$42,"  ")</f>
        <v>884158.872</v>
      </c>
      <c r="H17" s="473">
        <f>IF(bondint!F42&lt;&gt;0,ROUND(G17/$F$35*1000,3),"  ")</f>
        <v>0.817</v>
      </c>
      <c r="I17" s="509"/>
    </row>
    <row r="18" spans="1:9" ht="18" customHeight="1">
      <c r="A18" s="472" t="str">
        <f>inputPrYr!B18</f>
        <v>County Elections</v>
      </c>
      <c r="B18" s="472">
        <f>IF(elections!C34&lt;&gt;0,elections!C34,"  ")</f>
        <v>1135205</v>
      </c>
      <c r="C18" s="473">
        <f>IF(inputPrYr!D52&lt;&gt;0,inputPrYr!D52,"  ")</f>
        <v>0.858</v>
      </c>
      <c r="D18" s="472">
        <f>IF(elections!E34&lt;&gt;0,elections!E34,"  ")</f>
        <v>1197500</v>
      </c>
      <c r="E18" s="473">
        <f>IF(inputPrYr!F18&lt;&gt;0,inputPrYr!F18,"  ")</f>
        <v>0.856</v>
      </c>
      <c r="F18" s="472">
        <f>IF(elections!F34&lt;&gt;0,elections!F34,"  ")</f>
        <v>1413000</v>
      </c>
      <c r="G18" s="472">
        <f>IF(elections!F41&lt;&gt;0,elections!F41,"  ")</f>
        <v>926018</v>
      </c>
      <c r="H18" s="473">
        <f>IF(elections!F41&lt;&gt;0,ROUND(G18/$F$35*1000,3),"  ")</f>
        <v>0.856</v>
      </c>
      <c r="I18" s="509"/>
    </row>
    <row r="19" spans="1:9" ht="18" customHeight="1">
      <c r="A19" s="472" t="str">
        <f>IF((inputPrYr!$B19&gt;" "),(inputPrYr!$B19),"  ")</f>
        <v>Aging</v>
      </c>
      <c r="B19" s="472">
        <f>IF(aging!$C$37&lt;&gt;0,aging!$C$37,"  ")</f>
        <v>1082959</v>
      </c>
      <c r="C19" s="473">
        <f>IF(inputPrYr!D53&lt;&gt;0,inputPrYr!D53,"  ")</f>
        <v>0.811</v>
      </c>
      <c r="D19" s="472">
        <f>IF(aging!$E$37&lt;&gt;0,aging!$E$37,"  ")</f>
        <v>1168147</v>
      </c>
      <c r="E19" s="473">
        <f>IF(inputPrYr!F19&lt;&gt;0,inputPrYr!F19,"  ")</f>
        <v>0.907</v>
      </c>
      <c r="F19" s="472">
        <f>IF(aging!$F$37&lt;&gt;0,aging!$F$37,"  ")</f>
        <v>1168147</v>
      </c>
      <c r="G19" s="472">
        <f>IF(aging!$F$44&lt;&gt;0,aging!$F$44,"  ")</f>
        <v>1089371</v>
      </c>
      <c r="H19" s="473">
        <f>IF(aging!$F$44&lt;&gt;0,ROUND(G19/$F$35*1000,3),"  ")</f>
        <v>1.007</v>
      </c>
      <c r="I19" s="509"/>
    </row>
    <row r="20" spans="1:9" ht="18" customHeight="1">
      <c r="A20" s="472" t="str">
        <f>IF((inputPrYr!$B20&gt;" "),(inputPrYr!$B20),"  ")</f>
        <v>Mental Health</v>
      </c>
      <c r="B20" s="472">
        <f>IF('mental.health'!$C$32&lt;&gt;0,'mental.health'!$C$32,"  ")</f>
        <v>565867</v>
      </c>
      <c r="C20" s="473">
        <f>IF(inputPrYr!D54&lt;&gt;0,inputPrYr!D54,"  ")</f>
        <v>0.416</v>
      </c>
      <c r="D20" s="472">
        <f>IF('mental.health'!$E$32&lt;&gt;0,'mental.health'!$E$32,"  ")</f>
        <v>474867</v>
      </c>
      <c r="E20" s="473">
        <f>IF(inputPrYr!F20&lt;&gt;0,inputPrYr!F20,"  ")</f>
        <v>0.332</v>
      </c>
      <c r="F20" s="472">
        <f>IF('mental.health'!$F$32&lt;&gt;0,'mental.health'!$F$32,"  ")</f>
        <v>529331</v>
      </c>
      <c r="G20" s="472">
        <f>IF('mental.health'!$F$39&lt;&gt;0,'mental.health'!$F$39,"  ")</f>
        <v>450028</v>
      </c>
      <c r="H20" s="473">
        <f>IF('mental.health'!$F$39&lt;&gt;0,ROUND(G20/$F$35*1000,3),"  ")</f>
        <v>0.416</v>
      </c>
      <c r="I20" s="509"/>
    </row>
    <row r="21" spans="1:9" ht="18" customHeight="1">
      <c r="A21" s="472" t="str">
        <f>IF((inputPrYr!$B21&gt;" "),(inputPrYr!$B21),"  ")</f>
        <v>Developmental Disabilities</v>
      </c>
      <c r="B21" s="472">
        <f>IF('dev.dis health'!$C$31&lt;&gt;0,'dev.dis health'!$C$31,"  ")</f>
        <v>383786</v>
      </c>
      <c r="C21" s="473">
        <f>IF(inputPrYr!D55&lt;&gt;0,inputPrYr!D55,"  ")</f>
        <v>0.485</v>
      </c>
      <c r="D21" s="472">
        <f>IF('dev.dis health'!$E$31&lt;&gt;0,'dev.dis health'!$E$31,"  ")</f>
        <v>567993</v>
      </c>
      <c r="E21" s="473">
        <f>IF(inputPrYr!F21&lt;&gt;0,inputPrYr!F21,"  ")</f>
        <v>0.314</v>
      </c>
      <c r="F21" s="472">
        <f>IF('dev.dis health'!$F$31&lt;&gt;0,'dev.dis health'!$F$31,"  ")</f>
        <v>567298</v>
      </c>
      <c r="G21" s="472">
        <f>IF('dev.dis health'!$F$38&lt;&gt;0,'dev.dis health'!$F$38,"  ")</f>
        <v>339684</v>
      </c>
      <c r="H21" s="473">
        <f>IF('dev.dis health'!$F$38&lt;&gt;0,ROUND(G21/$F$35*1000,3),"  ")</f>
        <v>0.314</v>
      </c>
      <c r="I21" s="509"/>
    </row>
    <row r="22" spans="1:9" ht="18" customHeight="1">
      <c r="A22" s="472" t="str">
        <f>IF((inputPrYr!$B22&gt;" "),(inputPrYr!$B22),"  ")</f>
        <v>County Health</v>
      </c>
      <c r="B22" s="472">
        <f>IF('dev.dis health'!$C$86&lt;&gt;0,'dev.dis health'!$C$86,"  ")</f>
        <v>3152485</v>
      </c>
      <c r="C22" s="473">
        <f>IF(inputPrYr!D56&lt;&gt;0,inputPrYr!D56,"  ")</f>
        <v>1.532</v>
      </c>
      <c r="D22" s="472">
        <f>IF('dev.dis health'!$E$86&lt;&gt;0,'dev.dis health'!$E$86,"  ")</f>
        <v>3624421</v>
      </c>
      <c r="E22" s="473">
        <f>IF(inputPrYr!F22&lt;&gt;0,inputPrYr!F22,"  ")</f>
        <v>1.529</v>
      </c>
      <c r="F22" s="472">
        <f>IF('dev.dis health'!$F$86&lt;&gt;0,'dev.dis health'!$F$86,"  ")</f>
        <v>3417530</v>
      </c>
      <c r="G22" s="472">
        <f>IF('dev.dis health'!$F$93&lt;&gt;0,'dev.dis health'!$F$93,"  ")</f>
        <v>1654068</v>
      </c>
      <c r="H22" s="473">
        <f>IF('dev.dis health'!$F$93&lt;&gt;0,ROUND(G22/$F$35*1000,3),"  ")</f>
        <v>1.529</v>
      </c>
      <c r="I22" s="509"/>
    </row>
    <row r="23" spans="1:9" ht="18" customHeight="1">
      <c r="A23" s="472" t="str">
        <f>IF((inputPrYr!$B23&gt;" "),(inputPrYr!$B23),"  ")</f>
        <v>County Initiative for Funding Infrastructure</v>
      </c>
      <c r="B23" s="472">
        <f>IF('cifi cons.parks'!$C$32&lt;&gt;0,'cifi cons.parks'!$C$32,"  ")</f>
        <v>200000</v>
      </c>
      <c r="C23" s="473">
        <v>0</v>
      </c>
      <c r="D23" s="472">
        <f>IF('cifi cons.parks'!$E$32&lt;&gt;0,'cifi cons.parks'!$E$32,"  ")</f>
        <v>12262</v>
      </c>
      <c r="E23" s="473">
        <v>0</v>
      </c>
      <c r="F23" s="472">
        <v>0</v>
      </c>
      <c r="G23" s="472">
        <v>0</v>
      </c>
      <c r="H23" s="473">
        <v>0</v>
      </c>
      <c r="I23" s="509"/>
    </row>
    <row r="24" spans="1:9" ht="18" customHeight="1">
      <c r="A24" s="472" t="str">
        <f>IF((inputPrYr!$B24&gt;" "),(inputPrYr!$B24),"  ")</f>
        <v>Consolidated Parks General Fund</v>
      </c>
      <c r="B24" s="472">
        <f>IF('cifi cons.parks'!$C$89&lt;&gt;0,'cifi cons.parks'!$C$89,"  ")</f>
        <v>5750364</v>
      </c>
      <c r="C24" s="473">
        <f>IF(inputPrYr!D58&lt;&gt;0,inputPrYr!D58,"  ")</f>
        <v>1.216</v>
      </c>
      <c r="D24" s="472">
        <f>IF('cifi cons.parks'!$E$89&lt;&gt;0,'cifi cons.parks'!$E$89,"  ")</f>
        <v>6132309</v>
      </c>
      <c r="E24" s="473">
        <f>IF(inputPrYr!F24&lt;&gt;0,inputPrYr!F24,"  ")</f>
        <v>1.464</v>
      </c>
      <c r="F24" s="472">
        <f>IF('cifi cons.parks'!$F$89&lt;&gt;0,'cifi cons.parks'!$F$89,"  ")</f>
        <v>5542496</v>
      </c>
      <c r="G24" s="472">
        <f>IF('cifi cons.parks'!$F$96&lt;&gt;0,'cifi cons.parks'!$F$96,"  ")</f>
        <v>1475572</v>
      </c>
      <c r="H24" s="473">
        <f>IF('cifi cons.parks'!$F$96&lt;&gt;0,ROUND(G24/$F$35*1000,3),"  ")</f>
        <v>1.364</v>
      </c>
      <c r="I24" s="509"/>
    </row>
    <row r="25" spans="1:9" ht="18" customHeight="1">
      <c r="A25" s="472" t="str">
        <f>IF((inputPrYr!$B28&gt;" "),(inputPrYr!$B28),"  ")</f>
        <v>Court Trustee</v>
      </c>
      <c r="B25" s="472">
        <f>IF(trustee!$C$26&lt;&gt;0,trustee!$C$26,"  ")</f>
        <v>363403</v>
      </c>
      <c r="C25" s="474"/>
      <c r="D25" s="472">
        <f>IF(trustee!$E$26&lt;&gt;0,trustee!$E$26,"  ")</f>
        <v>431202</v>
      </c>
      <c r="E25" s="474"/>
      <c r="F25" s="472">
        <f>IF(trustee!$F$26&lt;&gt;0,trustee!$F$26,"  ")</f>
        <v>431202</v>
      </c>
      <c r="G25" s="472">
        <v>0</v>
      </c>
      <c r="H25" s="475"/>
      <c r="I25" s="509"/>
    </row>
    <row r="26" spans="1:9" ht="18" customHeight="1">
      <c r="A26" s="472" t="str">
        <f>IF((inputPrYr!$B29&gt;" "),(inputPrYr!$B29),"  ")</f>
        <v>Jail Commissary</v>
      </c>
      <c r="B26" s="472">
        <f>IF('Jail C Reg of Deeds'!$C$27&lt;&gt;0,'Jail C Reg of Deeds'!$C$27,"  ")</f>
        <v>52317</v>
      </c>
      <c r="C26" s="474"/>
      <c r="D26" s="472">
        <f>IF('Jail C Reg of Deeds'!$E$27&lt;&gt;0,'Jail C Reg of Deeds'!$E$27,"  ")</f>
        <v>60000</v>
      </c>
      <c r="E26" s="474"/>
      <c r="F26" s="472">
        <f>IF('Jail C Reg of Deeds'!$F$27&lt;&gt;0,'Jail C Reg of Deeds'!$F$27,"  ")</f>
        <v>60000</v>
      </c>
      <c r="G26" s="472">
        <v>0</v>
      </c>
      <c r="H26" s="475"/>
      <c r="I26" s="509"/>
    </row>
    <row r="27" spans="1:9" ht="18" customHeight="1">
      <c r="A27" s="472" t="str">
        <f>IF((inputPrYr!$B30&gt;" "),(inputPrYr!$B30),"  ")</f>
        <v>Register of Deeds Technology</v>
      </c>
      <c r="B27" s="472">
        <f>IF('Jail C Reg of Deeds'!$C$56&lt;&gt;0,'Jail C Reg of Deeds'!$C$56,"  ")</f>
        <v>103574</v>
      </c>
      <c r="C27" s="474"/>
      <c r="D27" s="472">
        <f>IF('Jail C Reg of Deeds'!$E$56&lt;&gt;0,'Jail C Reg of Deeds'!$E$56,"  ")</f>
        <v>185000</v>
      </c>
      <c r="E27" s="474"/>
      <c r="F27" s="472">
        <f>IF('Jail C Reg of Deeds'!$F$56&lt;&gt;0,'Jail C Reg of Deeds'!$F$56,"  ")</f>
        <v>165000</v>
      </c>
      <c r="G27" s="472">
        <v>0</v>
      </c>
      <c r="H27" s="475"/>
      <c r="I27" s="509"/>
    </row>
    <row r="28" spans="1:13" ht="18" customHeight="1">
      <c r="A28" s="472" t="str">
        <f>IF((inputPrYr!$B34&gt;"  "),(nonbudA!$A3),"  ")</f>
        <v>Non-Budgeted Funds-A</v>
      </c>
      <c r="B28" s="472">
        <f>IF(nonbudA!$K$28&lt;&gt;0,nonbudA!$K$28,"  ")</f>
        <v>10002360</v>
      </c>
      <c r="C28" s="474"/>
      <c r="D28" s="472"/>
      <c r="E28" s="474"/>
      <c r="F28" s="472"/>
      <c r="G28" s="472"/>
      <c r="H28" s="475"/>
      <c r="I28" s="509"/>
      <c r="J28" s="476" t="str">
        <f>CONCATENATE("",H1," Tax Levy Fund Expenditures Must Be")</f>
        <v>2012 Tax Levy Fund Expenditures Must Be</v>
      </c>
      <c r="K28" s="476"/>
      <c r="L28" s="476"/>
      <c r="M28" s="477"/>
    </row>
    <row r="29" spans="1:13" ht="18" customHeight="1">
      <c r="A29" s="472" t="str">
        <f>IF((inputPrYr!$B40&gt;"  "),(nonbudB!$A3),"  ")</f>
        <v>Non-Budgeted Funds-B</v>
      </c>
      <c r="B29" s="472">
        <f>IF(nonbudB!$K$28&lt;&gt;0,nonbudB!$K$28,"  ")</f>
        <v>4782185</v>
      </c>
      <c r="C29" s="474"/>
      <c r="D29" s="472"/>
      <c r="E29" s="474"/>
      <c r="F29" s="472"/>
      <c r="G29" s="472"/>
      <c r="H29" s="475"/>
      <c r="I29" s="509"/>
      <c r="J29" s="476" t="e">
        <f>IF(M29&gt;0,"Increased By:","")</f>
        <v>#REF!</v>
      </c>
      <c r="K29" s="476"/>
      <c r="L29" s="476"/>
      <c r="M29" s="478" t="e">
        <f>IF(M35&lt;0,M35*-1,0)</f>
        <v>#REF!</v>
      </c>
    </row>
    <row r="30" spans="1:13" ht="18" customHeight="1">
      <c r="A30" s="472"/>
      <c r="B30" s="480"/>
      <c r="C30" s="502"/>
      <c r="D30" s="480"/>
      <c r="E30" s="502"/>
      <c r="F30" s="480"/>
      <c r="G30" s="480"/>
      <c r="H30" s="503"/>
      <c r="I30" s="509"/>
      <c r="J30" s="476"/>
      <c r="K30" s="476"/>
      <c r="L30" s="476"/>
      <c r="M30" s="478"/>
    </row>
    <row r="31" spans="1:13" ht="18" customHeight="1">
      <c r="A31" s="479" t="s">
        <v>152</v>
      </c>
      <c r="B31" s="480">
        <f>SUM(B16:B29)</f>
        <v>75289259</v>
      </c>
      <c r="C31" s="481">
        <f>SUM(C16:C24)</f>
        <v>30.889</v>
      </c>
      <c r="D31" s="480">
        <f>SUM(D16:D29)</f>
        <v>62937522</v>
      </c>
      <c r="E31" s="481">
        <f>SUM(E16:E24)</f>
        <v>34.076</v>
      </c>
      <c r="F31" s="480">
        <f>SUM(F16:F29)</f>
        <v>63952901</v>
      </c>
      <c r="G31" s="480">
        <f>SUM(G16:G24)</f>
        <v>39226929.19258824</v>
      </c>
      <c r="H31" s="481">
        <f>SUM(H16:H24)</f>
        <v>36.26099999999999</v>
      </c>
      <c r="I31" s="509"/>
      <c r="J31" s="835" t="str">
        <f>CONCATENATE("Impact On Keeping The Same Mill Rate As For ",H1-1,"")</f>
        <v>Impact On Keeping The Same Mill Rate As For 2011</v>
      </c>
      <c r="K31" s="835"/>
      <c r="L31" s="835"/>
      <c r="M31" s="836"/>
    </row>
    <row r="32" spans="1:13" ht="18" customHeight="1">
      <c r="A32" s="466" t="s">
        <v>222</v>
      </c>
      <c r="B32" s="482">
        <f>transfers!C29</f>
        <v>450000</v>
      </c>
      <c r="C32" s="483"/>
      <c r="D32" s="482">
        <f>transfers!D29</f>
        <v>287262</v>
      </c>
      <c r="E32" s="484"/>
      <c r="F32" s="482">
        <f>transfers!E29</f>
        <v>200000</v>
      </c>
      <c r="G32" s="453"/>
      <c r="H32" s="485"/>
      <c r="I32" s="509"/>
      <c r="J32" s="487"/>
      <c r="K32" s="487"/>
      <c r="L32" s="487"/>
      <c r="M32" s="477"/>
    </row>
    <row r="33" spans="1:13" ht="18" customHeight="1" thickBot="1">
      <c r="A33" s="466" t="s">
        <v>223</v>
      </c>
      <c r="B33" s="488">
        <f>B31-B32</f>
        <v>74839259</v>
      </c>
      <c r="C33" s="453"/>
      <c r="D33" s="488">
        <f>D31-D32</f>
        <v>62650260</v>
      </c>
      <c r="E33" s="483"/>
      <c r="F33" s="488">
        <f>F31-F32</f>
        <v>63752901</v>
      </c>
      <c r="G33" s="453"/>
      <c r="H33" s="485"/>
      <c r="J33" s="486" t="str">
        <f>CONCATENATE("",H1," Ad Valorem Tax Revenue:")</f>
        <v>2012 Ad Valorem Tax Revenue:</v>
      </c>
      <c r="K33" s="487"/>
      <c r="L33" s="487"/>
      <c r="M33" s="489">
        <f>G31</f>
        <v>39226929.19258824</v>
      </c>
    </row>
    <row r="34" spans="1:13" ht="18" customHeight="1" thickTop="1">
      <c r="A34" s="466" t="s">
        <v>224</v>
      </c>
      <c r="B34" s="480">
        <f>inputPrYr!F61</f>
        <v>35334629</v>
      </c>
      <c r="C34" s="453"/>
      <c r="D34" s="480">
        <f>inputPrYr!E26</f>
        <v>37448392</v>
      </c>
      <c r="E34" s="453"/>
      <c r="F34" s="490" t="s">
        <v>60</v>
      </c>
      <c r="G34" s="453"/>
      <c r="H34" s="485"/>
      <c r="J34" s="486" t="str">
        <f>CONCATENATE("",H1-1," Ad Valorem Tax Revenue:")</f>
        <v>2011 Ad Valorem Tax Revenue:</v>
      </c>
      <c r="K34" s="487"/>
      <c r="L34" s="487"/>
      <c r="M34" s="491" t="e">
        <f>ROUND(F35*#REF!/1000,0)</f>
        <v>#REF!</v>
      </c>
    </row>
    <row r="35" spans="1:13" ht="18" customHeight="1">
      <c r="A35" s="466" t="s">
        <v>225</v>
      </c>
      <c r="B35" s="472">
        <f>inputPrYr!F62</f>
        <v>1254330279</v>
      </c>
      <c r="C35" s="453"/>
      <c r="D35" s="472">
        <f>inputPrYr!F45</f>
        <v>1098921073</v>
      </c>
      <c r="E35" s="453"/>
      <c r="F35" s="472">
        <v>1081797845</v>
      </c>
      <c r="G35" s="453"/>
      <c r="H35" s="485"/>
      <c r="J35" s="492" t="s">
        <v>710</v>
      </c>
      <c r="K35" s="493"/>
      <c r="L35" s="493"/>
      <c r="M35" s="494" t="e">
        <f>SUM(M33-M34)</f>
        <v>#REF!</v>
      </c>
    </row>
    <row r="36" spans="1:13" ht="18" customHeight="1">
      <c r="A36" s="453"/>
      <c r="B36" s="453"/>
      <c r="C36" s="453"/>
      <c r="D36" s="453"/>
      <c r="E36" s="453"/>
      <c r="F36" s="453"/>
      <c r="G36" s="453"/>
      <c r="H36" s="485"/>
      <c r="J36" s="495"/>
      <c r="K36" s="495"/>
      <c r="L36" s="495"/>
      <c r="M36" s="496"/>
    </row>
    <row r="37" spans="1:13" ht="18" customHeight="1">
      <c r="A37" s="466" t="s">
        <v>226</v>
      </c>
      <c r="B37" s="453"/>
      <c r="C37" s="453"/>
      <c r="D37" s="453"/>
      <c r="E37" s="453"/>
      <c r="F37" s="453"/>
      <c r="G37" s="453"/>
      <c r="H37" s="497"/>
      <c r="J37" s="837" t="s">
        <v>711</v>
      </c>
      <c r="K37" s="838"/>
      <c r="L37" s="838"/>
      <c r="M37" s="839"/>
    </row>
    <row r="38" spans="1:13" ht="18" customHeight="1">
      <c r="A38" s="466" t="s">
        <v>227</v>
      </c>
      <c r="B38" s="498">
        <f>H1-3</f>
        <v>2009</v>
      </c>
      <c r="C38" s="453"/>
      <c r="D38" s="498">
        <f>H1-2</f>
        <v>2010</v>
      </c>
      <c r="E38" s="453"/>
      <c r="F38" s="498">
        <f>H1-1</f>
        <v>2011</v>
      </c>
      <c r="G38" s="453"/>
      <c r="H38" s="497"/>
      <c r="J38" s="486"/>
      <c r="K38" s="487"/>
      <c r="L38" s="487"/>
      <c r="M38" s="477"/>
    </row>
    <row r="39" spans="1:13" ht="18" customHeight="1">
      <c r="A39" s="466" t="s">
        <v>228</v>
      </c>
      <c r="B39" s="472">
        <f>inputPrYr!D66</f>
        <v>0</v>
      </c>
      <c r="C39" s="453"/>
      <c r="D39" s="472">
        <f>inputPrYr!E66</f>
        <v>0</v>
      </c>
      <c r="E39" s="453"/>
      <c r="F39" s="472">
        <f>debt!F19</f>
        <v>0</v>
      </c>
      <c r="G39" s="453"/>
      <c r="H39" s="497"/>
      <c r="J39" s="486" t="str">
        <f>CONCATENATE("Current ",H1," Estimated Mill Rate:")</f>
        <v>Current 2012 Estimated Mill Rate:</v>
      </c>
      <c r="K39" s="487"/>
      <c r="L39" s="487"/>
      <c r="M39" s="499">
        <f>H31</f>
        <v>36.26099999999999</v>
      </c>
    </row>
    <row r="40" spans="1:13" ht="18" customHeight="1">
      <c r="A40" s="466" t="s">
        <v>229</v>
      </c>
      <c r="B40" s="472">
        <f>inputPrYr!D67</f>
        <v>0</v>
      </c>
      <c r="C40" s="453"/>
      <c r="D40" s="472">
        <f>inputPrYr!E67</f>
        <v>0</v>
      </c>
      <c r="E40" s="453"/>
      <c r="F40" s="472">
        <f>debt!F27</f>
        <v>0</v>
      </c>
      <c r="G40" s="453"/>
      <c r="H40" s="497"/>
      <c r="J40" s="486" t="str">
        <f>CONCATENATE("Desired ",H1," Mill Rate:")</f>
        <v>Desired 2012 Mill Rate:</v>
      </c>
      <c r="K40" s="487"/>
      <c r="L40" s="487"/>
      <c r="M40" s="500">
        <v>0</v>
      </c>
    </row>
    <row r="41" spans="1:13" ht="18" customHeight="1">
      <c r="A41" s="466" t="s">
        <v>215</v>
      </c>
      <c r="B41" s="472">
        <f>inputPrYr!D68</f>
        <v>0</v>
      </c>
      <c r="C41" s="453"/>
      <c r="D41" s="472">
        <f>inputPrYr!E68</f>
        <v>0</v>
      </c>
      <c r="E41" s="453"/>
      <c r="F41" s="472">
        <f>debt!F36</f>
        <v>105000</v>
      </c>
      <c r="G41" s="453"/>
      <c r="H41" s="497"/>
      <c r="J41" s="486" t="str">
        <f>CONCATENATE("",H1," Ad Valorem Tax:")</f>
        <v>2012 Ad Valorem Tax:</v>
      </c>
      <c r="K41" s="487"/>
      <c r="L41" s="487"/>
      <c r="M41" s="491">
        <f>ROUND(F35*M40/1000,0)</f>
        <v>0</v>
      </c>
    </row>
    <row r="42" spans="1:13" ht="18" customHeight="1">
      <c r="A42" s="466" t="s">
        <v>312</v>
      </c>
      <c r="B42" s="472">
        <f>inputPrYr!D69</f>
        <v>4659330</v>
      </c>
      <c r="C42" s="453"/>
      <c r="D42" s="472">
        <f>inputPrYr!E69</f>
        <v>3850792</v>
      </c>
      <c r="E42" s="453"/>
      <c r="F42" s="472">
        <f>lpform!F37</f>
        <v>3559300</v>
      </c>
      <c r="G42" s="453"/>
      <c r="H42" s="497"/>
      <c r="J42" s="492" t="str">
        <f>CONCATENATE("",H1," Tax Levy Fund Exp. Changed By:")</f>
        <v>2012 Tax Levy Fund Exp. Changed By:</v>
      </c>
      <c r="K42" s="493"/>
      <c r="L42" s="493"/>
      <c r="M42" s="494">
        <f>IF(M40=0,0,(M41-G31))</f>
        <v>0</v>
      </c>
    </row>
    <row r="43" spans="1:8" ht="18" customHeight="1" thickBot="1">
      <c r="A43" s="466" t="s">
        <v>230</v>
      </c>
      <c r="B43" s="501">
        <f>SUM(B39:B42)</f>
        <v>4659330</v>
      </c>
      <c r="C43" s="453"/>
      <c r="D43" s="501">
        <f>SUM(D39:D42)</f>
        <v>3850792</v>
      </c>
      <c r="E43" s="453"/>
      <c r="F43" s="501">
        <f>SUM(F39:F42)</f>
        <v>3664300</v>
      </c>
      <c r="G43" s="453"/>
      <c r="H43" s="497"/>
    </row>
    <row r="44" spans="1:8" ht="18" customHeight="1" thickTop="1">
      <c r="A44" s="466" t="s">
        <v>231</v>
      </c>
      <c r="B44" s="453"/>
      <c r="C44" s="453"/>
      <c r="D44" s="453"/>
      <c r="E44" s="453"/>
      <c r="F44" s="453"/>
      <c r="G44" s="453"/>
      <c r="H44" s="497"/>
    </row>
    <row r="45" spans="1:8" ht="18" customHeight="1">
      <c r="A45" s="466"/>
      <c r="B45" s="453"/>
      <c r="C45" s="453"/>
      <c r="D45" s="453"/>
      <c r="E45" s="453"/>
      <c r="F45" s="453"/>
      <c r="G45" s="453"/>
      <c r="H45" s="497"/>
    </row>
    <row r="46" spans="1:8" ht="18" customHeight="1">
      <c r="A46" s="504" t="s">
        <v>945</v>
      </c>
      <c r="B46" s="504">
        <v>1737375</v>
      </c>
      <c r="C46" s="505">
        <v>4.13</v>
      </c>
      <c r="D46" s="504">
        <v>1944244</v>
      </c>
      <c r="E46" s="505">
        <v>5.03</v>
      </c>
      <c r="F46" s="504">
        <v>1998971</v>
      </c>
      <c r="G46" s="506">
        <f>Library!F39</f>
        <v>1761691</v>
      </c>
      <c r="H46" s="508">
        <f>IF('[1]Library'!F33&lt;&gt;0,ROUND(G46/$F$47*1000,3),"  ")</f>
        <v>5.03</v>
      </c>
    </row>
    <row r="47" spans="1:8" ht="18" customHeight="1">
      <c r="A47" s="504" t="s">
        <v>225</v>
      </c>
      <c r="B47" s="504">
        <v>367056375</v>
      </c>
      <c r="C47" s="505"/>
      <c r="D47" s="504">
        <v>350540199</v>
      </c>
      <c r="E47" s="505"/>
      <c r="F47" s="504">
        <v>350236838</v>
      </c>
      <c r="G47" s="504"/>
      <c r="H47" s="507"/>
    </row>
    <row r="48" spans="1:8" ht="18" customHeight="1">
      <c r="A48" s="453"/>
      <c r="B48" s="453"/>
      <c r="C48" s="453"/>
      <c r="D48" s="453"/>
      <c r="E48" s="453"/>
      <c r="F48" s="453"/>
      <c r="G48" s="453"/>
      <c r="H48" s="497"/>
    </row>
    <row r="49" spans="1:8" ht="18" customHeight="1">
      <c r="A49" s="840"/>
      <c r="B49" s="840"/>
      <c r="C49" s="453"/>
      <c r="D49" s="453"/>
      <c r="E49" s="453"/>
      <c r="F49" s="453"/>
      <c r="G49" s="453"/>
      <c r="H49" s="497"/>
    </row>
    <row r="50" spans="1:8" ht="18" customHeight="1">
      <c r="A50" s="459" t="s">
        <v>1032</v>
      </c>
      <c r="B50" s="458"/>
      <c r="C50" s="453"/>
      <c r="D50" s="453"/>
      <c r="E50" s="453"/>
      <c r="F50" s="453"/>
      <c r="G50" s="453"/>
      <c r="H50" s="497"/>
    </row>
    <row r="51" spans="1:8" ht="18" customHeight="1">
      <c r="A51" s="460"/>
      <c r="D51" s="460"/>
      <c r="E51" s="460"/>
      <c r="F51" s="460"/>
      <c r="G51" s="460"/>
      <c r="H51" s="460"/>
    </row>
  </sheetData>
  <sheetProtection/>
  <mergeCells count="12">
    <mergeCell ref="A2:H2"/>
    <mergeCell ref="A4:H4"/>
    <mergeCell ref="A5:H5"/>
    <mergeCell ref="A6:H6"/>
    <mergeCell ref="A10:H10"/>
    <mergeCell ref="A11:H11"/>
    <mergeCell ref="A7:H7"/>
    <mergeCell ref="A8:H8"/>
    <mergeCell ref="J31:M31"/>
    <mergeCell ref="J37:M37"/>
    <mergeCell ref="A49:B49"/>
    <mergeCell ref="G14:G15"/>
  </mergeCells>
  <printOptions/>
  <pageMargins left="1.12" right="0.5" top="0.74" bottom="0.34" header="0.5" footer="0"/>
  <pageSetup blackAndWhite="1" fitToHeight="1" fitToWidth="1" horizontalDpi="120" verticalDpi="120" orientation="portrait" scale="59" r:id="rId1"/>
  <headerFooter alignWithMargins="0">
    <oddHeader>&amp;RState of Kansas
County
</oddHeader>
    <oddFooter>&amp;C&amp;"Arial,Regular"&amp;11WY - &amp;P</oddFooter>
  </headerFooter>
</worksheet>
</file>

<file path=xl/worksheets/sheet21.xml><?xml version="1.0" encoding="utf-8"?>
<worksheet xmlns="http://schemas.openxmlformats.org/spreadsheetml/2006/main" xmlns:r="http://schemas.openxmlformats.org/officeDocument/2006/relationships">
  <dimension ref="A1:D402"/>
  <sheetViews>
    <sheetView zoomScalePageLayoutView="0" workbookViewId="0" topLeftCell="A1">
      <selection activeCell="D4" sqref="D4"/>
    </sheetView>
  </sheetViews>
  <sheetFormatPr defaultColWidth="8.796875" defaultRowHeight="15"/>
  <cols>
    <col min="1" max="1" width="30.796875" style="27" customWidth="1"/>
    <col min="2" max="3" width="15.796875" style="27" customWidth="1"/>
    <col min="4" max="4" width="16.09765625" style="27" customWidth="1"/>
    <col min="5" max="16384" width="8.8984375" style="27" customWidth="1"/>
  </cols>
  <sheetData>
    <row r="1" spans="1:4" ht="15.75">
      <c r="A1" s="100" t="str">
        <f>inputPrYr!C2</f>
        <v>Wyandotte County</v>
      </c>
      <c r="B1" s="40"/>
      <c r="C1" s="111"/>
      <c r="D1" s="40">
        <f>inputPrYr!C4</f>
        <v>2012</v>
      </c>
    </row>
    <row r="2" spans="1:4" ht="15.75">
      <c r="A2" s="40"/>
      <c r="B2" s="40"/>
      <c r="C2" s="40"/>
      <c r="D2" s="111"/>
    </row>
    <row r="3" spans="1:4" ht="15.75">
      <c r="A3" s="71" t="s">
        <v>262</v>
      </c>
      <c r="B3" s="117"/>
      <c r="C3" s="117"/>
      <c r="D3" s="117"/>
    </row>
    <row r="4" spans="1:4" ht="15.75">
      <c r="A4" s="111" t="s">
        <v>155</v>
      </c>
      <c r="B4" s="206" t="str">
        <f>general!C4</f>
        <v>Prior Year</v>
      </c>
      <c r="C4" s="185" t="str">
        <f>general!E4</f>
        <v>Current Year</v>
      </c>
      <c r="D4" s="185" t="str">
        <f>general!F4</f>
        <v>Proposed Budget</v>
      </c>
    </row>
    <row r="5" spans="1:4" ht="15.75">
      <c r="A5" s="186" t="s">
        <v>704</v>
      </c>
      <c r="B5" s="118" t="str">
        <f>general!C5</f>
        <v>Actual 2010</v>
      </c>
      <c r="C5" s="118" t="str">
        <f>general!E5</f>
        <v>Amended 2011</v>
      </c>
      <c r="D5" s="112" t="str">
        <f>general!F5</f>
        <v>Year 2012</v>
      </c>
    </row>
    <row r="6" spans="1:4" ht="15.75">
      <c r="A6" s="101" t="s">
        <v>163</v>
      </c>
      <c r="B6" s="59"/>
      <c r="C6" s="59"/>
      <c r="D6" s="59"/>
    </row>
    <row r="7" spans="1:4" ht="15.75">
      <c r="A7" s="123" t="s">
        <v>168</v>
      </c>
      <c r="B7" s="59"/>
      <c r="C7" s="59"/>
      <c r="D7" s="59"/>
    </row>
    <row r="8" spans="1:4" ht="15.75">
      <c r="A8" s="48" t="s">
        <v>169</v>
      </c>
      <c r="B8" s="113"/>
      <c r="C8" s="113"/>
      <c r="D8" s="113"/>
    </row>
    <row r="9" spans="1:4" ht="15.75">
      <c r="A9" s="48" t="s">
        <v>170</v>
      </c>
      <c r="B9" s="113"/>
      <c r="C9" s="113"/>
      <c r="D9" s="113"/>
    </row>
    <row r="10" spans="1:4" ht="15.75">
      <c r="A10" s="48" t="s">
        <v>171</v>
      </c>
      <c r="B10" s="113"/>
      <c r="C10" s="113"/>
      <c r="D10" s="113"/>
    </row>
    <row r="11" spans="1:4" ht="15.75">
      <c r="A11" s="48" t="s">
        <v>172</v>
      </c>
      <c r="B11" s="113"/>
      <c r="C11" s="113"/>
      <c r="D11" s="113"/>
    </row>
    <row r="12" spans="1:4" ht="15.75">
      <c r="A12" s="106"/>
      <c r="B12" s="113"/>
      <c r="C12" s="113"/>
      <c r="D12" s="113"/>
    </row>
    <row r="13" spans="1:4" ht="15.75">
      <c r="A13" s="111" t="s">
        <v>124</v>
      </c>
      <c r="B13" s="124">
        <f>SUM(B8:B12)</f>
        <v>0</v>
      </c>
      <c r="C13" s="124">
        <f>SUM(C8:C12)</f>
        <v>0</v>
      </c>
      <c r="D13" s="124">
        <f>SUM(D8:D12)</f>
        <v>0</v>
      </c>
    </row>
    <row r="14" spans="1:4" ht="15.75">
      <c r="A14" s="123" t="s">
        <v>173</v>
      </c>
      <c r="B14" s="59"/>
      <c r="C14" s="59"/>
      <c r="D14" s="59"/>
    </row>
    <row r="15" spans="1:4" ht="15.75">
      <c r="A15" s="48" t="s">
        <v>169</v>
      </c>
      <c r="B15" s="113"/>
      <c r="C15" s="113"/>
      <c r="D15" s="113"/>
    </row>
    <row r="16" spans="1:4" ht="15.75">
      <c r="A16" s="48" t="s">
        <v>170</v>
      </c>
      <c r="B16" s="113"/>
      <c r="C16" s="113"/>
      <c r="D16" s="113"/>
    </row>
    <row r="17" spans="1:4" ht="15.75">
      <c r="A17" s="48" t="s">
        <v>171</v>
      </c>
      <c r="B17" s="113"/>
      <c r="C17" s="113"/>
      <c r="D17" s="113"/>
    </row>
    <row r="18" spans="1:4" ht="15.75">
      <c r="A18" s="48" t="s">
        <v>172</v>
      </c>
      <c r="B18" s="113"/>
      <c r="C18" s="113"/>
      <c r="D18" s="113"/>
    </row>
    <row r="19" spans="1:4" ht="15.75">
      <c r="A19" s="111" t="s">
        <v>124</v>
      </c>
      <c r="B19" s="124">
        <f>SUM(B15:B18)</f>
        <v>0</v>
      </c>
      <c r="C19" s="124">
        <f>SUM(C15:C18)</f>
        <v>0</v>
      </c>
      <c r="D19" s="124">
        <f>SUM(D15:D18)</f>
        <v>0</v>
      </c>
    </row>
    <row r="20" spans="1:4" ht="15.75">
      <c r="A20" s="123" t="s">
        <v>174</v>
      </c>
      <c r="B20" s="59"/>
      <c r="C20" s="59"/>
      <c r="D20" s="59"/>
    </row>
    <row r="21" spans="1:4" ht="15.75">
      <c r="A21" s="48" t="s">
        <v>169</v>
      </c>
      <c r="B21" s="113"/>
      <c r="C21" s="113"/>
      <c r="D21" s="113"/>
    </row>
    <row r="22" spans="1:4" ht="15.75">
      <c r="A22" s="48" t="s">
        <v>170</v>
      </c>
      <c r="B22" s="113"/>
      <c r="C22" s="113"/>
      <c r="D22" s="113"/>
    </row>
    <row r="23" spans="1:4" ht="15.75">
      <c r="A23" s="48" t="s">
        <v>171</v>
      </c>
      <c r="B23" s="113"/>
      <c r="C23" s="113"/>
      <c r="D23" s="113"/>
    </row>
    <row r="24" spans="1:4" ht="15.75">
      <c r="A24" s="48" t="s">
        <v>172</v>
      </c>
      <c r="B24" s="113"/>
      <c r="C24" s="113"/>
      <c r="D24" s="113"/>
    </row>
    <row r="25" spans="1:4" ht="15.75">
      <c r="A25" s="111" t="s">
        <v>124</v>
      </c>
      <c r="B25" s="124">
        <f>SUM(B21:B24)</f>
        <v>0</v>
      </c>
      <c r="C25" s="124">
        <f>SUM(C21:C24)</f>
        <v>0</v>
      </c>
      <c r="D25" s="124">
        <f>SUM(D21:D24)</f>
        <v>0</v>
      </c>
    </row>
    <row r="26" spans="1:4" ht="15.75">
      <c r="A26" s="123" t="s">
        <v>175</v>
      </c>
      <c r="B26" s="59"/>
      <c r="C26" s="59"/>
      <c r="D26" s="59"/>
    </row>
    <row r="27" spans="1:4" ht="15.75">
      <c r="A27" s="48" t="s">
        <v>169</v>
      </c>
      <c r="B27" s="113"/>
      <c r="C27" s="113"/>
      <c r="D27" s="113"/>
    </row>
    <row r="28" spans="1:4" ht="15.75">
      <c r="A28" s="48" t="s">
        <v>170</v>
      </c>
      <c r="B28" s="113"/>
      <c r="C28" s="113"/>
      <c r="D28" s="113"/>
    </row>
    <row r="29" spans="1:4" ht="15.75">
      <c r="A29" s="48" t="s">
        <v>171</v>
      </c>
      <c r="B29" s="113"/>
      <c r="C29" s="113"/>
      <c r="D29" s="113"/>
    </row>
    <row r="30" spans="1:4" ht="15.75">
      <c r="A30" s="48" t="s">
        <v>172</v>
      </c>
      <c r="B30" s="113"/>
      <c r="C30" s="113"/>
      <c r="D30" s="113"/>
    </row>
    <row r="31" spans="1:4" ht="15.75">
      <c r="A31" s="111" t="s">
        <v>124</v>
      </c>
      <c r="B31" s="124">
        <f>SUM(B27:B30)</f>
        <v>0</v>
      </c>
      <c r="C31" s="124">
        <f>SUM(C27:C30)</f>
        <v>0</v>
      </c>
      <c r="D31" s="124">
        <f>SUM(D27:D30)</f>
        <v>0</v>
      </c>
    </row>
    <row r="32" spans="1:4" ht="15.75">
      <c r="A32" s="123" t="s">
        <v>176</v>
      </c>
      <c r="B32" s="59"/>
      <c r="C32" s="59"/>
      <c r="D32" s="59"/>
    </row>
    <row r="33" spans="1:4" ht="15.75">
      <c r="A33" s="48" t="s">
        <v>169</v>
      </c>
      <c r="B33" s="113"/>
      <c r="C33" s="113"/>
      <c r="D33" s="113"/>
    </row>
    <row r="34" spans="1:4" ht="15.75">
      <c r="A34" s="48" t="s">
        <v>170</v>
      </c>
      <c r="B34" s="113"/>
      <c r="C34" s="113"/>
      <c r="D34" s="113"/>
    </row>
    <row r="35" spans="1:4" ht="15.75">
      <c r="A35" s="48" t="s">
        <v>171</v>
      </c>
      <c r="B35" s="113"/>
      <c r="C35" s="113"/>
      <c r="D35" s="113"/>
    </row>
    <row r="36" spans="1:4" ht="15.75">
      <c r="A36" s="114" t="s">
        <v>172</v>
      </c>
      <c r="B36" s="113"/>
      <c r="C36" s="113"/>
      <c r="D36" s="113"/>
    </row>
    <row r="37" spans="1:4" ht="15.75">
      <c r="A37" s="111" t="s">
        <v>124</v>
      </c>
      <c r="B37" s="124">
        <f>SUM(B33:B36)</f>
        <v>0</v>
      </c>
      <c r="C37" s="124">
        <f>SUM(C33:C36)</f>
        <v>0</v>
      </c>
      <c r="D37" s="124">
        <f>SUM(D33:D36)</f>
        <v>0</v>
      </c>
    </row>
    <row r="38" spans="1:4" ht="15.75">
      <c r="A38" s="123" t="s">
        <v>177</v>
      </c>
      <c r="B38" s="59"/>
      <c r="C38" s="59"/>
      <c r="D38" s="59"/>
    </row>
    <row r="39" spans="1:4" ht="15.75">
      <c r="A39" s="48" t="s">
        <v>169</v>
      </c>
      <c r="B39" s="113"/>
      <c r="C39" s="113"/>
      <c r="D39" s="113"/>
    </row>
    <row r="40" spans="1:4" ht="15.75">
      <c r="A40" s="48" t="s">
        <v>170</v>
      </c>
      <c r="B40" s="113"/>
      <c r="C40" s="113"/>
      <c r="D40" s="113"/>
    </row>
    <row r="41" spans="1:4" ht="15.75">
      <c r="A41" s="48" t="s">
        <v>171</v>
      </c>
      <c r="B41" s="113"/>
      <c r="C41" s="113"/>
      <c r="D41" s="113"/>
    </row>
    <row r="42" spans="1:4" ht="15.75">
      <c r="A42" s="48" t="s">
        <v>172</v>
      </c>
      <c r="B42" s="113"/>
      <c r="C42" s="113"/>
      <c r="D42" s="113"/>
    </row>
    <row r="43" spans="1:4" ht="15.75">
      <c r="A43" s="111" t="s">
        <v>124</v>
      </c>
      <c r="B43" s="124">
        <f>SUM(B39:B42)</f>
        <v>0</v>
      </c>
      <c r="C43" s="124">
        <f>SUM(C39:C42)</f>
        <v>0</v>
      </c>
      <c r="D43" s="124">
        <f>SUM(D39:D42)</f>
        <v>0</v>
      </c>
    </row>
    <row r="44" spans="1:4" ht="15.75">
      <c r="A44" s="123" t="s">
        <v>178</v>
      </c>
      <c r="B44" s="59"/>
      <c r="C44" s="59"/>
      <c r="D44" s="59"/>
    </row>
    <row r="45" spans="1:4" ht="15.75">
      <c r="A45" s="48" t="s">
        <v>169</v>
      </c>
      <c r="B45" s="113"/>
      <c r="C45" s="113"/>
      <c r="D45" s="113"/>
    </row>
    <row r="46" spans="1:4" ht="15.75">
      <c r="A46" s="48" t="s">
        <v>170</v>
      </c>
      <c r="B46" s="113"/>
      <c r="C46" s="113"/>
      <c r="D46" s="113"/>
    </row>
    <row r="47" spans="1:4" ht="15.75">
      <c r="A47" s="48" t="s">
        <v>171</v>
      </c>
      <c r="B47" s="113"/>
      <c r="C47" s="113"/>
      <c r="D47" s="113"/>
    </row>
    <row r="48" spans="1:4" ht="15.75">
      <c r="A48" s="48" t="s">
        <v>172</v>
      </c>
      <c r="B48" s="113"/>
      <c r="C48" s="113"/>
      <c r="D48" s="113"/>
    </row>
    <row r="49" spans="1:4" ht="15.75">
      <c r="A49" s="111" t="s">
        <v>124</v>
      </c>
      <c r="B49" s="124">
        <f>SUM(B45:B48)</f>
        <v>0</v>
      </c>
      <c r="C49" s="124">
        <f>SUM(C45:C48)</f>
        <v>0</v>
      </c>
      <c r="D49" s="124">
        <f>SUM(D45:D48)</f>
        <v>0</v>
      </c>
    </row>
    <row r="50" spans="1:4" ht="15.75">
      <c r="A50" s="123" t="s">
        <v>179</v>
      </c>
      <c r="B50" s="59"/>
      <c r="C50" s="59"/>
      <c r="D50" s="59"/>
    </row>
    <row r="51" spans="1:4" ht="15.75">
      <c r="A51" s="48" t="s">
        <v>169</v>
      </c>
      <c r="B51" s="113"/>
      <c r="C51" s="113"/>
      <c r="D51" s="113"/>
    </row>
    <row r="52" spans="1:4" ht="15.75">
      <c r="A52" s="48" t="s">
        <v>170</v>
      </c>
      <c r="B52" s="113"/>
      <c r="C52" s="113"/>
      <c r="D52" s="113"/>
    </row>
    <row r="53" spans="1:4" ht="15.75">
      <c r="A53" s="48" t="s">
        <v>171</v>
      </c>
      <c r="B53" s="113"/>
      <c r="C53" s="113"/>
      <c r="D53" s="113"/>
    </row>
    <row r="54" spans="1:4" ht="15.75">
      <c r="A54" s="48" t="s">
        <v>172</v>
      </c>
      <c r="B54" s="113"/>
      <c r="C54" s="113"/>
      <c r="D54" s="113"/>
    </row>
    <row r="55" spans="1:4" ht="15.75">
      <c r="A55" s="111" t="s">
        <v>124</v>
      </c>
      <c r="B55" s="119">
        <f>SUM(B51:B54)</f>
        <v>0</v>
      </c>
      <c r="C55" s="119">
        <f>SUM(C51:C54)</f>
        <v>0</v>
      </c>
      <c r="D55" s="119">
        <f>SUM(D51:D54)</f>
        <v>0</v>
      </c>
    </row>
    <row r="56" spans="1:4" ht="15.75">
      <c r="A56" s="40"/>
      <c r="B56" s="59"/>
      <c r="C56" s="59"/>
      <c r="D56" s="59"/>
    </row>
    <row r="57" spans="1:4" ht="15.75">
      <c r="A57" s="111" t="s">
        <v>331</v>
      </c>
      <c r="B57" s="115">
        <f>B13+B19+B25+B31+B37+B43+B49+B55</f>
        <v>0</v>
      </c>
      <c r="C57" s="115">
        <f>C13+C19+C25+C31+C37+C43+C49+C55</f>
        <v>0</v>
      </c>
      <c r="D57" s="115">
        <f>D13+D19+D25+D31+D37+D43+D49+D55</f>
        <v>0</v>
      </c>
    </row>
    <row r="58" spans="1:4" ht="15.75">
      <c r="A58" s="40"/>
      <c r="B58" s="100"/>
      <c r="C58" s="100"/>
      <c r="D58" s="100"/>
    </row>
    <row r="59" spans="1:4" ht="15.75">
      <c r="A59" s="841" t="s">
        <v>313</v>
      </c>
      <c r="B59" s="841"/>
      <c r="C59" s="841"/>
      <c r="D59" s="841"/>
    </row>
    <row r="60" spans="1:4" ht="15.75">
      <c r="A60" s="40"/>
      <c r="B60" s="100"/>
      <c r="C60" s="100"/>
      <c r="D60" s="100"/>
    </row>
    <row r="61" spans="1:4" ht="15.75">
      <c r="A61" s="100" t="str">
        <f>inputPrYr!C2</f>
        <v>Wyandotte County</v>
      </c>
      <c r="B61" s="100"/>
      <c r="C61" s="39"/>
      <c r="D61" s="125">
        <f>D1</f>
        <v>2012</v>
      </c>
    </row>
    <row r="62" spans="1:4" ht="15.75">
      <c r="A62" s="40"/>
      <c r="B62" s="100"/>
      <c r="C62" s="100"/>
      <c r="D62" s="39"/>
    </row>
    <row r="63" spans="1:4" ht="15.75">
      <c r="A63" s="116" t="s">
        <v>261</v>
      </c>
      <c r="B63" s="126"/>
      <c r="C63" s="126"/>
      <c r="D63" s="126"/>
    </row>
    <row r="64" spans="1:4" ht="15.75">
      <c r="A64" s="40" t="s">
        <v>155</v>
      </c>
      <c r="B64" s="206" t="str">
        <f aca="true" t="shared" si="0" ref="B64:D65">B4</f>
        <v>Prior Year</v>
      </c>
      <c r="C64" s="185" t="str">
        <f t="shared" si="0"/>
        <v>Current Year</v>
      </c>
      <c r="D64" s="185" t="str">
        <f t="shared" si="0"/>
        <v>Proposed Budget</v>
      </c>
    </row>
    <row r="65" spans="1:4" ht="15.75">
      <c r="A65" s="52" t="s">
        <v>167</v>
      </c>
      <c r="B65" s="118" t="str">
        <f t="shared" si="0"/>
        <v>Actual 2010</v>
      </c>
      <c r="C65" s="118" t="str">
        <f t="shared" si="0"/>
        <v>Amended 2011</v>
      </c>
      <c r="D65" s="118" t="str">
        <f t="shared" si="0"/>
        <v>Year 2012</v>
      </c>
    </row>
    <row r="66" spans="1:4" ht="15.75">
      <c r="A66" s="111" t="s">
        <v>163</v>
      </c>
      <c r="B66" s="59"/>
      <c r="C66" s="59"/>
      <c r="D66" s="59"/>
    </row>
    <row r="67" spans="1:4" ht="15.75">
      <c r="A67" s="123" t="s">
        <v>143</v>
      </c>
      <c r="B67" s="59"/>
      <c r="C67" s="59"/>
      <c r="D67" s="59"/>
    </row>
    <row r="68" spans="1:4" ht="15.75">
      <c r="A68" s="48" t="s">
        <v>169</v>
      </c>
      <c r="B68" s="113"/>
      <c r="C68" s="113"/>
      <c r="D68" s="113"/>
    </row>
    <row r="69" spans="1:4" ht="15.75">
      <c r="A69" s="48" t="s">
        <v>170</v>
      </c>
      <c r="B69" s="113"/>
      <c r="C69" s="113"/>
      <c r="D69" s="113"/>
    </row>
    <row r="70" spans="1:4" ht="15.75">
      <c r="A70" s="48" t="s">
        <v>171</v>
      </c>
      <c r="B70" s="113"/>
      <c r="C70" s="113"/>
      <c r="D70" s="113"/>
    </row>
    <row r="71" spans="1:4" ht="15.75">
      <c r="A71" s="48" t="s">
        <v>172</v>
      </c>
      <c r="B71" s="113"/>
      <c r="C71" s="113"/>
      <c r="D71" s="113"/>
    </row>
    <row r="72" spans="1:4" ht="15.75">
      <c r="A72" s="127" t="s">
        <v>124</v>
      </c>
      <c r="B72" s="124">
        <f>SUM(B68:B71)</f>
        <v>0</v>
      </c>
      <c r="C72" s="124">
        <f>SUM(C68:C71)</f>
        <v>0</v>
      </c>
      <c r="D72" s="124">
        <f>SUM(D68:D71)</f>
        <v>0</v>
      </c>
    </row>
    <row r="73" spans="1:4" ht="15.75">
      <c r="A73" s="123" t="s">
        <v>180</v>
      </c>
      <c r="B73" s="59"/>
      <c r="C73" s="59"/>
      <c r="D73" s="59"/>
    </row>
    <row r="74" spans="1:4" ht="15.75">
      <c r="A74" s="48" t="s">
        <v>169</v>
      </c>
      <c r="B74" s="113"/>
      <c r="C74" s="113"/>
      <c r="D74" s="113"/>
    </row>
    <row r="75" spans="1:4" ht="15.75">
      <c r="A75" s="48" t="s">
        <v>170</v>
      </c>
      <c r="B75" s="113"/>
      <c r="C75" s="113"/>
      <c r="D75" s="113"/>
    </row>
    <row r="76" spans="1:4" ht="15.75">
      <c r="A76" s="48" t="s">
        <v>171</v>
      </c>
      <c r="B76" s="113"/>
      <c r="C76" s="113"/>
      <c r="D76" s="113"/>
    </row>
    <row r="77" spans="1:4" ht="15.75">
      <c r="A77" s="48" t="s">
        <v>172</v>
      </c>
      <c r="B77" s="113"/>
      <c r="C77" s="113"/>
      <c r="D77" s="113"/>
    </row>
    <row r="78" spans="1:4" ht="15.75">
      <c r="A78" s="111" t="s">
        <v>124</v>
      </c>
      <c r="B78" s="119">
        <f>SUM(B74:B77)</f>
        <v>0</v>
      </c>
      <c r="C78" s="119">
        <f>SUM(C74:C77)</f>
        <v>0</v>
      </c>
      <c r="D78" s="119">
        <f>SUM(D74:D77)</f>
        <v>0</v>
      </c>
    </row>
    <row r="79" spans="1:4" ht="15.75">
      <c r="A79" s="123" t="s">
        <v>181</v>
      </c>
      <c r="B79" s="59"/>
      <c r="C79" s="59"/>
      <c r="D79" s="59"/>
    </row>
    <row r="80" spans="1:4" ht="15.75">
      <c r="A80" s="48" t="s">
        <v>169</v>
      </c>
      <c r="B80" s="113"/>
      <c r="C80" s="113"/>
      <c r="D80" s="113"/>
    </row>
    <row r="81" spans="1:4" ht="15.75">
      <c r="A81" s="48" t="s">
        <v>170</v>
      </c>
      <c r="B81" s="113"/>
      <c r="C81" s="113"/>
      <c r="D81" s="113"/>
    </row>
    <row r="82" spans="1:4" ht="15.75">
      <c r="A82" s="48" t="s">
        <v>171</v>
      </c>
      <c r="B82" s="113"/>
      <c r="C82" s="113"/>
      <c r="D82" s="113"/>
    </row>
    <row r="83" spans="1:4" ht="15.75">
      <c r="A83" s="48" t="s">
        <v>172</v>
      </c>
      <c r="B83" s="113"/>
      <c r="C83" s="113"/>
      <c r="D83" s="113"/>
    </row>
    <row r="84" spans="1:4" ht="15.75">
      <c r="A84" s="111" t="s">
        <v>124</v>
      </c>
      <c r="B84" s="119">
        <f>SUM(B80:B83)</f>
        <v>0</v>
      </c>
      <c r="C84" s="119">
        <f>SUM(C80:C83)</f>
        <v>0</v>
      </c>
      <c r="D84" s="119">
        <f>SUM(D80:D83)</f>
        <v>0</v>
      </c>
    </row>
    <row r="85" spans="1:4" ht="15.75">
      <c r="A85" s="123" t="s">
        <v>182</v>
      </c>
      <c r="B85" s="59"/>
      <c r="C85" s="59"/>
      <c r="D85" s="59"/>
    </row>
    <row r="86" spans="1:4" ht="15.75">
      <c r="A86" s="48" t="s">
        <v>183</v>
      </c>
      <c r="B86" s="113"/>
      <c r="C86" s="113"/>
      <c r="D86" s="113"/>
    </row>
    <row r="87" spans="1:4" ht="15.75">
      <c r="A87" s="48" t="s">
        <v>184</v>
      </c>
      <c r="B87" s="113"/>
      <c r="C87" s="113"/>
      <c r="D87" s="113"/>
    </row>
    <row r="88" spans="1:4" ht="15.75">
      <c r="A88" s="48" t="s">
        <v>185</v>
      </c>
      <c r="B88" s="113"/>
      <c r="C88" s="113"/>
      <c r="D88" s="113"/>
    </row>
    <row r="89" spans="1:4" ht="15.75">
      <c r="A89" s="106"/>
      <c r="B89" s="113"/>
      <c r="C89" s="113"/>
      <c r="D89" s="113"/>
    </row>
    <row r="90" spans="1:4" ht="15.75">
      <c r="A90" s="111" t="s">
        <v>124</v>
      </c>
      <c r="B90" s="119">
        <f>SUM(B86:B89)</f>
        <v>0</v>
      </c>
      <c r="C90" s="119">
        <f>SUM(C86:C89)</f>
        <v>0</v>
      </c>
      <c r="D90" s="119">
        <f>SUM(D86:D89)</f>
        <v>0</v>
      </c>
    </row>
    <row r="91" spans="1:4" ht="15.75">
      <c r="A91" s="123" t="s">
        <v>153</v>
      </c>
      <c r="B91" s="59"/>
      <c r="C91" s="59"/>
      <c r="D91" s="59"/>
    </row>
    <row r="92" spans="1:4" ht="15.75">
      <c r="A92" s="48" t="s">
        <v>169</v>
      </c>
      <c r="B92" s="113"/>
      <c r="C92" s="113"/>
      <c r="D92" s="113"/>
    </row>
    <row r="93" spans="1:4" ht="15.75">
      <c r="A93" s="48" t="s">
        <v>170</v>
      </c>
      <c r="B93" s="113"/>
      <c r="C93" s="113"/>
      <c r="D93" s="113"/>
    </row>
    <row r="94" spans="1:4" ht="15.75">
      <c r="A94" s="48" t="s">
        <v>171</v>
      </c>
      <c r="B94" s="113"/>
      <c r="C94" s="113"/>
      <c r="D94" s="113"/>
    </row>
    <row r="95" spans="1:4" ht="15.75">
      <c r="A95" s="48" t="s">
        <v>172</v>
      </c>
      <c r="B95" s="113"/>
      <c r="C95" s="113"/>
      <c r="D95" s="113"/>
    </row>
    <row r="96" spans="1:4" ht="15.75">
      <c r="A96" s="111" t="s">
        <v>124</v>
      </c>
      <c r="B96" s="119">
        <f>SUM(B92:B95)</f>
        <v>0</v>
      </c>
      <c r="C96" s="119">
        <f>SUM(C92:C95)</f>
        <v>0</v>
      </c>
      <c r="D96" s="119">
        <f>SUM(D92:D95)</f>
        <v>0</v>
      </c>
    </row>
    <row r="97" spans="1:4" ht="15.75">
      <c r="A97" s="123" t="s">
        <v>186</v>
      </c>
      <c r="B97" s="59"/>
      <c r="C97" s="59"/>
      <c r="D97" s="59"/>
    </row>
    <row r="98" spans="1:4" ht="15.75">
      <c r="A98" s="48" t="s">
        <v>169</v>
      </c>
      <c r="B98" s="113"/>
      <c r="C98" s="113"/>
      <c r="D98" s="113"/>
    </row>
    <row r="99" spans="1:4" ht="15.75">
      <c r="A99" s="48" t="s">
        <v>170</v>
      </c>
      <c r="B99" s="113"/>
      <c r="C99" s="113"/>
      <c r="D99" s="113"/>
    </row>
    <row r="100" spans="1:4" ht="15.75">
      <c r="A100" s="48" t="s">
        <v>171</v>
      </c>
      <c r="B100" s="113"/>
      <c r="C100" s="113"/>
      <c r="D100" s="113"/>
    </row>
    <row r="101" spans="1:4" ht="15.75">
      <c r="A101" s="48" t="s">
        <v>172</v>
      </c>
      <c r="B101" s="113"/>
      <c r="C101" s="113"/>
      <c r="D101" s="113"/>
    </row>
    <row r="102" spans="1:4" ht="15.75">
      <c r="A102" s="111" t="s">
        <v>124</v>
      </c>
      <c r="B102" s="119">
        <f>SUM(B98:B101)</f>
        <v>0</v>
      </c>
      <c r="C102" s="119">
        <f>SUM(C98:C101)</f>
        <v>0</v>
      </c>
      <c r="D102" s="119">
        <f>SUM(D98:D101)</f>
        <v>0</v>
      </c>
    </row>
    <row r="103" spans="1:4" ht="15.75">
      <c r="A103" s="123" t="s">
        <v>187</v>
      </c>
      <c r="B103" s="59"/>
      <c r="C103" s="59"/>
      <c r="D103" s="59"/>
    </row>
    <row r="104" spans="1:4" ht="15.75">
      <c r="A104" s="48" t="s">
        <v>169</v>
      </c>
      <c r="B104" s="113"/>
      <c r="C104" s="113"/>
      <c r="D104" s="113"/>
    </row>
    <row r="105" spans="1:4" ht="15.75">
      <c r="A105" s="48" t="s">
        <v>170</v>
      </c>
      <c r="B105" s="113"/>
      <c r="C105" s="113"/>
      <c r="D105" s="113"/>
    </row>
    <row r="106" spans="1:4" ht="15.75">
      <c r="A106" s="48" t="s">
        <v>171</v>
      </c>
      <c r="B106" s="113"/>
      <c r="C106" s="113"/>
      <c r="D106" s="113"/>
    </row>
    <row r="107" spans="1:4" ht="15.75">
      <c r="A107" s="48" t="s">
        <v>172</v>
      </c>
      <c r="B107" s="113"/>
      <c r="C107" s="113"/>
      <c r="D107" s="113"/>
    </row>
    <row r="108" spans="1:4" ht="15.75">
      <c r="A108" s="111" t="s">
        <v>124</v>
      </c>
      <c r="B108" s="119">
        <f>SUM(B104:B107)</f>
        <v>0</v>
      </c>
      <c r="C108" s="119">
        <f>SUM(C104:C107)</f>
        <v>0</v>
      </c>
      <c r="D108" s="119">
        <f>SUM(D104:D107)</f>
        <v>0</v>
      </c>
    </row>
    <row r="109" spans="1:4" ht="15.75">
      <c r="A109" s="123" t="s">
        <v>188</v>
      </c>
      <c r="B109" s="59"/>
      <c r="C109" s="59"/>
      <c r="D109" s="59"/>
    </row>
    <row r="110" spans="1:4" ht="15.75">
      <c r="A110" s="48" t="s">
        <v>169</v>
      </c>
      <c r="B110" s="113"/>
      <c r="C110" s="113"/>
      <c r="D110" s="113"/>
    </row>
    <row r="111" spans="1:4" ht="15.75">
      <c r="A111" s="48" t="s">
        <v>170</v>
      </c>
      <c r="B111" s="113"/>
      <c r="C111" s="113"/>
      <c r="D111" s="113"/>
    </row>
    <row r="112" spans="1:4" ht="15.75">
      <c r="A112" s="48" t="s">
        <v>171</v>
      </c>
      <c r="B112" s="113"/>
      <c r="C112" s="113"/>
      <c r="D112" s="113"/>
    </row>
    <row r="113" spans="1:4" ht="15.75">
      <c r="A113" s="48" t="s">
        <v>172</v>
      </c>
      <c r="B113" s="113"/>
      <c r="C113" s="113"/>
      <c r="D113" s="113"/>
    </row>
    <row r="114" spans="1:4" ht="15.75">
      <c r="A114" s="111" t="s">
        <v>124</v>
      </c>
      <c r="B114" s="119">
        <f>SUM(B110:B113)</f>
        <v>0</v>
      </c>
      <c r="C114" s="119">
        <f>SUM(C110:C113)</f>
        <v>0</v>
      </c>
      <c r="D114" s="119">
        <f>SUM(D110:D113)</f>
        <v>0</v>
      </c>
    </row>
    <row r="115" spans="1:4" ht="15.75">
      <c r="A115" s="40"/>
      <c r="B115" s="59"/>
      <c r="C115" s="59"/>
      <c r="D115" s="59"/>
    </row>
    <row r="116" spans="1:4" ht="15.75">
      <c r="A116" s="111" t="s">
        <v>332</v>
      </c>
      <c r="B116" s="115">
        <f>B72+B78+B84+B90+B96+B102+B108+B114</f>
        <v>0</v>
      </c>
      <c r="C116" s="115">
        <f>C72+C78+C84+C90+C96+C102+C108+C114</f>
        <v>0</v>
      </c>
      <c r="D116" s="115">
        <f>D72+D78+D84+D90+D96+D102+D108+D114</f>
        <v>0</v>
      </c>
    </row>
    <row r="117" spans="1:4" ht="15.75">
      <c r="A117" s="40"/>
      <c r="B117" s="100"/>
      <c r="C117" s="100"/>
      <c r="D117" s="100"/>
    </row>
    <row r="118" spans="1:4" ht="15.75">
      <c r="A118" s="841" t="s">
        <v>314</v>
      </c>
      <c r="B118" s="841"/>
      <c r="C118" s="841"/>
      <c r="D118" s="841"/>
    </row>
    <row r="119" spans="1:4" ht="15.75">
      <c r="A119" s="100" t="str">
        <f>inputPrYr!C2</f>
        <v>Wyandotte County</v>
      </c>
      <c r="B119" s="100"/>
      <c r="C119" s="39"/>
      <c r="D119" s="125">
        <f>D1</f>
        <v>2012</v>
      </c>
    </row>
    <row r="120" spans="1:4" ht="15.75">
      <c r="A120" s="40"/>
      <c r="B120" s="100"/>
      <c r="C120" s="100"/>
      <c r="D120" s="39"/>
    </row>
    <row r="121" spans="1:4" ht="15.75">
      <c r="A121" s="116" t="s">
        <v>261</v>
      </c>
      <c r="B121" s="126"/>
      <c r="C121" s="126"/>
      <c r="D121" s="126"/>
    </row>
    <row r="122" spans="1:4" ht="15.75">
      <c r="A122" s="40" t="s">
        <v>155</v>
      </c>
      <c r="B122" s="206" t="str">
        <f aca="true" t="shared" si="1" ref="B122:D123">B4</f>
        <v>Prior Year</v>
      </c>
      <c r="C122" s="185" t="str">
        <f t="shared" si="1"/>
        <v>Current Year</v>
      </c>
      <c r="D122" s="185" t="str">
        <f t="shared" si="1"/>
        <v>Proposed Budget</v>
      </c>
    </row>
    <row r="123" spans="1:4" ht="15.75">
      <c r="A123" s="52" t="s">
        <v>167</v>
      </c>
      <c r="B123" s="118" t="str">
        <f t="shared" si="1"/>
        <v>Actual 2010</v>
      </c>
      <c r="C123" s="118" t="str">
        <f t="shared" si="1"/>
        <v>Amended 2011</v>
      </c>
      <c r="D123" s="118" t="str">
        <f t="shared" si="1"/>
        <v>Year 2012</v>
      </c>
    </row>
    <row r="124" spans="1:4" ht="15.75">
      <c r="A124" s="111" t="s">
        <v>163</v>
      </c>
      <c r="B124" s="59"/>
      <c r="C124" s="59"/>
      <c r="D124" s="59"/>
    </row>
    <row r="125" spans="1:4" ht="15.75">
      <c r="A125" s="123" t="s">
        <v>189</v>
      </c>
      <c r="B125" s="59"/>
      <c r="C125" s="59"/>
      <c r="D125" s="59"/>
    </row>
    <row r="126" spans="1:4" ht="15.75">
      <c r="A126" s="48" t="s">
        <v>190</v>
      </c>
      <c r="B126" s="113"/>
      <c r="C126" s="113"/>
      <c r="D126" s="113"/>
    </row>
    <row r="127" spans="1:4" ht="15.75">
      <c r="A127" s="48" t="s">
        <v>191</v>
      </c>
      <c r="B127" s="113"/>
      <c r="C127" s="113"/>
      <c r="D127" s="113"/>
    </row>
    <row r="128" spans="1:4" ht="15.75">
      <c r="A128" s="48" t="s">
        <v>192</v>
      </c>
      <c r="B128" s="113"/>
      <c r="C128" s="113"/>
      <c r="D128" s="113"/>
    </row>
    <row r="129" spans="1:4" ht="15.75">
      <c r="A129" s="48" t="s">
        <v>193</v>
      </c>
      <c r="B129" s="113"/>
      <c r="C129" s="113"/>
      <c r="D129" s="113"/>
    </row>
    <row r="130" spans="1:4" ht="15.75">
      <c r="A130" s="48" t="s">
        <v>194</v>
      </c>
      <c r="B130" s="113"/>
      <c r="C130" s="113"/>
      <c r="D130" s="113"/>
    </row>
    <row r="131" spans="1:4" ht="15.75">
      <c r="A131" s="48" t="s">
        <v>195</v>
      </c>
      <c r="B131" s="113"/>
      <c r="C131" s="113"/>
      <c r="D131" s="113"/>
    </row>
    <row r="132" spans="1:4" ht="15.75">
      <c r="A132" s="111" t="s">
        <v>124</v>
      </c>
      <c r="B132" s="119">
        <f>SUM(B126:B131)</f>
        <v>0</v>
      </c>
      <c r="C132" s="119">
        <f>SUM(C126:C131)</f>
        <v>0</v>
      </c>
      <c r="D132" s="119">
        <f>SUM(D126:D131)</f>
        <v>0</v>
      </c>
    </row>
    <row r="133" spans="1:4" ht="15.75">
      <c r="A133" s="123" t="s">
        <v>196</v>
      </c>
      <c r="B133" s="59"/>
      <c r="C133" s="59"/>
      <c r="D133" s="59"/>
    </row>
    <row r="134" spans="1:4" ht="15.75">
      <c r="A134" s="48" t="s">
        <v>169</v>
      </c>
      <c r="B134" s="113"/>
      <c r="C134" s="113"/>
      <c r="D134" s="113"/>
    </row>
    <row r="135" spans="1:4" ht="15.75">
      <c r="A135" s="48" t="s">
        <v>170</v>
      </c>
      <c r="B135" s="113"/>
      <c r="C135" s="113"/>
      <c r="D135" s="113"/>
    </row>
    <row r="136" spans="1:4" ht="15.75">
      <c r="A136" s="48" t="s">
        <v>171</v>
      </c>
      <c r="B136" s="113"/>
      <c r="C136" s="113"/>
      <c r="D136" s="113"/>
    </row>
    <row r="137" spans="1:4" ht="15.75">
      <c r="A137" s="48" t="s">
        <v>172</v>
      </c>
      <c r="B137" s="113"/>
      <c r="C137" s="113"/>
      <c r="D137" s="113"/>
    </row>
    <row r="138" spans="1:4" ht="15.75">
      <c r="A138" s="111" t="s">
        <v>124</v>
      </c>
      <c r="B138" s="119">
        <f>SUM(B134:B137)</f>
        <v>0</v>
      </c>
      <c r="C138" s="119">
        <f>SUM(C134:C137)</f>
        <v>0</v>
      </c>
      <c r="D138" s="119">
        <f>SUM(D134:D137)</f>
        <v>0</v>
      </c>
    </row>
    <row r="139" spans="1:4" ht="15.75">
      <c r="A139" s="123" t="s">
        <v>197</v>
      </c>
      <c r="B139" s="59"/>
      <c r="C139" s="59"/>
      <c r="D139" s="59"/>
    </row>
    <row r="140" spans="1:4" ht="15.75">
      <c r="A140" s="48" t="s">
        <v>169</v>
      </c>
      <c r="B140" s="113"/>
      <c r="C140" s="113"/>
      <c r="D140" s="113"/>
    </row>
    <row r="141" spans="1:4" ht="15.75">
      <c r="A141" s="48" t="s">
        <v>170</v>
      </c>
      <c r="B141" s="113"/>
      <c r="C141" s="113"/>
      <c r="D141" s="113"/>
    </row>
    <row r="142" spans="1:4" ht="15.75">
      <c r="A142" s="48" t="s">
        <v>171</v>
      </c>
      <c r="B142" s="113"/>
      <c r="C142" s="113"/>
      <c r="D142" s="113"/>
    </row>
    <row r="143" spans="1:4" ht="15.75">
      <c r="A143" s="48" t="s">
        <v>172</v>
      </c>
      <c r="B143" s="113"/>
      <c r="C143" s="113"/>
      <c r="D143" s="113"/>
    </row>
    <row r="144" spans="1:4" ht="15.75">
      <c r="A144" s="111" t="s">
        <v>124</v>
      </c>
      <c r="B144" s="119">
        <f>SUM(B140:B143)</f>
        <v>0</v>
      </c>
      <c r="C144" s="119">
        <f>SUM(C140:C143)</f>
        <v>0</v>
      </c>
      <c r="D144" s="119">
        <f>SUM(D140:D143)</f>
        <v>0</v>
      </c>
    </row>
    <row r="145" spans="1:4" ht="15.75">
      <c r="A145" s="123" t="s">
        <v>198</v>
      </c>
      <c r="B145" s="59"/>
      <c r="C145" s="59"/>
      <c r="D145" s="59"/>
    </row>
    <row r="146" spans="1:4" ht="15.75">
      <c r="A146" s="48" t="s">
        <v>169</v>
      </c>
      <c r="B146" s="113"/>
      <c r="C146" s="113"/>
      <c r="D146" s="113"/>
    </row>
    <row r="147" spans="1:4" ht="15.75">
      <c r="A147" s="48" t="s">
        <v>170</v>
      </c>
      <c r="B147" s="113"/>
      <c r="C147" s="113"/>
      <c r="D147" s="113"/>
    </row>
    <row r="148" spans="1:4" ht="15.75">
      <c r="A148" s="48" t="s">
        <v>171</v>
      </c>
      <c r="B148" s="113"/>
      <c r="C148" s="113"/>
      <c r="D148" s="113"/>
    </row>
    <row r="149" spans="1:4" ht="15.75">
      <c r="A149" s="48" t="s">
        <v>172</v>
      </c>
      <c r="B149" s="113"/>
      <c r="C149" s="113"/>
      <c r="D149" s="113"/>
    </row>
    <row r="150" spans="1:4" ht="15.75">
      <c r="A150" s="111" t="s">
        <v>124</v>
      </c>
      <c r="B150" s="119">
        <f>SUM(B146:B149)</f>
        <v>0</v>
      </c>
      <c r="C150" s="119">
        <f>SUM(C146:C149)</f>
        <v>0</v>
      </c>
      <c r="D150" s="119">
        <f>SUM(D146:D149)</f>
        <v>0</v>
      </c>
    </row>
    <row r="151" spans="1:4" ht="15.75">
      <c r="A151" s="123" t="s">
        <v>199</v>
      </c>
      <c r="B151" s="59"/>
      <c r="C151" s="59"/>
      <c r="D151" s="59"/>
    </row>
    <row r="152" spans="1:4" ht="15.75">
      <c r="A152" s="48" t="s">
        <v>169</v>
      </c>
      <c r="B152" s="113"/>
      <c r="C152" s="113"/>
      <c r="D152" s="113"/>
    </row>
    <row r="153" spans="1:4" ht="15.75">
      <c r="A153" s="48" t="s">
        <v>170</v>
      </c>
      <c r="B153" s="113"/>
      <c r="C153" s="113"/>
      <c r="D153" s="113"/>
    </row>
    <row r="154" spans="1:4" ht="15.75">
      <c r="A154" s="48" t="s">
        <v>171</v>
      </c>
      <c r="B154" s="113"/>
      <c r="C154" s="113"/>
      <c r="D154" s="113"/>
    </row>
    <row r="155" spans="1:4" ht="15.75">
      <c r="A155" s="48" t="s">
        <v>172</v>
      </c>
      <c r="B155" s="113"/>
      <c r="C155" s="113"/>
      <c r="D155" s="113"/>
    </row>
    <row r="156" spans="1:4" ht="15.75">
      <c r="A156" s="111" t="s">
        <v>124</v>
      </c>
      <c r="B156" s="119">
        <f>SUM(B152:B155)</f>
        <v>0</v>
      </c>
      <c r="C156" s="119">
        <f>SUM(C152:C155)</f>
        <v>0</v>
      </c>
      <c r="D156" s="119">
        <f>SUM(D152:D155)</f>
        <v>0</v>
      </c>
    </row>
    <row r="157" spans="1:4" ht="15.75">
      <c r="A157" s="123" t="s">
        <v>200</v>
      </c>
      <c r="B157" s="59"/>
      <c r="C157" s="59"/>
      <c r="D157" s="59"/>
    </row>
    <row r="158" spans="1:4" ht="15.75">
      <c r="A158" s="48" t="s">
        <v>169</v>
      </c>
      <c r="B158" s="113"/>
      <c r="C158" s="113"/>
      <c r="D158" s="113"/>
    </row>
    <row r="159" spans="1:4" ht="15.75">
      <c r="A159" s="48" t="s">
        <v>170</v>
      </c>
      <c r="B159" s="113"/>
      <c r="C159" s="113"/>
      <c r="D159" s="113"/>
    </row>
    <row r="160" spans="1:4" ht="15.75">
      <c r="A160" s="48" t="s">
        <v>171</v>
      </c>
      <c r="B160" s="113"/>
      <c r="C160" s="113"/>
      <c r="D160" s="113"/>
    </row>
    <row r="161" spans="1:4" ht="15.75">
      <c r="A161" s="48" t="s">
        <v>172</v>
      </c>
      <c r="B161" s="182"/>
      <c r="C161" s="182"/>
      <c r="D161" s="182"/>
    </row>
    <row r="162" spans="1:4" ht="15.75">
      <c r="A162" s="111" t="s">
        <v>124</v>
      </c>
      <c r="B162" s="119">
        <f>SUM(B158:B161)</f>
        <v>0</v>
      </c>
      <c r="C162" s="119">
        <f>SUM(C158:C161)</f>
        <v>0</v>
      </c>
      <c r="D162" s="119">
        <f>SUM(D158:D161)</f>
        <v>0</v>
      </c>
    </row>
    <row r="163" spans="1:4" ht="15.75">
      <c r="A163" s="123" t="s">
        <v>146</v>
      </c>
      <c r="B163" s="59"/>
      <c r="C163" s="59"/>
      <c r="D163" s="59"/>
    </row>
    <row r="164" spans="1:4" ht="15.75">
      <c r="A164" s="48" t="s">
        <v>169</v>
      </c>
      <c r="B164" s="113"/>
      <c r="C164" s="113"/>
      <c r="D164" s="113"/>
    </row>
    <row r="165" spans="1:4" ht="15.75">
      <c r="A165" s="48" t="s">
        <v>170</v>
      </c>
      <c r="B165" s="113"/>
      <c r="C165" s="113"/>
      <c r="D165" s="113"/>
    </row>
    <row r="166" spans="1:4" ht="15.75">
      <c r="A166" s="48" t="s">
        <v>171</v>
      </c>
      <c r="B166" s="113"/>
      <c r="C166" s="113"/>
      <c r="D166" s="113"/>
    </row>
    <row r="167" spans="1:4" ht="15.75">
      <c r="A167" s="48" t="s">
        <v>172</v>
      </c>
      <c r="B167" s="113"/>
      <c r="C167" s="113"/>
      <c r="D167" s="113"/>
    </row>
    <row r="168" spans="1:4" ht="15.75">
      <c r="A168" s="111" t="s">
        <v>124</v>
      </c>
      <c r="B168" s="119">
        <f>SUM(B164:B167)</f>
        <v>0</v>
      </c>
      <c r="C168" s="119">
        <f>SUM(C164:C167)</f>
        <v>0</v>
      </c>
      <c r="D168" s="119">
        <f>SUM(D164:D167)</f>
        <v>0</v>
      </c>
    </row>
    <row r="169" spans="1:4" ht="15.75">
      <c r="A169" s="123" t="s">
        <v>154</v>
      </c>
      <c r="B169" s="59"/>
      <c r="C169" s="59"/>
      <c r="D169" s="59"/>
    </row>
    <row r="170" spans="1:4" ht="15.75">
      <c r="A170" s="48" t="s">
        <v>169</v>
      </c>
      <c r="B170" s="113"/>
      <c r="C170" s="113"/>
      <c r="D170" s="113"/>
    </row>
    <row r="171" spans="1:4" ht="15.75">
      <c r="A171" s="48" t="s">
        <v>170</v>
      </c>
      <c r="B171" s="113"/>
      <c r="C171" s="113"/>
      <c r="D171" s="113"/>
    </row>
    <row r="172" spans="1:4" ht="15.75">
      <c r="A172" s="48" t="s">
        <v>171</v>
      </c>
      <c r="B172" s="113"/>
      <c r="C172" s="113"/>
      <c r="D172" s="113"/>
    </row>
    <row r="173" spans="1:4" ht="15.75">
      <c r="A173" s="48" t="s">
        <v>172</v>
      </c>
      <c r="B173" s="113"/>
      <c r="C173" s="113"/>
      <c r="D173" s="113"/>
    </row>
    <row r="174" spans="1:4" ht="15.75">
      <c r="A174" s="111" t="s">
        <v>124</v>
      </c>
      <c r="B174" s="119">
        <f>SUM(B170:B173)</f>
        <v>0</v>
      </c>
      <c r="C174" s="119">
        <f>SUM(C170:C173)</f>
        <v>0</v>
      </c>
      <c r="D174" s="119">
        <f>SUM(D170:D173)</f>
        <v>0</v>
      </c>
    </row>
    <row r="175" spans="1:4" ht="15.75">
      <c r="A175" s="111"/>
      <c r="B175" s="59"/>
      <c r="C175" s="59"/>
      <c r="D175" s="59"/>
    </row>
    <row r="176" spans="1:4" ht="15.75">
      <c r="A176" s="111" t="s">
        <v>333</v>
      </c>
      <c r="B176" s="115">
        <f>B132+B138+B144+B150+B156+B162+B168+B174</f>
        <v>0</v>
      </c>
      <c r="C176" s="115">
        <f>C132+C138+C144+C150+C156+C162+C168+C174</f>
        <v>0</v>
      </c>
      <c r="D176" s="115">
        <f>D132+D138+D144+D150+D156+D162+D168+D174</f>
        <v>0</v>
      </c>
    </row>
    <row r="177" spans="1:4" ht="15.75">
      <c r="A177" s="40"/>
      <c r="B177" s="100"/>
      <c r="C177" s="100"/>
      <c r="D177" s="100"/>
    </row>
    <row r="178" spans="1:4" ht="15.75">
      <c r="A178" s="841" t="s">
        <v>315</v>
      </c>
      <c r="B178" s="841"/>
      <c r="C178" s="841"/>
      <c r="D178" s="841"/>
    </row>
    <row r="179" spans="1:4" ht="15.75">
      <c r="A179" s="100" t="str">
        <f>inputPrYr!C2</f>
        <v>Wyandotte County</v>
      </c>
      <c r="B179" s="100"/>
      <c r="C179" s="39"/>
      <c r="D179" s="125">
        <f>D1</f>
        <v>2012</v>
      </c>
    </row>
    <row r="180" spans="1:4" ht="15.75">
      <c r="A180" s="40"/>
      <c r="B180" s="100"/>
      <c r="C180" s="100"/>
      <c r="D180" s="39"/>
    </row>
    <row r="181" spans="1:4" ht="15.75">
      <c r="A181" s="116" t="s">
        <v>261</v>
      </c>
      <c r="B181" s="126"/>
      <c r="C181" s="126"/>
      <c r="D181" s="126"/>
    </row>
    <row r="182" spans="1:4" ht="15.75">
      <c r="A182" s="40" t="s">
        <v>155</v>
      </c>
      <c r="B182" s="206" t="str">
        <f aca="true" t="shared" si="2" ref="B182:D183">B4</f>
        <v>Prior Year</v>
      </c>
      <c r="C182" s="185" t="str">
        <f t="shared" si="2"/>
        <v>Current Year</v>
      </c>
      <c r="D182" s="185" t="str">
        <f t="shared" si="2"/>
        <v>Proposed Budget</v>
      </c>
    </row>
    <row r="183" spans="1:4" ht="15.75">
      <c r="A183" s="52" t="s">
        <v>167</v>
      </c>
      <c r="B183" s="118" t="str">
        <f t="shared" si="2"/>
        <v>Actual 2010</v>
      </c>
      <c r="C183" s="118" t="str">
        <f t="shared" si="2"/>
        <v>Amended 2011</v>
      </c>
      <c r="D183" s="118" t="str">
        <f t="shared" si="2"/>
        <v>Year 2012</v>
      </c>
    </row>
    <row r="184" spans="1:4" ht="15.75">
      <c r="A184" s="111" t="s">
        <v>163</v>
      </c>
      <c r="B184" s="59"/>
      <c r="C184" s="59"/>
      <c r="D184" s="59"/>
    </row>
    <row r="185" spans="1:4" ht="15.75">
      <c r="A185" s="123" t="s">
        <v>201</v>
      </c>
      <c r="B185" s="59"/>
      <c r="C185" s="59"/>
      <c r="D185" s="59"/>
    </row>
    <row r="186" spans="1:4" ht="15.75">
      <c r="A186" s="48" t="s">
        <v>169</v>
      </c>
      <c r="B186" s="113"/>
      <c r="C186" s="113"/>
      <c r="D186" s="113"/>
    </row>
    <row r="187" spans="1:4" ht="15.75">
      <c r="A187" s="48" t="s">
        <v>170</v>
      </c>
      <c r="B187" s="113"/>
      <c r="C187" s="113"/>
      <c r="D187" s="113"/>
    </row>
    <row r="188" spans="1:4" ht="15.75">
      <c r="A188" s="48" t="s">
        <v>171</v>
      </c>
      <c r="B188" s="113"/>
      <c r="C188" s="113"/>
      <c r="D188" s="113"/>
    </row>
    <row r="189" spans="1:4" ht="15.75">
      <c r="A189" s="48" t="s">
        <v>172</v>
      </c>
      <c r="B189" s="113"/>
      <c r="C189" s="113"/>
      <c r="D189" s="113"/>
    </row>
    <row r="190" spans="1:4" ht="15.75">
      <c r="A190" s="111" t="s">
        <v>124</v>
      </c>
      <c r="B190" s="119">
        <f>SUM(B186:B189)</f>
        <v>0</v>
      </c>
      <c r="C190" s="119">
        <f>SUM(C186:C189)</f>
        <v>0</v>
      </c>
      <c r="D190" s="119">
        <f>SUM(D186:D189)</f>
        <v>0</v>
      </c>
    </row>
    <row r="191" spans="1:4" ht="15.75">
      <c r="A191" s="123" t="s">
        <v>202</v>
      </c>
      <c r="B191" s="59"/>
      <c r="C191" s="59"/>
      <c r="D191" s="59"/>
    </row>
    <row r="192" spans="1:4" ht="15.75">
      <c r="A192" s="48" t="s">
        <v>169</v>
      </c>
      <c r="B192" s="113"/>
      <c r="C192" s="113"/>
      <c r="D192" s="113"/>
    </row>
    <row r="193" spans="1:4" ht="15.75">
      <c r="A193" s="48" t="s">
        <v>170</v>
      </c>
      <c r="B193" s="113"/>
      <c r="C193" s="113"/>
      <c r="D193" s="113"/>
    </row>
    <row r="194" spans="1:4" ht="15.75">
      <c r="A194" s="48" t="s">
        <v>171</v>
      </c>
      <c r="B194" s="113"/>
      <c r="C194" s="113"/>
      <c r="D194" s="113"/>
    </row>
    <row r="195" spans="1:4" ht="15.75">
      <c r="A195" s="48" t="s">
        <v>172</v>
      </c>
      <c r="B195" s="113"/>
      <c r="C195" s="113"/>
      <c r="D195" s="113"/>
    </row>
    <row r="196" spans="1:4" ht="15.75">
      <c r="A196" s="111" t="s">
        <v>124</v>
      </c>
      <c r="B196" s="59">
        <f>SUM(B192:B195)</f>
        <v>0</v>
      </c>
      <c r="C196" s="59">
        <f>SUM(C192:C195)</f>
        <v>0</v>
      </c>
      <c r="D196" s="59">
        <f>SUM(D192:D195)</f>
        <v>0</v>
      </c>
    </row>
    <row r="197" spans="1:4" ht="15.75">
      <c r="A197" s="123" t="s">
        <v>203</v>
      </c>
      <c r="B197" s="59"/>
      <c r="C197" s="59"/>
      <c r="D197" s="59"/>
    </row>
    <row r="198" spans="1:4" ht="15.75">
      <c r="A198" s="48" t="s">
        <v>169</v>
      </c>
      <c r="B198" s="113"/>
      <c r="C198" s="113"/>
      <c r="D198" s="113"/>
    </row>
    <row r="199" spans="1:4" ht="15.75">
      <c r="A199" s="48" t="s">
        <v>170</v>
      </c>
      <c r="B199" s="113"/>
      <c r="C199" s="113"/>
      <c r="D199" s="113"/>
    </row>
    <row r="200" spans="1:4" ht="15.75">
      <c r="A200" s="48" t="s">
        <v>171</v>
      </c>
      <c r="B200" s="113"/>
      <c r="C200" s="113"/>
      <c r="D200" s="113"/>
    </row>
    <row r="201" spans="1:4" ht="15.75">
      <c r="A201" s="48" t="s">
        <v>172</v>
      </c>
      <c r="B201" s="113"/>
      <c r="C201" s="113"/>
      <c r="D201" s="113"/>
    </row>
    <row r="202" spans="1:4" ht="15.75">
      <c r="A202" s="111" t="s">
        <v>124</v>
      </c>
      <c r="B202" s="119">
        <f>SUM(B198:B201)</f>
        <v>0</v>
      </c>
      <c r="C202" s="119">
        <f>SUM(C198:C201)</f>
        <v>0</v>
      </c>
      <c r="D202" s="119">
        <f>SUM(D198:D201)</f>
        <v>0</v>
      </c>
    </row>
    <row r="203" spans="1:4" ht="15.75">
      <c r="A203" s="123" t="s">
        <v>145</v>
      </c>
      <c r="B203" s="59"/>
      <c r="C203" s="59"/>
      <c r="D203" s="59"/>
    </row>
    <row r="204" spans="1:4" ht="15.75">
      <c r="A204" s="48" t="s">
        <v>169</v>
      </c>
      <c r="B204" s="113"/>
      <c r="C204" s="113"/>
      <c r="D204" s="113"/>
    </row>
    <row r="205" spans="1:4" ht="15.75">
      <c r="A205" s="48" t="s">
        <v>170</v>
      </c>
      <c r="B205" s="113"/>
      <c r="C205" s="113"/>
      <c r="D205" s="113"/>
    </row>
    <row r="206" spans="1:4" ht="15.75">
      <c r="A206" s="48" t="s">
        <v>171</v>
      </c>
      <c r="B206" s="113"/>
      <c r="C206" s="113"/>
      <c r="D206" s="113"/>
    </row>
    <row r="207" spans="1:4" ht="15.75">
      <c r="A207" s="48" t="s">
        <v>172</v>
      </c>
      <c r="B207" s="113"/>
      <c r="C207" s="113"/>
      <c r="D207" s="113"/>
    </row>
    <row r="208" spans="1:4" ht="15.75">
      <c r="A208" s="111" t="s">
        <v>124</v>
      </c>
      <c r="B208" s="59">
        <f>SUM(B204:B207)</f>
        <v>0</v>
      </c>
      <c r="C208" s="59">
        <f>SUM(C204:C207)</f>
        <v>0</v>
      </c>
      <c r="D208" s="59">
        <f>SUM(D204:D207)</f>
        <v>0</v>
      </c>
    </row>
    <row r="209" spans="1:4" ht="15.75">
      <c r="A209" s="123" t="s">
        <v>204</v>
      </c>
      <c r="B209" s="59"/>
      <c r="C209" s="59"/>
      <c r="D209" s="59"/>
    </row>
    <row r="210" spans="1:4" ht="15.75">
      <c r="A210" s="48" t="s">
        <v>169</v>
      </c>
      <c r="B210" s="113"/>
      <c r="C210" s="113"/>
      <c r="D210" s="113"/>
    </row>
    <row r="211" spans="1:4" ht="15.75">
      <c r="A211" s="48" t="s">
        <v>170</v>
      </c>
      <c r="B211" s="113"/>
      <c r="C211" s="113"/>
      <c r="D211" s="113"/>
    </row>
    <row r="212" spans="1:4" ht="15.75">
      <c r="A212" s="48" t="s">
        <v>171</v>
      </c>
      <c r="B212" s="113"/>
      <c r="C212" s="113"/>
      <c r="D212" s="113"/>
    </row>
    <row r="213" spans="1:4" ht="15.75">
      <c r="A213" s="48" t="s">
        <v>172</v>
      </c>
      <c r="B213" s="113"/>
      <c r="C213" s="113"/>
      <c r="D213" s="113"/>
    </row>
    <row r="214" spans="1:4" ht="15.75">
      <c r="A214" s="111" t="s">
        <v>124</v>
      </c>
      <c r="B214" s="119">
        <f>SUM(B210:B213)</f>
        <v>0</v>
      </c>
      <c r="C214" s="119">
        <f>SUM(C210:C213)</f>
        <v>0</v>
      </c>
      <c r="D214" s="119">
        <f>SUM(D210:D213)</f>
        <v>0</v>
      </c>
    </row>
    <row r="215" spans="1:4" ht="15.75">
      <c r="A215" s="123" t="s">
        <v>205</v>
      </c>
      <c r="B215" s="59"/>
      <c r="C215" s="59"/>
      <c r="D215" s="59"/>
    </row>
    <row r="216" spans="1:4" ht="15.75">
      <c r="A216" s="48" t="s">
        <v>169</v>
      </c>
      <c r="B216" s="113"/>
      <c r="C216" s="113"/>
      <c r="D216" s="113"/>
    </row>
    <row r="217" spans="1:4" ht="15.75">
      <c r="A217" s="48" t="s">
        <v>170</v>
      </c>
      <c r="B217" s="113"/>
      <c r="C217" s="113"/>
      <c r="D217" s="113"/>
    </row>
    <row r="218" spans="1:4" ht="15.75">
      <c r="A218" s="48" t="s">
        <v>171</v>
      </c>
      <c r="B218" s="113"/>
      <c r="C218" s="113"/>
      <c r="D218" s="113"/>
    </row>
    <row r="219" spans="1:4" ht="15.75">
      <c r="A219" s="48" t="s">
        <v>172</v>
      </c>
      <c r="B219" s="113"/>
      <c r="C219" s="113"/>
      <c r="D219" s="113"/>
    </row>
    <row r="220" spans="1:4" ht="15.75">
      <c r="A220" s="111" t="s">
        <v>124</v>
      </c>
      <c r="B220" s="119">
        <f>SUM(B216:B219)</f>
        <v>0</v>
      </c>
      <c r="C220" s="119">
        <f>SUM(C216:C219)</f>
        <v>0</v>
      </c>
      <c r="D220" s="119">
        <f>SUM(D216:D219)</f>
        <v>0</v>
      </c>
    </row>
    <row r="221" spans="1:4" ht="15.75">
      <c r="A221" s="123" t="s">
        <v>215</v>
      </c>
      <c r="B221" s="59"/>
      <c r="C221" s="59"/>
      <c r="D221" s="59"/>
    </row>
    <row r="222" spans="1:4" ht="15.75">
      <c r="A222" s="48" t="s">
        <v>170</v>
      </c>
      <c r="B222" s="113"/>
      <c r="C222" s="113"/>
      <c r="D222" s="113"/>
    </row>
    <row r="223" spans="1:4" ht="15.75">
      <c r="A223" s="111" t="s">
        <v>124</v>
      </c>
      <c r="B223" s="119">
        <f>B222</f>
        <v>0</v>
      </c>
      <c r="C223" s="119">
        <f>C222</f>
        <v>0</v>
      </c>
      <c r="D223" s="119">
        <f>D222</f>
        <v>0</v>
      </c>
    </row>
    <row r="224" spans="1:4" ht="15.75">
      <c r="A224" s="123" t="s">
        <v>206</v>
      </c>
      <c r="B224" s="59"/>
      <c r="C224" s="59"/>
      <c r="D224" s="59"/>
    </row>
    <row r="225" spans="1:4" ht="15.75">
      <c r="A225" s="48" t="s">
        <v>169</v>
      </c>
      <c r="B225" s="113"/>
      <c r="C225" s="113"/>
      <c r="D225" s="113"/>
    </row>
    <row r="226" spans="1:4" ht="15.75">
      <c r="A226" s="48" t="s">
        <v>170</v>
      </c>
      <c r="B226" s="113"/>
      <c r="C226" s="113"/>
      <c r="D226" s="113"/>
    </row>
    <row r="227" spans="1:4" ht="15.75">
      <c r="A227" s="48" t="s">
        <v>171</v>
      </c>
      <c r="B227" s="113"/>
      <c r="C227" s="113"/>
      <c r="D227" s="113"/>
    </row>
    <row r="228" spans="1:4" ht="15.75">
      <c r="A228" s="48" t="s">
        <v>172</v>
      </c>
      <c r="B228" s="113"/>
      <c r="C228" s="113"/>
      <c r="D228" s="113"/>
    </row>
    <row r="229" spans="1:4" ht="15.75">
      <c r="A229" s="111" t="s">
        <v>124</v>
      </c>
      <c r="B229" s="119">
        <f>SUM(B225:B228)</f>
        <v>0</v>
      </c>
      <c r="C229" s="119">
        <f>SUM(C225:C228)</f>
        <v>0</v>
      </c>
      <c r="D229" s="119">
        <f>SUM(D225:D228)</f>
        <v>0</v>
      </c>
    </row>
    <row r="230" spans="1:4" ht="15.75">
      <c r="A230" s="123" t="s">
        <v>207</v>
      </c>
      <c r="B230" s="59"/>
      <c r="C230" s="59"/>
      <c r="D230" s="59"/>
    </row>
    <row r="231" spans="1:4" ht="15.75">
      <c r="A231" s="48" t="s">
        <v>169</v>
      </c>
      <c r="B231" s="113"/>
      <c r="C231" s="113"/>
      <c r="D231" s="113"/>
    </row>
    <row r="232" spans="1:4" ht="15.75">
      <c r="A232" s="48" t="s">
        <v>170</v>
      </c>
      <c r="B232" s="113"/>
      <c r="C232" s="113"/>
      <c r="D232" s="113"/>
    </row>
    <row r="233" spans="1:4" ht="15.75">
      <c r="A233" s="48" t="s">
        <v>171</v>
      </c>
      <c r="B233" s="113"/>
      <c r="C233" s="113"/>
      <c r="D233" s="113"/>
    </row>
    <row r="234" spans="1:4" ht="15.75">
      <c r="A234" s="48" t="s">
        <v>172</v>
      </c>
      <c r="B234" s="113"/>
      <c r="C234" s="113"/>
      <c r="D234" s="113"/>
    </row>
    <row r="235" spans="1:4" ht="15.75">
      <c r="A235" s="111" t="s">
        <v>124</v>
      </c>
      <c r="B235" s="119">
        <f>SUM(B231:B234)</f>
        <v>0</v>
      </c>
      <c r="C235" s="119">
        <f>SUM(C231:C234)</f>
        <v>0</v>
      </c>
      <c r="D235" s="119">
        <f>SUM(D231:D234)</f>
        <v>0</v>
      </c>
    </row>
    <row r="236" spans="1:4" ht="15.75">
      <c r="A236" s="111"/>
      <c r="B236" s="119"/>
      <c r="C236" s="119"/>
      <c r="D236" s="119"/>
    </row>
    <row r="237" spans="1:4" ht="15.75">
      <c r="A237" s="111" t="s">
        <v>334</v>
      </c>
      <c r="B237" s="115">
        <f>B190+B196+B202+B208+B214+B220+B222+B229+B235</f>
        <v>0</v>
      </c>
      <c r="C237" s="115">
        <f>C190+C196+C202+C208+C214+C220+C222+C229+C235</f>
        <v>0</v>
      </c>
      <c r="D237" s="115">
        <f>D190+D196+D202+D208+D214+D220+D222+D229+D235</f>
        <v>0</v>
      </c>
    </row>
    <row r="238" spans="1:4" ht="15.75">
      <c r="A238" s="40"/>
      <c r="B238" s="100"/>
      <c r="C238" s="100"/>
      <c r="D238" s="100"/>
    </row>
    <row r="239" spans="1:4" ht="15.75">
      <c r="A239" s="841" t="s">
        <v>316</v>
      </c>
      <c r="B239" s="841"/>
      <c r="C239" s="841"/>
      <c r="D239" s="841"/>
    </row>
    <row r="240" spans="1:4" ht="15.75">
      <c r="A240" s="100" t="str">
        <f>inputPrYr!C2</f>
        <v>Wyandotte County</v>
      </c>
      <c r="B240" s="100"/>
      <c r="C240" s="39"/>
      <c r="D240" s="125">
        <f>D1</f>
        <v>2012</v>
      </c>
    </row>
    <row r="241" spans="1:4" ht="15.75">
      <c r="A241" s="40"/>
      <c r="B241" s="100"/>
      <c r="C241" s="100"/>
      <c r="D241" s="39"/>
    </row>
    <row r="242" spans="1:4" ht="15.75">
      <c r="A242" s="116" t="s">
        <v>261</v>
      </c>
      <c r="B242" s="126"/>
      <c r="C242" s="126"/>
      <c r="D242" s="126"/>
    </row>
    <row r="243" spans="1:4" ht="15.75">
      <c r="A243" s="40" t="s">
        <v>155</v>
      </c>
      <c r="B243" s="122" t="str">
        <f aca="true" t="shared" si="3" ref="B243:D244">B4</f>
        <v>Prior Year</v>
      </c>
      <c r="C243" s="87" t="str">
        <f t="shared" si="3"/>
        <v>Current Year</v>
      </c>
      <c r="D243" s="87" t="str">
        <f t="shared" si="3"/>
        <v>Proposed Budget</v>
      </c>
    </row>
    <row r="244" spans="1:4" ht="15.75">
      <c r="A244" s="52" t="s">
        <v>167</v>
      </c>
      <c r="B244" s="118" t="str">
        <f t="shared" si="3"/>
        <v>Actual 2010</v>
      </c>
      <c r="C244" s="118" t="str">
        <f t="shared" si="3"/>
        <v>Amended 2011</v>
      </c>
      <c r="D244" s="118" t="str">
        <f t="shared" si="3"/>
        <v>Year 2012</v>
      </c>
    </row>
    <row r="245" spans="1:4" ht="15.75">
      <c r="A245" s="101" t="s">
        <v>163</v>
      </c>
      <c r="B245" s="59"/>
      <c r="C245" s="59"/>
      <c r="D245" s="59"/>
    </row>
    <row r="246" spans="1:4" ht="15.75">
      <c r="A246" s="123" t="s">
        <v>208</v>
      </c>
      <c r="B246" s="59"/>
      <c r="C246" s="59"/>
      <c r="D246" s="59"/>
    </row>
    <row r="247" spans="1:4" ht="15.75">
      <c r="A247" s="48" t="s">
        <v>169</v>
      </c>
      <c r="B247" s="113"/>
      <c r="C247" s="113"/>
      <c r="D247" s="113"/>
    </row>
    <row r="248" spans="1:4" ht="15.75">
      <c r="A248" s="48" t="s">
        <v>170</v>
      </c>
      <c r="B248" s="113"/>
      <c r="C248" s="113"/>
      <c r="D248" s="113"/>
    </row>
    <row r="249" spans="1:4" ht="15.75">
      <c r="A249" s="48" t="s">
        <v>171</v>
      </c>
      <c r="B249" s="113"/>
      <c r="C249" s="113"/>
      <c r="D249" s="113"/>
    </row>
    <row r="250" spans="1:4" ht="15.75">
      <c r="A250" s="48" t="s">
        <v>172</v>
      </c>
      <c r="B250" s="113"/>
      <c r="C250" s="113"/>
      <c r="D250" s="113"/>
    </row>
    <row r="251" spans="1:4" ht="15.75">
      <c r="A251" s="111" t="s">
        <v>124</v>
      </c>
      <c r="B251" s="119">
        <f>SUM(B247:B250)</f>
        <v>0</v>
      </c>
      <c r="C251" s="119">
        <f>SUM(C247:C250)</f>
        <v>0</v>
      </c>
      <c r="D251" s="119">
        <f>SUM(D247:D250)</f>
        <v>0</v>
      </c>
    </row>
    <row r="252" spans="1:4" ht="15.75">
      <c r="A252" s="123" t="s">
        <v>209</v>
      </c>
      <c r="B252" s="59"/>
      <c r="C252" s="59"/>
      <c r="D252" s="59"/>
    </row>
    <row r="253" spans="1:4" ht="15.75">
      <c r="A253" s="48" t="s">
        <v>169</v>
      </c>
      <c r="B253" s="113"/>
      <c r="C253" s="113"/>
      <c r="D253" s="113"/>
    </row>
    <row r="254" spans="1:4" ht="15.75">
      <c r="A254" s="48" t="s">
        <v>170</v>
      </c>
      <c r="B254" s="113"/>
      <c r="C254" s="113"/>
      <c r="D254" s="113"/>
    </row>
    <row r="255" spans="1:4" ht="15.75">
      <c r="A255" s="48" t="s">
        <v>171</v>
      </c>
      <c r="B255" s="113"/>
      <c r="C255" s="113"/>
      <c r="D255" s="113"/>
    </row>
    <row r="256" spans="1:4" ht="15.75">
      <c r="A256" s="48" t="s">
        <v>172</v>
      </c>
      <c r="B256" s="113"/>
      <c r="C256" s="113"/>
      <c r="D256" s="113"/>
    </row>
    <row r="257" spans="1:4" ht="15.75">
      <c r="A257" s="111" t="s">
        <v>124</v>
      </c>
      <c r="B257" s="119">
        <f>SUM(B253:B256)</f>
        <v>0</v>
      </c>
      <c r="C257" s="119">
        <f>SUM(C253:C256)</f>
        <v>0</v>
      </c>
      <c r="D257" s="119">
        <f>SUM(D253:D256)</f>
        <v>0</v>
      </c>
    </row>
    <row r="258" spans="1:4" ht="15.75">
      <c r="A258" s="123" t="s">
        <v>210</v>
      </c>
      <c r="B258" s="59"/>
      <c r="C258" s="59"/>
      <c r="D258" s="59"/>
    </row>
    <row r="259" spans="1:4" ht="15.75">
      <c r="A259" s="48" t="s">
        <v>169</v>
      </c>
      <c r="B259" s="113"/>
      <c r="C259" s="113"/>
      <c r="D259" s="113"/>
    </row>
    <row r="260" spans="1:4" ht="15.75">
      <c r="A260" s="48" t="s">
        <v>170</v>
      </c>
      <c r="B260" s="113"/>
      <c r="C260" s="113"/>
      <c r="D260" s="113"/>
    </row>
    <row r="261" spans="1:4" ht="15.75">
      <c r="A261" s="48" t="s">
        <v>171</v>
      </c>
      <c r="B261" s="113"/>
      <c r="C261" s="113"/>
      <c r="D261" s="113"/>
    </row>
    <row r="262" spans="1:4" ht="15.75">
      <c r="A262" s="48" t="s">
        <v>172</v>
      </c>
      <c r="B262" s="113"/>
      <c r="C262" s="113"/>
      <c r="D262" s="113"/>
    </row>
    <row r="263" spans="1:4" ht="15.75">
      <c r="A263" s="111" t="s">
        <v>124</v>
      </c>
      <c r="B263" s="119">
        <f>SUM(B259:B262)</f>
        <v>0</v>
      </c>
      <c r="C263" s="119">
        <f>SUM(C259:C262)</f>
        <v>0</v>
      </c>
      <c r="D263" s="119">
        <f>SUM(D259:D262)</f>
        <v>0</v>
      </c>
    </row>
    <row r="264" spans="1:4" ht="15.75">
      <c r="A264" s="123" t="s">
        <v>211</v>
      </c>
      <c r="B264" s="59"/>
      <c r="C264" s="59"/>
      <c r="D264" s="59"/>
    </row>
    <row r="265" spans="1:4" ht="15.75">
      <c r="A265" s="48" t="s">
        <v>169</v>
      </c>
      <c r="B265" s="113"/>
      <c r="C265" s="113"/>
      <c r="D265" s="113"/>
    </row>
    <row r="266" spans="1:4" ht="15.75">
      <c r="A266" s="48" t="s">
        <v>170</v>
      </c>
      <c r="B266" s="113"/>
      <c r="C266" s="113"/>
      <c r="D266" s="113"/>
    </row>
    <row r="267" spans="1:4" ht="15.75">
      <c r="A267" s="48" t="s">
        <v>171</v>
      </c>
      <c r="B267" s="113"/>
      <c r="C267" s="113"/>
      <c r="D267" s="113"/>
    </row>
    <row r="268" spans="1:4" ht="15.75">
      <c r="A268" s="48" t="s">
        <v>172</v>
      </c>
      <c r="B268" s="113"/>
      <c r="C268" s="113"/>
      <c r="D268" s="113"/>
    </row>
    <row r="269" spans="1:4" ht="15.75">
      <c r="A269" s="111" t="s">
        <v>124</v>
      </c>
      <c r="B269" s="119">
        <f>SUM(B265:B268)</f>
        <v>0</v>
      </c>
      <c r="C269" s="119">
        <f>SUM(C265:C268)</f>
        <v>0</v>
      </c>
      <c r="D269" s="119">
        <f>SUM(D265:D268)</f>
        <v>0</v>
      </c>
    </row>
    <row r="270" spans="1:4" ht="15.75">
      <c r="A270" s="123" t="s">
        <v>212</v>
      </c>
      <c r="B270" s="59"/>
      <c r="C270" s="59"/>
      <c r="D270" s="59"/>
    </row>
    <row r="271" spans="1:4" ht="15.75">
      <c r="A271" s="48" t="s">
        <v>170</v>
      </c>
      <c r="B271" s="113"/>
      <c r="C271" s="113"/>
      <c r="D271" s="113"/>
    </row>
    <row r="272" spans="1:4" ht="15.75">
      <c r="A272" s="48" t="s">
        <v>213</v>
      </c>
      <c r="B272" s="113"/>
      <c r="C272" s="113"/>
      <c r="D272" s="113"/>
    </row>
    <row r="273" spans="1:4" ht="15.75">
      <c r="A273" s="111" t="s">
        <v>124</v>
      </c>
      <c r="B273" s="119">
        <f>SUM(B271:B272)</f>
        <v>0</v>
      </c>
      <c r="C273" s="119">
        <f>SUM(C271:C272)</f>
        <v>0</v>
      </c>
      <c r="D273" s="119">
        <f>SUM(D271:D272)</f>
        <v>0</v>
      </c>
    </row>
    <row r="274" spans="1:4" ht="15.75">
      <c r="A274" s="123" t="s">
        <v>214</v>
      </c>
      <c r="B274" s="59"/>
      <c r="C274" s="59"/>
      <c r="D274" s="59"/>
    </row>
    <row r="275" spans="1:4" ht="15.75">
      <c r="A275" s="48" t="s">
        <v>169</v>
      </c>
      <c r="B275" s="113"/>
      <c r="C275" s="113"/>
      <c r="D275" s="113"/>
    </row>
    <row r="276" spans="1:4" ht="15.75">
      <c r="A276" s="48" t="s">
        <v>170</v>
      </c>
      <c r="B276" s="113"/>
      <c r="C276" s="113"/>
      <c r="D276" s="113"/>
    </row>
    <row r="277" spans="1:4" ht="15.75">
      <c r="A277" s="48" t="s">
        <v>171</v>
      </c>
      <c r="B277" s="113"/>
      <c r="C277" s="113"/>
      <c r="D277" s="113"/>
    </row>
    <row r="278" spans="1:4" ht="15.75">
      <c r="A278" s="48" t="s">
        <v>172</v>
      </c>
      <c r="B278" s="113"/>
      <c r="C278" s="113"/>
      <c r="D278" s="113"/>
    </row>
    <row r="279" spans="1:4" ht="15.75">
      <c r="A279" s="111" t="s">
        <v>124</v>
      </c>
      <c r="B279" s="119">
        <f>SUM(B275:B278)</f>
        <v>0</v>
      </c>
      <c r="C279" s="119">
        <f>SUM(C275:C278)</f>
        <v>0</v>
      </c>
      <c r="D279" s="119">
        <f>SUM(D275:D278)</f>
        <v>0</v>
      </c>
    </row>
    <row r="280" spans="1:4" ht="15.75">
      <c r="A280" s="123" t="s">
        <v>215</v>
      </c>
      <c r="B280" s="59"/>
      <c r="C280" s="59"/>
      <c r="D280" s="59"/>
    </row>
    <row r="281" spans="1:4" ht="15.75">
      <c r="A281" s="48" t="s">
        <v>169</v>
      </c>
      <c r="B281" s="113"/>
      <c r="C281" s="113"/>
      <c r="D281" s="113"/>
    </row>
    <row r="282" spans="1:4" ht="15.75">
      <c r="A282" s="48" t="s">
        <v>170</v>
      </c>
      <c r="B282" s="113"/>
      <c r="C282" s="113"/>
      <c r="D282" s="113"/>
    </row>
    <row r="283" spans="1:4" ht="15.75">
      <c r="A283" s="48" t="s">
        <v>171</v>
      </c>
      <c r="B283" s="113"/>
      <c r="C283" s="113"/>
      <c r="D283" s="113"/>
    </row>
    <row r="284" spans="1:4" ht="15.75">
      <c r="A284" s="48" t="s">
        <v>172</v>
      </c>
      <c r="B284" s="113"/>
      <c r="C284" s="113"/>
      <c r="D284" s="113"/>
    </row>
    <row r="285" spans="1:4" ht="15.75">
      <c r="A285" s="111" t="s">
        <v>124</v>
      </c>
      <c r="B285" s="119">
        <f>SUM(B281:B284)</f>
        <v>0</v>
      </c>
      <c r="C285" s="119">
        <f>SUM(C281:C284)</f>
        <v>0</v>
      </c>
      <c r="D285" s="119">
        <f>SUM(D281:D284)</f>
        <v>0</v>
      </c>
    </row>
    <row r="286" spans="1:4" ht="15.75">
      <c r="A286" s="111"/>
      <c r="B286" s="59"/>
      <c r="C286" s="59"/>
      <c r="D286" s="59"/>
    </row>
    <row r="287" spans="1:4" ht="15.75">
      <c r="A287" s="111" t="s">
        <v>335</v>
      </c>
      <c r="B287" s="119">
        <f>B251+B257+B263+B269+B273+B279+B285</f>
        <v>0</v>
      </c>
      <c r="C287" s="119">
        <f>C251+C257+C263+C269+C273+C279+C285</f>
        <v>0</v>
      </c>
      <c r="D287" s="119">
        <f>D251+D257+D263+D269+D273+D279+D285</f>
        <v>0</v>
      </c>
    </row>
    <row r="288" spans="1:4" ht="15.75">
      <c r="A288" s="111"/>
      <c r="B288" s="59"/>
      <c r="C288" s="59"/>
      <c r="D288" s="59"/>
    </row>
    <row r="289" spans="1:4" ht="15.75">
      <c r="A289" s="111" t="s">
        <v>336</v>
      </c>
      <c r="B289" s="119">
        <f>B57</f>
        <v>0</v>
      </c>
      <c r="C289" s="119">
        <f>C57</f>
        <v>0</v>
      </c>
      <c r="D289" s="119">
        <f>D57</f>
        <v>0</v>
      </c>
    </row>
    <row r="290" spans="1:4" ht="15.75">
      <c r="A290" s="40"/>
      <c r="B290" s="59"/>
      <c r="C290" s="59"/>
      <c r="D290" s="59"/>
    </row>
    <row r="291" spans="1:4" ht="15.75">
      <c r="A291" s="111" t="s">
        <v>337</v>
      </c>
      <c r="B291" s="119">
        <f>B116</f>
        <v>0</v>
      </c>
      <c r="C291" s="119">
        <f>C116</f>
        <v>0</v>
      </c>
      <c r="D291" s="119">
        <f>D116</f>
        <v>0</v>
      </c>
    </row>
    <row r="292" spans="1:4" ht="15.75">
      <c r="A292" s="40"/>
      <c r="B292" s="59"/>
      <c r="C292" s="59"/>
      <c r="D292" s="59"/>
    </row>
    <row r="293" spans="1:4" ht="15.75">
      <c r="A293" s="111" t="s">
        <v>333</v>
      </c>
      <c r="B293" s="119">
        <f>B176</f>
        <v>0</v>
      </c>
      <c r="C293" s="119">
        <f>C176</f>
        <v>0</v>
      </c>
      <c r="D293" s="119">
        <f>D176</f>
        <v>0</v>
      </c>
    </row>
    <row r="294" spans="1:4" ht="15.75">
      <c r="A294" s="40"/>
      <c r="B294" s="59"/>
      <c r="C294" s="59"/>
      <c r="D294" s="59"/>
    </row>
    <row r="295" spans="1:4" ht="15.75">
      <c r="A295" s="111" t="s">
        <v>334</v>
      </c>
      <c r="B295" s="119">
        <f>B237</f>
        <v>0</v>
      </c>
      <c r="C295" s="119">
        <f>C237</f>
        <v>0</v>
      </c>
      <c r="D295" s="119">
        <f>D237</f>
        <v>0</v>
      </c>
    </row>
    <row r="296" spans="1:4" ht="15.75">
      <c r="A296" s="40"/>
      <c r="B296" s="59"/>
      <c r="C296" s="59"/>
      <c r="D296" s="59"/>
    </row>
    <row r="297" spans="1:4" ht="16.5" thickBot="1">
      <c r="A297" s="101" t="s">
        <v>22</v>
      </c>
      <c r="B297" s="128">
        <f>SUM(B287:B296)</f>
        <v>0</v>
      </c>
      <c r="C297" s="128">
        <f>SUM(C287:C296)</f>
        <v>0</v>
      </c>
      <c r="D297" s="128">
        <f>SUM(D287:D296)</f>
        <v>0</v>
      </c>
    </row>
    <row r="298" spans="1:4" ht="16.5" thickTop="1">
      <c r="A298" s="129" t="s">
        <v>23</v>
      </c>
      <c r="B298" s="130"/>
      <c r="C298" s="130"/>
      <c r="D298" s="130"/>
    </row>
    <row r="299" spans="1:4" ht="15.75">
      <c r="A299" s="841" t="s">
        <v>338</v>
      </c>
      <c r="B299" s="841"/>
      <c r="C299" s="841"/>
      <c r="D299" s="841"/>
    </row>
    <row r="300" spans="2:4" ht="15.75">
      <c r="B300" s="131"/>
      <c r="C300" s="131"/>
      <c r="D300" s="131"/>
    </row>
    <row r="301" spans="2:4" ht="15.75">
      <c r="B301" s="131"/>
      <c r="C301" s="131"/>
      <c r="D301" s="131"/>
    </row>
    <row r="302" spans="2:4" ht="15.75">
      <c r="B302" s="131"/>
      <c r="C302" s="131"/>
      <c r="D302" s="131"/>
    </row>
    <row r="303" spans="2:4" ht="15.75">
      <c r="B303" s="131"/>
      <c r="C303" s="131"/>
      <c r="D303" s="131"/>
    </row>
    <row r="304" spans="2:4" ht="15.75">
      <c r="B304" s="131"/>
      <c r="C304" s="131"/>
      <c r="D304" s="131"/>
    </row>
    <row r="305" spans="2:4" ht="15.75">
      <c r="B305" s="131"/>
      <c r="C305" s="131"/>
      <c r="D305" s="131"/>
    </row>
    <row r="306" spans="2:4" ht="15.75">
      <c r="B306" s="131"/>
      <c r="C306" s="131"/>
      <c r="D306" s="131"/>
    </row>
    <row r="307" spans="2:4" ht="15.75">
      <c r="B307" s="131"/>
      <c r="C307" s="131"/>
      <c r="D307" s="131"/>
    </row>
    <row r="308" spans="2:4" ht="15.75">
      <c r="B308" s="131"/>
      <c r="C308" s="131"/>
      <c r="D308" s="131"/>
    </row>
    <row r="309" spans="2:4" ht="15.75">
      <c r="B309" s="131"/>
      <c r="C309" s="131"/>
      <c r="D309" s="131"/>
    </row>
    <row r="310" spans="2:4" ht="15.75">
      <c r="B310" s="131"/>
      <c r="C310" s="131"/>
      <c r="D310" s="131"/>
    </row>
    <row r="311" spans="2:4" ht="15.75">
      <c r="B311" s="131"/>
      <c r="C311" s="131"/>
      <c r="D311" s="131"/>
    </row>
    <row r="312" spans="2:4" ht="15.75">
      <c r="B312" s="131"/>
      <c r="C312" s="131"/>
      <c r="D312" s="131"/>
    </row>
    <row r="313" spans="2:4" ht="15.75">
      <c r="B313" s="131"/>
      <c r="C313" s="131"/>
      <c r="D313" s="131"/>
    </row>
    <row r="314" spans="2:4" ht="15.75">
      <c r="B314" s="131"/>
      <c r="C314" s="131"/>
      <c r="D314" s="131"/>
    </row>
    <row r="315" spans="2:4" ht="15.75">
      <c r="B315" s="131"/>
      <c r="C315" s="131"/>
      <c r="D315" s="131"/>
    </row>
    <row r="316" spans="2:4" ht="15.75">
      <c r="B316" s="131"/>
      <c r="C316" s="131"/>
      <c r="D316" s="131"/>
    </row>
    <row r="317" spans="2:4" ht="15.75">
      <c r="B317" s="131"/>
      <c r="C317" s="131"/>
      <c r="D317" s="131"/>
    </row>
    <row r="318" spans="2:4" ht="15.75">
      <c r="B318" s="131"/>
      <c r="C318" s="131"/>
      <c r="D318" s="131"/>
    </row>
    <row r="319" spans="2:4" ht="15.75">
      <c r="B319" s="131"/>
      <c r="C319" s="131"/>
      <c r="D319" s="131"/>
    </row>
    <row r="320" spans="2:4" ht="15.75">
      <c r="B320" s="131"/>
      <c r="C320" s="131"/>
      <c r="D320" s="131"/>
    </row>
    <row r="321" spans="2:4" ht="15.75">
      <c r="B321" s="131"/>
      <c r="C321" s="131"/>
      <c r="D321" s="131"/>
    </row>
    <row r="322" spans="2:4" ht="15.75">
      <c r="B322" s="131"/>
      <c r="C322" s="131"/>
      <c r="D322" s="131"/>
    </row>
    <row r="323" spans="2:4" ht="15.75">
      <c r="B323" s="131"/>
      <c r="C323" s="131"/>
      <c r="D323" s="131"/>
    </row>
    <row r="324" spans="2:4" ht="15.75">
      <c r="B324" s="131"/>
      <c r="C324" s="131"/>
      <c r="D324" s="131"/>
    </row>
    <row r="325" spans="2:4" ht="15.75">
      <c r="B325" s="131"/>
      <c r="C325" s="131"/>
      <c r="D325" s="131"/>
    </row>
    <row r="326" spans="2:4" ht="15.75">
      <c r="B326" s="131"/>
      <c r="C326" s="131"/>
      <c r="D326" s="131"/>
    </row>
    <row r="327" spans="2:4" ht="15.75">
      <c r="B327" s="131"/>
      <c r="C327" s="131"/>
      <c r="D327" s="131"/>
    </row>
    <row r="328" spans="2:4" ht="15.75">
      <c r="B328" s="131"/>
      <c r="C328" s="131"/>
      <c r="D328" s="131"/>
    </row>
    <row r="329" spans="2:4" ht="15.75">
      <c r="B329" s="131"/>
      <c r="C329" s="131"/>
      <c r="D329" s="131"/>
    </row>
    <row r="330" spans="2:4" ht="15.75">
      <c r="B330" s="131"/>
      <c r="C330" s="131"/>
      <c r="D330" s="131"/>
    </row>
    <row r="331" spans="2:4" ht="15.75">
      <c r="B331" s="131"/>
      <c r="C331" s="131"/>
      <c r="D331" s="131"/>
    </row>
    <row r="332" spans="2:4" ht="15.75">
      <c r="B332" s="131"/>
      <c r="C332" s="131"/>
      <c r="D332" s="131"/>
    </row>
    <row r="333" spans="2:4" ht="15.75">
      <c r="B333" s="131"/>
      <c r="C333" s="131"/>
      <c r="D333" s="131"/>
    </row>
    <row r="334" spans="2:4" ht="15.75">
      <c r="B334" s="131"/>
      <c r="C334" s="131"/>
      <c r="D334" s="131"/>
    </row>
    <row r="335" spans="2:4" ht="15.75">
      <c r="B335" s="131"/>
      <c r="C335" s="131"/>
      <c r="D335" s="131"/>
    </row>
    <row r="336" spans="2:4" ht="15.75">
      <c r="B336" s="131"/>
      <c r="C336" s="131"/>
      <c r="D336" s="131"/>
    </row>
    <row r="337" spans="2:4" ht="15.75">
      <c r="B337" s="131"/>
      <c r="C337" s="131"/>
      <c r="D337" s="131"/>
    </row>
    <row r="338" spans="2:4" ht="15.75">
      <c r="B338" s="131"/>
      <c r="C338" s="131"/>
      <c r="D338" s="131"/>
    </row>
    <row r="339" spans="2:4" ht="15.75">
      <c r="B339" s="131"/>
      <c r="C339" s="131"/>
      <c r="D339" s="131"/>
    </row>
    <row r="340" spans="2:4" ht="15.75">
      <c r="B340" s="131"/>
      <c r="C340" s="131"/>
      <c r="D340" s="131"/>
    </row>
    <row r="341" spans="2:4" ht="15.75">
      <c r="B341" s="131"/>
      <c r="C341" s="131"/>
      <c r="D341" s="131"/>
    </row>
    <row r="342" spans="2:4" ht="15.75">
      <c r="B342" s="131"/>
      <c r="C342" s="131"/>
      <c r="D342" s="131"/>
    </row>
    <row r="343" spans="2:4" ht="15.75">
      <c r="B343" s="131"/>
      <c r="C343" s="131"/>
      <c r="D343" s="131"/>
    </row>
    <row r="344" spans="2:4" ht="15.75">
      <c r="B344" s="131"/>
      <c r="C344" s="131"/>
      <c r="D344" s="131"/>
    </row>
    <row r="345" spans="2:4" ht="15.75">
      <c r="B345" s="131"/>
      <c r="C345" s="131"/>
      <c r="D345" s="131"/>
    </row>
    <row r="346" spans="2:4" ht="15.75">
      <c r="B346" s="131"/>
      <c r="C346" s="131"/>
      <c r="D346" s="131"/>
    </row>
    <row r="347" spans="2:4" ht="15.75">
      <c r="B347" s="131"/>
      <c r="C347" s="131"/>
      <c r="D347" s="131"/>
    </row>
    <row r="348" spans="2:4" ht="15.75">
      <c r="B348" s="131"/>
      <c r="C348" s="131"/>
      <c r="D348" s="131"/>
    </row>
    <row r="349" spans="2:4" ht="15.75">
      <c r="B349" s="131"/>
      <c r="C349" s="131"/>
      <c r="D349" s="131"/>
    </row>
    <row r="350" spans="2:4" ht="15.75">
      <c r="B350" s="131"/>
      <c r="C350" s="131"/>
      <c r="D350" s="131"/>
    </row>
    <row r="351" spans="2:4" ht="15.75">
      <c r="B351" s="131"/>
      <c r="C351" s="131"/>
      <c r="D351" s="131"/>
    </row>
    <row r="352" spans="2:4" ht="15.75">
      <c r="B352" s="131"/>
      <c r="C352" s="131"/>
      <c r="D352" s="131"/>
    </row>
    <row r="353" spans="2:4" ht="15.75">
      <c r="B353" s="131"/>
      <c r="C353" s="131"/>
      <c r="D353" s="131"/>
    </row>
    <row r="354" spans="2:4" ht="15.75">
      <c r="B354" s="131"/>
      <c r="C354" s="131"/>
      <c r="D354" s="131"/>
    </row>
    <row r="355" spans="2:4" ht="15.75">
      <c r="B355" s="131"/>
      <c r="C355" s="131"/>
      <c r="D355" s="131"/>
    </row>
    <row r="356" spans="2:4" ht="15.75">
      <c r="B356" s="131"/>
      <c r="C356" s="131"/>
      <c r="D356" s="131"/>
    </row>
    <row r="357" spans="2:4" ht="15.75">
      <c r="B357" s="131"/>
      <c r="C357" s="131"/>
      <c r="D357" s="131"/>
    </row>
    <row r="358" spans="2:4" ht="15.75">
      <c r="B358" s="131"/>
      <c r="C358" s="131"/>
      <c r="D358" s="131"/>
    </row>
    <row r="359" spans="2:4" ht="15.75">
      <c r="B359" s="131"/>
      <c r="C359" s="131"/>
      <c r="D359" s="131"/>
    </row>
    <row r="360" spans="2:4" ht="15.75">
      <c r="B360" s="131"/>
      <c r="C360" s="131"/>
      <c r="D360" s="131"/>
    </row>
    <row r="361" spans="2:4" ht="15.75">
      <c r="B361" s="131"/>
      <c r="C361" s="131"/>
      <c r="D361" s="131"/>
    </row>
    <row r="362" spans="2:4" ht="15.75">
      <c r="B362" s="131"/>
      <c r="C362" s="131"/>
      <c r="D362" s="131"/>
    </row>
    <row r="363" spans="2:4" ht="15.75">
      <c r="B363" s="131"/>
      <c r="C363" s="131"/>
      <c r="D363" s="131"/>
    </row>
    <row r="364" spans="2:4" ht="15.75">
      <c r="B364" s="131"/>
      <c r="C364" s="131"/>
      <c r="D364" s="131"/>
    </row>
    <row r="365" spans="2:4" ht="15.75">
      <c r="B365" s="131"/>
      <c r="C365" s="131"/>
      <c r="D365" s="131"/>
    </row>
    <row r="366" spans="2:4" ht="15.75">
      <c r="B366" s="131"/>
      <c r="C366" s="131"/>
      <c r="D366" s="131"/>
    </row>
    <row r="367" spans="2:4" ht="15.75">
      <c r="B367" s="131"/>
      <c r="C367" s="131"/>
      <c r="D367" s="131"/>
    </row>
    <row r="368" spans="2:4" ht="15.75">
      <c r="B368" s="131"/>
      <c r="C368" s="131"/>
      <c r="D368" s="131"/>
    </row>
    <row r="369" spans="2:4" ht="15.75">
      <c r="B369" s="131"/>
      <c r="C369" s="131"/>
      <c r="D369" s="131"/>
    </row>
    <row r="370" spans="2:4" ht="15.75">
      <c r="B370" s="131"/>
      <c r="C370" s="131"/>
      <c r="D370" s="131"/>
    </row>
    <row r="371" spans="2:4" ht="15.75">
      <c r="B371" s="131"/>
      <c r="C371" s="131"/>
      <c r="D371" s="131"/>
    </row>
    <row r="372" spans="2:4" ht="15.75">
      <c r="B372" s="131"/>
      <c r="C372" s="131"/>
      <c r="D372" s="131"/>
    </row>
    <row r="373" spans="2:4" ht="15.75">
      <c r="B373" s="131"/>
      <c r="C373" s="131"/>
      <c r="D373" s="131"/>
    </row>
    <row r="374" spans="2:4" ht="15.75">
      <c r="B374" s="131"/>
      <c r="C374" s="131"/>
      <c r="D374" s="131"/>
    </row>
    <row r="375" spans="2:4" ht="15.75">
      <c r="B375" s="131"/>
      <c r="C375" s="131"/>
      <c r="D375" s="131"/>
    </row>
    <row r="376" spans="2:4" ht="15.75">
      <c r="B376" s="131"/>
      <c r="C376" s="131"/>
      <c r="D376" s="131"/>
    </row>
    <row r="377" spans="2:4" ht="15.75">
      <c r="B377" s="131"/>
      <c r="C377" s="131"/>
      <c r="D377" s="131"/>
    </row>
    <row r="378" spans="2:4" ht="15.75">
      <c r="B378" s="131"/>
      <c r="C378" s="131"/>
      <c r="D378" s="131"/>
    </row>
    <row r="379" spans="2:4" ht="15.75">
      <c r="B379" s="131"/>
      <c r="C379" s="131"/>
      <c r="D379" s="131"/>
    </row>
    <row r="380" spans="2:4" ht="15.75">
      <c r="B380" s="131"/>
      <c r="C380" s="131"/>
      <c r="D380" s="131"/>
    </row>
    <row r="381" spans="2:4" ht="15.75">
      <c r="B381" s="131"/>
      <c r="C381" s="131"/>
      <c r="D381" s="131"/>
    </row>
    <row r="382" spans="2:4" ht="15.75">
      <c r="B382" s="131"/>
      <c r="C382" s="131"/>
      <c r="D382" s="131"/>
    </row>
    <row r="383" spans="2:4" ht="15.75">
      <c r="B383" s="131"/>
      <c r="C383" s="131"/>
      <c r="D383" s="131"/>
    </row>
    <row r="384" spans="2:4" ht="15.75">
      <c r="B384" s="131"/>
      <c r="C384" s="131"/>
      <c r="D384" s="131"/>
    </row>
    <row r="385" spans="2:4" ht="15.75">
      <c r="B385" s="131"/>
      <c r="C385" s="131"/>
      <c r="D385" s="131"/>
    </row>
    <row r="386" spans="2:4" ht="15.75">
      <c r="B386" s="131"/>
      <c r="C386" s="131"/>
      <c r="D386" s="131"/>
    </row>
    <row r="387" spans="2:4" ht="15.75">
      <c r="B387" s="131"/>
      <c r="C387" s="131"/>
      <c r="D387" s="131"/>
    </row>
    <row r="388" spans="2:4" ht="15.75">
      <c r="B388" s="131"/>
      <c r="C388" s="131"/>
      <c r="D388" s="131"/>
    </row>
    <row r="389" spans="2:4" ht="15.75">
      <c r="B389" s="131"/>
      <c r="C389" s="131"/>
      <c r="D389" s="131"/>
    </row>
    <row r="390" spans="2:4" ht="15.75">
      <c r="B390" s="131"/>
      <c r="C390" s="131"/>
      <c r="D390" s="131"/>
    </row>
    <row r="391" spans="2:4" ht="15.75">
      <c r="B391" s="131"/>
      <c r="C391" s="131"/>
      <c r="D391" s="131"/>
    </row>
    <row r="392" spans="2:4" ht="15.75">
      <c r="B392" s="131"/>
      <c r="C392" s="131"/>
      <c r="D392" s="131"/>
    </row>
    <row r="393" spans="2:4" ht="15.75">
      <c r="B393" s="131"/>
      <c r="C393" s="131"/>
      <c r="D393" s="131"/>
    </row>
    <row r="394" spans="2:4" ht="15.75">
      <c r="B394" s="131"/>
      <c r="C394" s="131"/>
      <c r="D394" s="131"/>
    </row>
    <row r="395" spans="2:4" ht="15.75">
      <c r="B395" s="131"/>
      <c r="C395" s="131"/>
      <c r="D395" s="131"/>
    </row>
    <row r="396" spans="2:4" ht="15.75">
      <c r="B396" s="131"/>
      <c r="C396" s="131"/>
      <c r="D396" s="131"/>
    </row>
    <row r="397" spans="2:4" ht="15.75">
      <c r="B397" s="131"/>
      <c r="C397" s="131"/>
      <c r="D397" s="131"/>
    </row>
    <row r="398" spans="2:4" ht="15.75">
      <c r="B398" s="131"/>
      <c r="C398" s="131"/>
      <c r="D398" s="131"/>
    </row>
    <row r="399" spans="2:4" ht="15.75">
      <c r="B399" s="131"/>
      <c r="C399" s="131"/>
      <c r="D399" s="131"/>
    </row>
    <row r="400" spans="2:4" ht="15.75">
      <c r="B400" s="131"/>
      <c r="C400" s="131"/>
      <c r="D400" s="131"/>
    </row>
    <row r="401" spans="2:4" ht="15.75">
      <c r="B401" s="131"/>
      <c r="C401" s="131"/>
      <c r="D401" s="131"/>
    </row>
    <row r="402" spans="2:4" ht="15.75">
      <c r="B402" s="131"/>
      <c r="C402" s="131"/>
      <c r="D402" s="131"/>
    </row>
  </sheetData>
  <sheetProtection sheet="1"/>
  <mergeCells count="5">
    <mergeCell ref="A299:D299"/>
    <mergeCell ref="A59:D59"/>
    <mergeCell ref="A118:D118"/>
    <mergeCell ref="A178:D178"/>
    <mergeCell ref="A239:D239"/>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4" manualBreakCount="4">
    <brk id="59" max="255" man="1"/>
    <brk id="118" max="3" man="1"/>
    <brk id="178" max="255" man="1"/>
    <brk id="239" max="255" man="1"/>
  </rowBreaks>
</worksheet>
</file>

<file path=xl/worksheets/sheet22.xml><?xml version="1.0" encoding="utf-8"?>
<worksheet xmlns="http://schemas.openxmlformats.org/spreadsheetml/2006/main" xmlns:r="http://schemas.openxmlformats.org/officeDocument/2006/relationships">
  <sheetPr>
    <tabColor rgb="FFFF0000"/>
  </sheetPr>
  <dimension ref="A1:E43"/>
  <sheetViews>
    <sheetView zoomScale="90" zoomScaleNormal="90" zoomScalePageLayoutView="0" workbookViewId="0" topLeftCell="A7">
      <selection activeCell="B31" sqref="B31:B43"/>
    </sheetView>
  </sheetViews>
  <sheetFormatPr defaultColWidth="8.796875" defaultRowHeight="15"/>
  <cols>
    <col min="1" max="1" width="32.796875" style="27" customWidth="1"/>
    <col min="2" max="2" width="20.796875" style="27" customWidth="1"/>
    <col min="3" max="3" width="9.796875" style="27" customWidth="1"/>
    <col min="4" max="4" width="15.296875" style="27" customWidth="1"/>
    <col min="5" max="5" width="15.796875" style="27" customWidth="1"/>
    <col min="6" max="16384" width="8.8984375" style="27" customWidth="1"/>
  </cols>
  <sheetData>
    <row r="1" spans="1:5" ht="15.75">
      <c r="A1" s="63" t="str">
        <f>inputPrYr!C2</f>
        <v>Wyandotte County</v>
      </c>
      <c r="B1" s="57"/>
      <c r="C1" s="57"/>
      <c r="D1" s="57"/>
      <c r="E1" s="57">
        <f>inputPrYr!C4</f>
        <v>2012</v>
      </c>
    </row>
    <row r="2" spans="1:5" ht="15.75">
      <c r="A2" s="63"/>
      <c r="B2" s="57"/>
      <c r="C2" s="57"/>
      <c r="D2" s="57"/>
      <c r="E2" s="57"/>
    </row>
    <row r="3" spans="1:5" ht="15.75">
      <c r="A3" s="842" t="s">
        <v>49</v>
      </c>
      <c r="B3" s="843"/>
      <c r="C3" s="843"/>
      <c r="D3" s="843"/>
      <c r="E3" s="843"/>
    </row>
    <row r="4" spans="1:5" ht="15.75">
      <c r="A4" s="57"/>
      <c r="B4" s="57"/>
      <c r="C4" s="57"/>
      <c r="D4" s="57"/>
      <c r="E4" s="57"/>
    </row>
    <row r="5" spans="1:5" ht="15.75">
      <c r="A5" s="56" t="str">
        <f>CONCATENATE("From the County Clerks ",E1," Budget Information:")</f>
        <v>From the County Clerks 2012 Budget Information:</v>
      </c>
      <c r="B5" s="58"/>
      <c r="C5" s="43"/>
      <c r="D5" s="40"/>
      <c r="E5" s="64"/>
    </row>
    <row r="6" spans="1:5" ht="15.75">
      <c r="A6" s="65" t="str">
        <f>CONCATENATE("Total Assessed Valuation for ",E1-1,"")</f>
        <v>Total Assessed Valuation for 2011</v>
      </c>
      <c r="B6" s="60"/>
      <c r="C6" s="60"/>
      <c r="D6" s="60"/>
      <c r="E6" s="50"/>
    </row>
    <row r="7" spans="1:5" ht="15.75">
      <c r="A7" s="65" t="str">
        <f>CONCATENATE("New Improvements for ",E1-1,"")</f>
        <v>New Improvements for 2011</v>
      </c>
      <c r="B7" s="60"/>
      <c r="C7" s="60"/>
      <c r="D7" s="60"/>
      <c r="E7" s="66"/>
    </row>
    <row r="8" spans="1:5" ht="15.75">
      <c r="A8" s="65" t="str">
        <f>CONCATENATE("Personal Property excluding oil, gas, and mobile homes- ",E1-1,"")</f>
        <v>Personal Property excluding oil, gas, and mobile homes- 2011</v>
      </c>
      <c r="B8" s="60"/>
      <c r="C8" s="60"/>
      <c r="D8" s="60"/>
      <c r="E8" s="66"/>
    </row>
    <row r="9" spans="1:5" ht="15.75">
      <c r="A9" s="65" t="str">
        <f>CONCATENATE("Property that has changed in use for ",E1-1,"")</f>
        <v>Property that has changed in use for 2011</v>
      </c>
      <c r="B9" s="60"/>
      <c r="C9" s="60"/>
      <c r="D9" s="60"/>
      <c r="E9" s="66"/>
    </row>
    <row r="10" spans="1:5" ht="15.75">
      <c r="A10" s="65" t="str">
        <f>CONCATENATE("Personal Property excluding oil, gas, and mobile homes- ",E1-2,"")</f>
        <v>Personal Property excluding oil, gas, and mobile homes- 2010</v>
      </c>
      <c r="B10" s="60"/>
      <c r="C10" s="60"/>
      <c r="D10" s="60"/>
      <c r="E10" s="66"/>
    </row>
    <row r="11" spans="1:5" ht="15.75">
      <c r="A11" s="65" t="str">
        <f>CONCATENATE("Gross earnings (intangible) tax esitmate for ",E1,"")</f>
        <v>Gross earnings (intangible) tax esitmate for 2012</v>
      </c>
      <c r="B11" s="60"/>
      <c r="C11" s="60"/>
      <c r="D11" s="60"/>
      <c r="E11" s="50"/>
    </row>
    <row r="12" spans="1:5" ht="15.75">
      <c r="A12" s="67" t="s">
        <v>354</v>
      </c>
      <c r="B12" s="60"/>
      <c r="C12" s="60"/>
      <c r="D12" s="53"/>
      <c r="E12" s="50"/>
    </row>
    <row r="13" spans="1:5" ht="15.75">
      <c r="A13" s="40"/>
      <c r="B13" s="40"/>
      <c r="C13" s="40"/>
      <c r="D13" s="44"/>
      <c r="E13" s="44"/>
    </row>
    <row r="14" spans="1:5" ht="15.75">
      <c r="A14" s="56" t="str">
        <f>CONCATENATE("From the County Treasurer's ",E1," Budget Information:")</f>
        <v>From the County Treasurer's 2012 Budget Information:</v>
      </c>
      <c r="B14" s="58"/>
      <c r="C14" s="58"/>
      <c r="D14" s="64"/>
      <c r="E14" s="64"/>
    </row>
    <row r="15" spans="1:5" ht="15.75">
      <c r="A15" s="51" t="s">
        <v>125</v>
      </c>
      <c r="B15" s="52"/>
      <c r="C15" s="52"/>
      <c r="D15" s="68"/>
      <c r="E15" s="50">
        <v>3904299</v>
      </c>
    </row>
    <row r="16" spans="1:5" ht="15.75">
      <c r="A16" s="65" t="s">
        <v>126</v>
      </c>
      <c r="B16" s="60"/>
      <c r="C16" s="60"/>
      <c r="D16" s="69"/>
      <c r="E16" s="50">
        <v>18973</v>
      </c>
    </row>
    <row r="17" spans="1:5" ht="15.75">
      <c r="A17" s="65" t="s">
        <v>268</v>
      </c>
      <c r="B17" s="60"/>
      <c r="C17" s="60"/>
      <c r="D17" s="69"/>
      <c r="E17" s="50">
        <v>34704</v>
      </c>
    </row>
    <row r="18" spans="1:5" ht="15.75">
      <c r="A18" s="65" t="s">
        <v>355</v>
      </c>
      <c r="B18" s="60"/>
      <c r="C18" s="60"/>
      <c r="D18" s="70"/>
      <c r="E18" s="50"/>
    </row>
    <row r="19" spans="1:5" ht="15.75">
      <c r="A19" s="65" t="s">
        <v>356</v>
      </c>
      <c r="B19" s="60"/>
      <c r="C19" s="60"/>
      <c r="D19" s="70"/>
      <c r="E19" s="50"/>
    </row>
    <row r="20" spans="1:5" ht="15.75">
      <c r="A20" s="67" t="s">
        <v>357</v>
      </c>
      <c r="B20" s="60"/>
      <c r="C20" s="60"/>
      <c r="D20" s="69"/>
      <c r="E20" s="50"/>
    </row>
    <row r="21" spans="1:5" ht="15.75">
      <c r="A21" s="40"/>
      <c r="B21" s="40"/>
      <c r="C21" s="40"/>
      <c r="D21" s="40"/>
      <c r="E21" s="40"/>
    </row>
    <row r="22" spans="1:5" ht="15.75">
      <c r="A22" s="71" t="s">
        <v>358</v>
      </c>
      <c r="B22" s="40"/>
      <c r="C22" s="40"/>
      <c r="D22" s="40"/>
      <c r="E22" s="40"/>
    </row>
    <row r="23" spans="1:5" ht="15.75">
      <c r="A23" s="72" t="str">
        <f>CONCATENATE("Actual Delinquency for ",E1-3," Tax - (round to three decimal places)")</f>
        <v>Actual Delinquency for 2009 Tax - (round to three decimal places)</v>
      </c>
      <c r="B23" s="52"/>
      <c r="C23" s="52"/>
      <c r="D23" s="54"/>
      <c r="E23" s="183"/>
    </row>
    <row r="24" spans="1:5" ht="15.75">
      <c r="A24" s="52" t="s">
        <v>359</v>
      </c>
      <c r="B24" s="52"/>
      <c r="C24" s="52"/>
      <c r="D24" s="52"/>
      <c r="E24" s="184">
        <v>0.08</v>
      </c>
    </row>
    <row r="25" spans="1:5" ht="15.75">
      <c r="A25" s="37" t="s">
        <v>360</v>
      </c>
      <c r="B25" s="37"/>
      <c r="C25" s="37"/>
      <c r="D25" s="37"/>
      <c r="E25" s="37"/>
    </row>
    <row r="26" spans="1:5" ht="15.75">
      <c r="A26" s="73"/>
      <c r="B26" s="73"/>
      <c r="C26" s="73"/>
      <c r="D26" s="73"/>
      <c r="E26" s="73"/>
    </row>
    <row r="27" spans="1:5" ht="15.75">
      <c r="A27" s="844" t="str">
        <f>CONCATENATE("From the ",E1-2," Budget Certificate Page")</f>
        <v>From the 2010 Budget Certificate Page</v>
      </c>
      <c r="B27" s="845"/>
      <c r="C27" s="73"/>
      <c r="D27" s="73"/>
      <c r="E27" s="73"/>
    </row>
    <row r="28" spans="1:5" ht="15.75">
      <c r="A28" s="74"/>
      <c r="B28" s="846" t="str">
        <f>CONCATENATE("",E1-2,"                         Expenditure Amt Budget Authority")</f>
        <v>2010                         Expenditure Amt Budget Authority</v>
      </c>
      <c r="C28" s="849" t="str">
        <f>CONCATENATE("Note: If the ",E1-2," budget was amended, then the")</f>
        <v>Note: If the 2010 budget was amended, then the</v>
      </c>
      <c r="D28" s="850"/>
      <c r="E28" s="850"/>
    </row>
    <row r="29" spans="1:5" ht="15.75">
      <c r="A29" s="75" t="s">
        <v>63</v>
      </c>
      <c r="B29" s="847"/>
      <c r="C29" s="76" t="s">
        <v>64</v>
      </c>
      <c r="D29" s="77"/>
      <c r="E29" s="77"/>
    </row>
    <row r="30" spans="1:5" ht="15.75">
      <c r="A30" s="78"/>
      <c r="B30" s="848"/>
      <c r="C30" s="76" t="s">
        <v>65</v>
      </c>
      <c r="D30" s="77"/>
      <c r="E30" s="77"/>
    </row>
    <row r="31" spans="1:5" ht="15.75">
      <c r="A31" s="79" t="str">
        <f>inputPrYr!B16</f>
        <v>General</v>
      </c>
      <c r="B31" s="80">
        <v>47267794</v>
      </c>
      <c r="C31" s="76"/>
      <c r="D31" s="77"/>
      <c r="E31" s="77"/>
    </row>
    <row r="32" spans="1:5" ht="15.75">
      <c r="A32" s="79" t="str">
        <f>inputPrYr!B17</f>
        <v>Bond and Interest</v>
      </c>
      <c r="B32" s="46">
        <v>1172002</v>
      </c>
      <c r="C32" s="76"/>
      <c r="D32" s="77"/>
      <c r="E32" s="77"/>
    </row>
    <row r="33" spans="1:5" ht="15.75">
      <c r="A33" s="79" t="str">
        <f>inputPrYr!B18</f>
        <v>County Elections</v>
      </c>
      <c r="B33" s="46">
        <v>1655494</v>
      </c>
      <c r="C33" s="73"/>
      <c r="D33" s="73"/>
      <c r="E33" s="73"/>
    </row>
    <row r="34" spans="1:5" ht="15.75">
      <c r="A34" s="79" t="str">
        <f>inputPrYr!B19</f>
        <v>Aging</v>
      </c>
      <c r="B34" s="46">
        <v>1084675</v>
      </c>
      <c r="C34" s="73"/>
      <c r="D34" s="73"/>
      <c r="E34" s="73"/>
    </row>
    <row r="35" spans="1:5" ht="15.75">
      <c r="A35" s="79" t="str">
        <f>inputPrYr!B20</f>
        <v>Mental Health</v>
      </c>
      <c r="B35" s="46">
        <v>607867</v>
      </c>
      <c r="C35" s="73"/>
      <c r="D35" s="73"/>
      <c r="E35" s="73"/>
    </row>
    <row r="36" spans="1:5" ht="15.75">
      <c r="A36" s="79" t="str">
        <f>inputPrYr!B21</f>
        <v>Developmental Disabilities</v>
      </c>
      <c r="B36" s="46">
        <v>560897</v>
      </c>
      <c r="C36" s="73"/>
      <c r="D36" s="73"/>
      <c r="E36" s="73"/>
    </row>
    <row r="37" spans="1:5" ht="15.75">
      <c r="A37" s="79" t="str">
        <f>inputPrYr!B22</f>
        <v>County Health</v>
      </c>
      <c r="B37" s="46">
        <v>3565810</v>
      </c>
      <c r="C37" s="73"/>
      <c r="D37" s="73"/>
      <c r="E37" s="73"/>
    </row>
    <row r="38" spans="1:5" ht="15.75">
      <c r="A38" s="79" t="str">
        <f>inputPrYr!B23</f>
        <v>County Initiative for Funding Infrastructure</v>
      </c>
      <c r="B38" s="46">
        <v>200000</v>
      </c>
      <c r="C38" s="73"/>
      <c r="D38" s="73"/>
      <c r="E38" s="73"/>
    </row>
    <row r="39" spans="1:5" ht="15.75">
      <c r="A39" s="79" t="str">
        <f>inputPrYr!B24</f>
        <v>Consolidated Parks General Fund</v>
      </c>
      <c r="B39" s="46">
        <v>6360270</v>
      </c>
      <c r="C39" s="73"/>
      <c r="D39" s="73"/>
      <c r="E39" s="73"/>
    </row>
    <row r="40" spans="1:5" ht="15.75">
      <c r="A40" s="79" t="str">
        <f>inputPrYr!B28</f>
        <v>Court Trustee</v>
      </c>
      <c r="B40" s="46">
        <v>395080</v>
      </c>
      <c r="C40" s="73"/>
      <c r="D40" s="73"/>
      <c r="E40" s="73"/>
    </row>
    <row r="41" spans="1:5" ht="15.75">
      <c r="A41" s="79" t="str">
        <f>inputPrYr!B29</f>
        <v>Jail Commissary</v>
      </c>
      <c r="B41" s="46">
        <v>60000</v>
      </c>
      <c r="C41" s="73"/>
      <c r="D41" s="73"/>
      <c r="E41" s="73"/>
    </row>
    <row r="42" spans="1:5" ht="15.75">
      <c r="A42" s="79" t="str">
        <f>inputPrYr!B30</f>
        <v>Register of Deeds Technology</v>
      </c>
      <c r="B42" s="46">
        <v>175000</v>
      </c>
      <c r="C42" s="73"/>
      <c r="D42" s="73"/>
      <c r="E42" s="73"/>
    </row>
    <row r="43" spans="1:2" ht="15.75">
      <c r="A43" s="79" t="s">
        <v>202</v>
      </c>
      <c r="B43" s="46">
        <v>1792375</v>
      </c>
    </row>
  </sheetData>
  <sheetProtection/>
  <mergeCells count="4">
    <mergeCell ref="A3:E3"/>
    <mergeCell ref="A27:B27"/>
    <mergeCell ref="B28:B30"/>
    <mergeCell ref="C28:E28"/>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H69"/>
  <sheetViews>
    <sheetView zoomScale="70" zoomScaleNormal="70" zoomScalePageLayoutView="0" workbookViewId="0" topLeftCell="A25">
      <selection activeCell="D70" sqref="D70"/>
    </sheetView>
  </sheetViews>
  <sheetFormatPr defaultColWidth="8.796875" defaultRowHeight="15"/>
  <cols>
    <col min="1" max="1" width="15.796875" style="293" customWidth="1"/>
    <col min="2" max="2" width="33" style="293" customWidth="1"/>
    <col min="3" max="3" width="8.796875" style="293" customWidth="1"/>
    <col min="4" max="5" width="13.296875" style="293" customWidth="1"/>
    <col min="6" max="6" width="13.69921875" style="293" customWidth="1"/>
    <col min="7" max="16384" width="8.8984375" style="293" customWidth="1"/>
  </cols>
  <sheetData>
    <row r="1" spans="1:6" ht="15.75">
      <c r="A1" s="855" t="s">
        <v>347</v>
      </c>
      <c r="B1" s="856"/>
      <c r="C1" s="856"/>
      <c r="D1" s="856"/>
      <c r="E1" s="856"/>
      <c r="F1" s="856"/>
    </row>
    <row r="2" spans="1:6" ht="15">
      <c r="A2" s="369" t="s">
        <v>348</v>
      </c>
      <c r="B2" s="325"/>
      <c r="C2" s="400" t="s">
        <v>855</v>
      </c>
      <c r="D2" s="401"/>
      <c r="E2" s="402"/>
      <c r="F2" s="403"/>
    </row>
    <row r="3" spans="1:6" ht="15">
      <c r="A3" s="369"/>
      <c r="B3" s="325"/>
      <c r="C3" s="325"/>
      <c r="D3" s="325"/>
      <c r="E3" s="404"/>
      <c r="F3" s="403"/>
    </row>
    <row r="4" spans="1:6" ht="15.75">
      <c r="A4" s="369" t="s">
        <v>349</v>
      </c>
      <c r="B4" s="325"/>
      <c r="C4" s="405">
        <v>2012</v>
      </c>
      <c r="D4" s="406"/>
      <c r="E4" s="404"/>
      <c r="F4" s="403"/>
    </row>
    <row r="5" spans="1:6" ht="15">
      <c r="A5" s="325"/>
      <c r="B5" s="325"/>
      <c r="C5" s="325"/>
      <c r="D5" s="325"/>
      <c r="E5" s="325"/>
      <c r="F5" s="325"/>
    </row>
    <row r="6" spans="1:6" ht="18.75" customHeight="1">
      <c r="A6" s="407" t="s">
        <v>693</v>
      </c>
      <c r="B6" s="408"/>
      <c r="C6" s="408"/>
      <c r="D6" s="408"/>
      <c r="E6" s="408"/>
      <c r="F6" s="408"/>
    </row>
    <row r="7" spans="1:6" ht="15.75">
      <c r="A7" s="407" t="s">
        <v>692</v>
      </c>
      <c r="B7" s="408"/>
      <c r="C7" s="408"/>
      <c r="D7" s="408"/>
      <c r="E7" s="408"/>
      <c r="F7" s="408"/>
    </row>
    <row r="8" spans="1:6" ht="15.75">
      <c r="A8" s="407"/>
      <c r="B8" s="408"/>
      <c r="C8" s="408"/>
      <c r="D8" s="408"/>
      <c r="E8" s="408"/>
      <c r="F8" s="408"/>
    </row>
    <row r="9" spans="1:6" ht="15.75">
      <c r="A9" s="853" t="s">
        <v>49</v>
      </c>
      <c r="B9" s="854"/>
      <c r="C9" s="854"/>
      <c r="D9" s="854"/>
      <c r="E9" s="854"/>
      <c r="F9" s="854"/>
    </row>
    <row r="10" spans="1:6" ht="15">
      <c r="A10" s="325"/>
      <c r="B10" s="325"/>
      <c r="C10" s="325"/>
      <c r="D10" s="325"/>
      <c r="E10" s="325"/>
      <c r="F10" s="325"/>
    </row>
    <row r="11" spans="1:6" ht="15.75">
      <c r="A11" s="409" t="str">
        <f>CONCATENATE("The input for the following comes directly from the ",C4-1," Budget:")</f>
        <v>The input for the following comes directly from the 2011 Budget:</v>
      </c>
      <c r="B11" s="410"/>
      <c r="C11" s="410"/>
      <c r="D11" s="410"/>
      <c r="E11" s="325"/>
      <c r="F11" s="325"/>
    </row>
    <row r="12" spans="1:6" ht="15.75">
      <c r="A12" s="411" t="s">
        <v>350</v>
      </c>
      <c r="B12" s="410"/>
      <c r="C12" s="410"/>
      <c r="D12" s="410"/>
      <c r="E12" s="325"/>
      <c r="F12" s="325"/>
    </row>
    <row r="13" spans="1:6" ht="15.75">
      <c r="A13" s="411" t="s">
        <v>939</v>
      </c>
      <c r="B13" s="410"/>
      <c r="C13" s="410"/>
      <c r="D13" s="410"/>
      <c r="E13" s="325"/>
      <c r="F13" s="325"/>
    </row>
    <row r="14" spans="1:6" ht="15">
      <c r="A14" s="325"/>
      <c r="B14" s="325"/>
      <c r="C14" s="366"/>
      <c r="D14" s="412">
        <f>C4-1</f>
        <v>2011</v>
      </c>
      <c r="E14" s="413" t="str">
        <f>CONCATENATE("",C4-2,"")</f>
        <v>2010</v>
      </c>
      <c r="F14" s="414">
        <f>C4-2</f>
        <v>2010</v>
      </c>
    </row>
    <row r="15" spans="1:6" ht="15">
      <c r="A15" s="369" t="s">
        <v>351</v>
      </c>
      <c r="B15" s="325"/>
      <c r="C15" s="415" t="s">
        <v>122</v>
      </c>
      <c r="D15" s="416" t="s">
        <v>940</v>
      </c>
      <c r="E15" s="416" t="s">
        <v>91</v>
      </c>
      <c r="F15" s="416" t="s">
        <v>66</v>
      </c>
    </row>
    <row r="16" spans="1:6" ht="15">
      <c r="A16" s="325"/>
      <c r="B16" s="286" t="s">
        <v>123</v>
      </c>
      <c r="C16" s="287" t="s">
        <v>307</v>
      </c>
      <c r="D16" s="417">
        <v>47922001</v>
      </c>
      <c r="E16" s="418">
        <v>30612738</v>
      </c>
      <c r="F16" s="419">
        <v>27.857</v>
      </c>
    </row>
    <row r="17" spans="1:6" ht="15">
      <c r="A17" s="325"/>
      <c r="B17" s="399" t="s">
        <v>856</v>
      </c>
      <c r="C17" s="287" t="s">
        <v>352</v>
      </c>
      <c r="D17" s="417">
        <v>1161820</v>
      </c>
      <c r="E17" s="418">
        <v>897760</v>
      </c>
      <c r="F17" s="419">
        <v>0.817</v>
      </c>
    </row>
    <row r="18" spans="1:6" ht="15">
      <c r="A18" s="369"/>
      <c r="B18" s="289" t="s">
        <v>857</v>
      </c>
      <c r="C18" s="290" t="s">
        <v>858</v>
      </c>
      <c r="D18" s="417">
        <v>1197500</v>
      </c>
      <c r="E18" s="417">
        <v>941043</v>
      </c>
      <c r="F18" s="420">
        <v>0.856</v>
      </c>
    </row>
    <row r="19" spans="1:6" ht="15">
      <c r="A19" s="325"/>
      <c r="B19" s="289" t="s">
        <v>860</v>
      </c>
      <c r="C19" s="290" t="s">
        <v>861</v>
      </c>
      <c r="D19" s="417">
        <v>1168147</v>
      </c>
      <c r="E19" s="374">
        <v>996980</v>
      </c>
      <c r="F19" s="419">
        <v>0.907</v>
      </c>
    </row>
    <row r="20" spans="1:6" ht="15">
      <c r="A20" s="325"/>
      <c r="B20" s="289" t="s">
        <v>145</v>
      </c>
      <c r="C20" s="290" t="s">
        <v>862</v>
      </c>
      <c r="D20" s="417">
        <v>474867</v>
      </c>
      <c r="E20" s="374">
        <v>365230</v>
      </c>
      <c r="F20" s="419">
        <v>0.332</v>
      </c>
    </row>
    <row r="21" spans="1:6" ht="15">
      <c r="A21" s="325"/>
      <c r="B21" s="289" t="s">
        <v>863</v>
      </c>
      <c r="C21" s="290" t="s">
        <v>862</v>
      </c>
      <c r="D21" s="417">
        <v>567993</v>
      </c>
      <c r="E21" s="374">
        <v>345488</v>
      </c>
      <c r="F21" s="419">
        <v>0.314</v>
      </c>
    </row>
    <row r="22" spans="1:6" ht="15">
      <c r="A22" s="325"/>
      <c r="B22" s="289" t="s">
        <v>864</v>
      </c>
      <c r="C22" s="290" t="s">
        <v>865</v>
      </c>
      <c r="D22" s="417">
        <v>3624421</v>
      </c>
      <c r="E22" s="374">
        <v>1680279</v>
      </c>
      <c r="F22" s="419">
        <v>1.529</v>
      </c>
    </row>
    <row r="23" spans="1:6" ht="15">
      <c r="A23" s="325"/>
      <c r="B23" s="289" t="s">
        <v>866</v>
      </c>
      <c r="C23" s="290" t="s">
        <v>867</v>
      </c>
      <c r="D23" s="417">
        <v>12262</v>
      </c>
      <c r="E23" s="374">
        <v>0</v>
      </c>
      <c r="F23" s="419">
        <v>0</v>
      </c>
    </row>
    <row r="24" spans="1:6" ht="15">
      <c r="A24" s="325"/>
      <c r="B24" s="289" t="s">
        <v>868</v>
      </c>
      <c r="C24" s="290" t="s">
        <v>859</v>
      </c>
      <c r="D24" s="417">
        <v>6132309</v>
      </c>
      <c r="E24" s="374">
        <v>1608874</v>
      </c>
      <c r="F24" s="419">
        <v>1.464</v>
      </c>
    </row>
    <row r="25" spans="1:8" ht="15">
      <c r="A25" s="325"/>
      <c r="B25" s="421"/>
      <c r="C25" s="422"/>
      <c r="D25" s="417"/>
      <c r="E25" s="374"/>
      <c r="F25" s="419"/>
      <c r="H25" s="423"/>
    </row>
    <row r="26" spans="1:6" ht="15">
      <c r="A26" s="424" t="str">
        <f>CONCATENATE("Total Tax Levy Funds Levy Amounts and Levy Rates for ",C4-1," Budget")</f>
        <v>Total Tax Levy Funds Levy Amounts and Levy Rates for 2011 Budget</v>
      </c>
      <c r="B26" s="353"/>
      <c r="C26" s="353"/>
      <c r="D26" s="425"/>
      <c r="E26" s="426">
        <f>SUM(E16:E25)</f>
        <v>37448392</v>
      </c>
      <c r="F26" s="427">
        <f>SUM(F16:F25)</f>
        <v>34.076</v>
      </c>
    </row>
    <row r="27" spans="1:6" ht="15">
      <c r="A27" s="369" t="s">
        <v>21</v>
      </c>
      <c r="B27" s="325"/>
      <c r="C27" s="325"/>
      <c r="D27" s="325"/>
      <c r="E27" s="325"/>
      <c r="F27" s="325"/>
    </row>
    <row r="28" spans="1:6" ht="15">
      <c r="A28" s="325"/>
      <c r="B28" s="291" t="s">
        <v>869</v>
      </c>
      <c r="C28" s="325"/>
      <c r="D28" s="417">
        <v>431202</v>
      </c>
      <c r="E28" s="325"/>
      <c r="F28" s="325"/>
    </row>
    <row r="29" spans="1:6" ht="15">
      <c r="A29" s="325"/>
      <c r="B29" s="291" t="s">
        <v>870</v>
      </c>
      <c r="C29" s="325"/>
      <c r="D29" s="417">
        <v>60000</v>
      </c>
      <c r="E29" s="325"/>
      <c r="F29" s="325"/>
    </row>
    <row r="30" spans="1:6" ht="15">
      <c r="A30" s="325"/>
      <c r="B30" s="291" t="s">
        <v>871</v>
      </c>
      <c r="C30" s="325"/>
      <c r="D30" s="417">
        <v>185000</v>
      </c>
      <c r="E30" s="325"/>
      <c r="F30" s="325"/>
    </row>
    <row r="31" spans="1:6" ht="15">
      <c r="A31" s="424" t="str">
        <f>CONCATENATE("Total Expenditures for ",C4-1," Budgeted Year")</f>
        <v>Total Expenditures for 2011 Budgeted Year</v>
      </c>
      <c r="B31" s="428"/>
      <c r="C31" s="429"/>
      <c r="D31" s="377">
        <f>SUM(D16:D25,D28:D30)</f>
        <v>62937522</v>
      </c>
      <c r="E31" s="325"/>
      <c r="F31" s="325"/>
    </row>
    <row r="32" spans="1:6" ht="15">
      <c r="A32" s="430"/>
      <c r="B32" s="431"/>
      <c r="C32" s="325"/>
      <c r="D32" s="432"/>
      <c r="E32" s="325"/>
      <c r="F32" s="325"/>
    </row>
    <row r="33" spans="1:6" ht="15">
      <c r="A33" s="325" t="s">
        <v>11</v>
      </c>
      <c r="B33" s="431"/>
      <c r="C33" s="325"/>
      <c r="D33" s="325"/>
      <c r="E33" s="325"/>
      <c r="F33" s="325"/>
    </row>
    <row r="34" spans="1:6" ht="15">
      <c r="A34" s="325">
        <v>1</v>
      </c>
      <c r="B34" s="291" t="s">
        <v>872</v>
      </c>
      <c r="C34" s="325"/>
      <c r="D34" s="325"/>
      <c r="E34" s="325"/>
      <c r="F34" s="325"/>
    </row>
    <row r="35" spans="1:6" ht="15">
      <c r="A35" s="325">
        <v>2</v>
      </c>
      <c r="B35" s="291" t="s">
        <v>873</v>
      </c>
      <c r="C35" s="325"/>
      <c r="D35" s="325"/>
      <c r="E35" s="325"/>
      <c r="F35" s="325"/>
    </row>
    <row r="36" spans="1:6" ht="15">
      <c r="A36" s="325">
        <v>3</v>
      </c>
      <c r="B36" s="291" t="s">
        <v>874</v>
      </c>
      <c r="C36" s="325"/>
      <c r="D36" s="325"/>
      <c r="E36" s="325"/>
      <c r="F36" s="325"/>
    </row>
    <row r="37" spans="1:6" ht="15">
      <c r="A37" s="325">
        <v>4</v>
      </c>
      <c r="B37" s="291" t="s">
        <v>875</v>
      </c>
      <c r="C37" s="325"/>
      <c r="D37" s="325"/>
      <c r="E37" s="325"/>
      <c r="F37" s="325"/>
    </row>
    <row r="38" spans="1:6" ht="15">
      <c r="A38" s="325">
        <v>5</v>
      </c>
      <c r="B38" s="291" t="s">
        <v>876</v>
      </c>
      <c r="C38" s="325"/>
      <c r="D38" s="325"/>
      <c r="E38" s="325"/>
      <c r="F38" s="325"/>
    </row>
    <row r="39" spans="1:6" ht="15">
      <c r="A39" s="325" t="s">
        <v>20</v>
      </c>
      <c r="B39" s="431"/>
      <c r="C39" s="325"/>
      <c r="D39" s="325"/>
      <c r="E39" s="325"/>
      <c r="F39" s="325"/>
    </row>
    <row r="40" spans="1:6" ht="15">
      <c r="A40" s="325">
        <v>1</v>
      </c>
      <c r="B40" s="291" t="s">
        <v>877</v>
      </c>
      <c r="C40" s="325"/>
      <c r="D40" s="325"/>
      <c r="E40" s="325"/>
      <c r="F40" s="325"/>
    </row>
    <row r="41" spans="1:6" ht="15">
      <c r="A41" s="325">
        <v>2</v>
      </c>
      <c r="B41" s="419"/>
      <c r="C41" s="325"/>
      <c r="D41" s="325"/>
      <c r="E41" s="325"/>
      <c r="F41" s="325"/>
    </row>
    <row r="42" spans="1:6" ht="15">
      <c r="A42" s="325">
        <v>3</v>
      </c>
      <c r="B42" s="419"/>
      <c r="C42" s="325"/>
      <c r="D42" s="325"/>
      <c r="E42" s="325"/>
      <c r="F42" s="325"/>
    </row>
    <row r="43" spans="1:6" ht="15">
      <c r="A43" s="325">
        <v>4</v>
      </c>
      <c r="B43" s="419"/>
      <c r="C43" s="325"/>
      <c r="D43" s="325"/>
      <c r="E43" s="325"/>
      <c r="F43" s="325"/>
    </row>
    <row r="44" spans="1:6" ht="15">
      <c r="A44" s="325">
        <v>5</v>
      </c>
      <c r="B44" s="419"/>
      <c r="C44" s="325"/>
      <c r="D44" s="325"/>
      <c r="E44" s="325"/>
      <c r="F44" s="325"/>
    </row>
    <row r="45" spans="1:6" ht="15">
      <c r="A45" s="424" t="str">
        <f>CONCATENATE("County's Final Assessed Valuation for ",C4-1," (November 1,",C4-2," Abstract):")</f>
        <v>County's Final Assessed Valuation for 2011 (November 1,2010 Abstract):</v>
      </c>
      <c r="B45" s="353"/>
      <c r="C45" s="353"/>
      <c r="D45" s="353"/>
      <c r="E45" s="429"/>
      <c r="F45" s="374">
        <v>1098921073</v>
      </c>
    </row>
    <row r="46" spans="1:6" ht="15">
      <c r="A46" s="369"/>
      <c r="B46" s="325"/>
      <c r="C46" s="325"/>
      <c r="D46" s="325"/>
      <c r="E46" s="325"/>
      <c r="F46" s="325"/>
    </row>
    <row r="47" spans="1:6" ht="15">
      <c r="A47" s="325"/>
      <c r="B47" s="325"/>
      <c r="C47" s="325"/>
      <c r="D47" s="325"/>
      <c r="E47" s="325"/>
      <c r="F47" s="325"/>
    </row>
    <row r="48" spans="1:6" ht="15.75">
      <c r="A48" s="433" t="str">
        <f>CONCATENATE("From the ",C4-1," Budget:")</f>
        <v>From the 2011 Budget:</v>
      </c>
      <c r="B48" s="410"/>
      <c r="C48" s="325"/>
      <c r="D48" s="851" t="str">
        <f>CONCATENATE("",C4-3," Tax Rate (",C4-2," Column)")</f>
        <v>2009 Tax Rate (2010 Column)</v>
      </c>
      <c r="E48" s="434"/>
      <c r="F48" s="325"/>
    </row>
    <row r="49" spans="1:6" ht="15.75">
      <c r="A49" s="433" t="s">
        <v>114</v>
      </c>
      <c r="B49" s="435"/>
      <c r="C49" s="325"/>
      <c r="D49" s="852"/>
      <c r="E49" s="434"/>
      <c r="F49" s="325"/>
    </row>
    <row r="50" spans="1:6" ht="15">
      <c r="A50" s="325"/>
      <c r="B50" s="292" t="str">
        <f aca="true" t="shared" si="0" ref="B50:B58">B16</f>
        <v>General</v>
      </c>
      <c r="C50" s="325"/>
      <c r="D50" s="419">
        <v>24.557</v>
      </c>
      <c r="E50" s="434"/>
      <c r="F50" s="325"/>
    </row>
    <row r="51" spans="1:6" ht="15">
      <c r="A51" s="325"/>
      <c r="B51" s="292" t="str">
        <f t="shared" si="0"/>
        <v>Bond and Interest</v>
      </c>
      <c r="C51" s="325"/>
      <c r="D51" s="419">
        <v>1.014</v>
      </c>
      <c r="E51" s="434"/>
      <c r="F51" s="325"/>
    </row>
    <row r="52" spans="1:6" ht="15">
      <c r="A52" s="325"/>
      <c r="B52" s="292" t="str">
        <f t="shared" si="0"/>
        <v>County Elections</v>
      </c>
      <c r="C52" s="325"/>
      <c r="D52" s="419">
        <v>0.858</v>
      </c>
      <c r="E52" s="434"/>
      <c r="F52" s="325"/>
    </row>
    <row r="53" spans="1:6" ht="15">
      <c r="A53" s="325"/>
      <c r="B53" s="292" t="str">
        <f t="shared" si="0"/>
        <v>Aging</v>
      </c>
      <c r="C53" s="325"/>
      <c r="D53" s="419">
        <v>0.811</v>
      </c>
      <c r="E53" s="434"/>
      <c r="F53" s="325"/>
    </row>
    <row r="54" spans="1:6" ht="15">
      <c r="A54" s="325"/>
      <c r="B54" s="292" t="str">
        <f t="shared" si="0"/>
        <v>Mental Health</v>
      </c>
      <c r="C54" s="325"/>
      <c r="D54" s="419">
        <v>0.416</v>
      </c>
      <c r="E54" s="434"/>
      <c r="F54" s="325"/>
    </row>
    <row r="55" spans="1:6" ht="15">
      <c r="A55" s="325"/>
      <c r="B55" s="292" t="str">
        <f t="shared" si="0"/>
        <v>Developmental Disabilities</v>
      </c>
      <c r="C55" s="325"/>
      <c r="D55" s="419">
        <v>0.485</v>
      </c>
      <c r="E55" s="434"/>
      <c r="F55" s="325"/>
    </row>
    <row r="56" spans="1:6" ht="15">
      <c r="A56" s="325"/>
      <c r="B56" s="292" t="str">
        <f t="shared" si="0"/>
        <v>County Health</v>
      </c>
      <c r="C56" s="325"/>
      <c r="D56" s="419">
        <v>1.532</v>
      </c>
      <c r="E56" s="434"/>
      <c r="F56" s="325"/>
    </row>
    <row r="57" spans="1:6" ht="15">
      <c r="A57" s="325"/>
      <c r="B57" s="292" t="str">
        <f t="shared" si="0"/>
        <v>County Initiative for Funding Infrastructure</v>
      </c>
      <c r="C57" s="325"/>
      <c r="D57" s="419">
        <v>0</v>
      </c>
      <c r="E57" s="434"/>
      <c r="F57" s="325"/>
    </row>
    <row r="58" spans="1:6" ht="15">
      <c r="A58" s="325"/>
      <c r="B58" s="292" t="str">
        <f t="shared" si="0"/>
        <v>Consolidated Parks General Fund</v>
      </c>
      <c r="C58" s="325"/>
      <c r="D58" s="419">
        <v>1.216</v>
      </c>
      <c r="E58" s="434"/>
      <c r="F58" s="325"/>
    </row>
    <row r="59" spans="1:6" ht="15">
      <c r="A59" s="353" t="s">
        <v>124</v>
      </c>
      <c r="B59" s="353"/>
      <c r="C59" s="429"/>
      <c r="D59" s="427">
        <f>SUM(D50:D58)</f>
        <v>30.889</v>
      </c>
      <c r="E59" s="434"/>
      <c r="F59" s="325"/>
    </row>
    <row r="60" spans="1:6" ht="15">
      <c r="A60" s="325"/>
      <c r="B60" s="325"/>
      <c r="C60" s="325"/>
      <c r="D60" s="325"/>
      <c r="E60" s="325"/>
      <c r="F60" s="325"/>
    </row>
    <row r="61" spans="1:6" ht="15">
      <c r="A61" s="436" t="str">
        <f>CONCATENATE("Total Tax Levied (",C4-2," budget column)")</f>
        <v>Total Tax Levied (2010 budget column)</v>
      </c>
      <c r="B61" s="437"/>
      <c r="C61" s="353"/>
      <c r="D61" s="353"/>
      <c r="E61" s="429"/>
      <c r="F61" s="374">
        <v>35334629</v>
      </c>
    </row>
    <row r="62" spans="1:6" ht="15">
      <c r="A62" s="438" t="str">
        <f>CONCATENATE("Assessed Valuation  (",C4-2," budget column)")</f>
        <v>Assessed Valuation  (2010 budget column)</v>
      </c>
      <c r="B62" s="439"/>
      <c r="C62" s="440"/>
      <c r="D62" s="440"/>
      <c r="E62" s="425"/>
      <c r="F62" s="374">
        <v>1254330279</v>
      </c>
    </row>
    <row r="63" spans="1:6" ht="15">
      <c r="A63" s="430"/>
      <c r="B63" s="403"/>
      <c r="C63" s="403"/>
      <c r="D63" s="403"/>
      <c r="E63" s="403"/>
      <c r="F63" s="441"/>
    </row>
    <row r="64" spans="1:6" ht="15.75">
      <c r="A64" s="442" t="str">
        <f>CONCATENATE("From the ",C4-1," Budget, Budget Summary Page:")</f>
        <v>From the 2011 Budget, Budget Summary Page:</v>
      </c>
      <c r="B64" s="443"/>
      <c r="C64" s="434"/>
      <c r="D64" s="434"/>
      <c r="E64" s="434"/>
      <c r="F64" s="434"/>
    </row>
    <row r="65" spans="1:6" ht="15">
      <c r="A65" s="444" t="s">
        <v>0</v>
      </c>
      <c r="B65" s="444"/>
      <c r="C65" s="445"/>
      <c r="D65" s="446">
        <f>C4-3</f>
        <v>2009</v>
      </c>
      <c r="E65" s="447">
        <f>C4-2</f>
        <v>2010</v>
      </c>
      <c r="F65" s="434"/>
    </row>
    <row r="66" spans="1:6" ht="15">
      <c r="A66" s="448" t="s">
        <v>1</v>
      </c>
      <c r="B66" s="448"/>
      <c r="C66" s="449"/>
      <c r="D66" s="417">
        <v>0</v>
      </c>
      <c r="E66" s="417">
        <v>0</v>
      </c>
      <c r="F66" s="434"/>
    </row>
    <row r="67" spans="1:6" s="368" customFormat="1" ht="15">
      <c r="A67" s="450" t="s">
        <v>2</v>
      </c>
      <c r="B67" s="450"/>
      <c r="C67" s="449"/>
      <c r="D67" s="417">
        <v>0</v>
      </c>
      <c r="E67" s="417">
        <v>0</v>
      </c>
      <c r="F67" s="445"/>
    </row>
    <row r="68" spans="1:6" s="368" customFormat="1" ht="15">
      <c r="A68" s="450" t="s">
        <v>3</v>
      </c>
      <c r="B68" s="450"/>
      <c r="C68" s="449"/>
      <c r="D68" s="417">
        <v>0</v>
      </c>
      <c r="E68" s="417">
        <v>0</v>
      </c>
      <c r="F68" s="445"/>
    </row>
    <row r="69" spans="1:6" s="368" customFormat="1" ht="15">
      <c r="A69" s="450" t="s">
        <v>4</v>
      </c>
      <c r="B69" s="450"/>
      <c r="C69" s="449"/>
      <c r="D69" s="417">
        <v>4659330</v>
      </c>
      <c r="E69" s="417">
        <v>3850792</v>
      </c>
      <c r="F69" s="445"/>
    </row>
    <row r="70" s="368" customFormat="1" ht="15"/>
  </sheetData>
  <sheetProtection/>
  <mergeCells count="3">
    <mergeCell ref="D48:D49"/>
    <mergeCell ref="A9:F9"/>
    <mergeCell ref="A1:F1"/>
  </mergeCells>
  <printOptions/>
  <pageMargins left="0.5" right="0.5" top="1" bottom="0.5" header="0.5" footer="0.25"/>
  <pageSetup blackAndWhite="1" fitToHeight="3" fitToWidth="1" horizontalDpi="120" verticalDpi="120" orientation="portrait" scale="76" r:id="rId1"/>
</worksheet>
</file>

<file path=xl/worksheets/sheet24.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D39" sqref="D39"/>
    </sheetView>
  </sheetViews>
  <sheetFormatPr defaultColWidth="8.796875" defaultRowHeight="15"/>
  <cols>
    <col min="1" max="1" width="20.796875" style="27" customWidth="1"/>
    <col min="2" max="2" width="9.796875" style="27" customWidth="1"/>
    <col min="3" max="3" width="5.796875" style="27" customWidth="1"/>
    <col min="4" max="7" width="12.796875" style="27" customWidth="1"/>
    <col min="8" max="16384" width="8.8984375" style="27" customWidth="1"/>
  </cols>
  <sheetData>
    <row r="1" spans="1:7" ht="15.75">
      <c r="A1" s="57"/>
      <c r="B1" s="57"/>
      <c r="C1" s="57"/>
      <c r="D1" s="57"/>
      <c r="E1" s="57"/>
      <c r="F1" s="57"/>
      <c r="G1" s="57"/>
    </row>
    <row r="2" spans="1:7" ht="15.75">
      <c r="A2" s="57"/>
      <c r="B2" s="57"/>
      <c r="C2" s="57"/>
      <c r="D2" s="57"/>
      <c r="E2" s="57"/>
      <c r="F2" s="57"/>
      <c r="G2" s="57"/>
    </row>
    <row r="3" spans="1:7" ht="15.75">
      <c r="A3" s="63" t="str">
        <f>inputPrYr!C2</f>
        <v>Wyandotte County</v>
      </c>
      <c r="B3" s="57"/>
      <c r="C3" s="57"/>
      <c r="D3" s="57"/>
      <c r="E3" s="57"/>
      <c r="F3" s="57"/>
      <c r="G3" s="57">
        <f>inputPrYr!C4</f>
        <v>2012</v>
      </c>
    </row>
    <row r="4" spans="1:7" ht="15.75">
      <c r="A4" s="858" t="s">
        <v>9</v>
      </c>
      <c r="B4" s="859"/>
      <c r="C4" s="859"/>
      <c r="D4" s="859"/>
      <c r="E4" s="859"/>
      <c r="F4" s="859"/>
      <c r="G4" s="859"/>
    </row>
    <row r="5" spans="1:7" ht="15.75">
      <c r="A5" s="83"/>
      <c r="B5" s="42"/>
      <c r="C5" s="42"/>
      <c r="D5" s="83"/>
      <c r="E5" s="83"/>
      <c r="F5" s="83"/>
      <c r="G5" s="83"/>
    </row>
    <row r="6" spans="1:7" ht="15.75">
      <c r="A6" s="40"/>
      <c r="B6" s="40"/>
      <c r="C6" s="40"/>
      <c r="D6" s="84" t="str">
        <f>CONCATENATE("",G3," Proposed Budget")</f>
        <v>2012 Proposed Budget</v>
      </c>
      <c r="E6" s="85"/>
      <c r="F6" s="85"/>
      <c r="G6" s="86"/>
    </row>
    <row r="7" spans="1:7" ht="21" customHeight="1">
      <c r="A7" s="40"/>
      <c r="B7" s="40"/>
      <c r="C7" s="87" t="s">
        <v>129</v>
      </c>
      <c r="D7" s="194" t="s">
        <v>696</v>
      </c>
      <c r="E7" s="857" t="str">
        <f>CONCATENATE("Amount of ",G3-1,"      Ad Valorem Tax")</f>
        <v>Amount of 2011      Ad Valorem Tax</v>
      </c>
      <c r="F7" s="857" t="s">
        <v>341</v>
      </c>
      <c r="G7" s="87" t="s">
        <v>130</v>
      </c>
    </row>
    <row r="8" spans="1:7" ht="15.75">
      <c r="A8" s="88" t="s">
        <v>8</v>
      </c>
      <c r="B8" s="52"/>
      <c r="C8" s="89" t="s">
        <v>132</v>
      </c>
      <c r="D8" s="195" t="s">
        <v>697</v>
      </c>
      <c r="E8" s="848"/>
      <c r="F8" s="848"/>
      <c r="G8" s="89" t="s">
        <v>134</v>
      </c>
    </row>
    <row r="9" spans="1:7" ht="15.75">
      <c r="A9" s="90" t="s">
        <v>7</v>
      </c>
      <c r="B9" s="91" t="s">
        <v>138</v>
      </c>
      <c r="C9" s="47"/>
      <c r="D9" s="47"/>
      <c r="E9" s="47"/>
      <c r="F9" s="47"/>
      <c r="G9" s="47"/>
    </row>
    <row r="10" spans="1:7" ht="15.75">
      <c r="A10" s="92"/>
      <c r="B10" s="66"/>
      <c r="C10" s="66"/>
      <c r="D10" s="66"/>
      <c r="E10" s="66"/>
      <c r="F10" s="66"/>
      <c r="G10" s="82" t="str">
        <f>IF(AND(D10=0,F10&gt;=0)," ",IF(AND(E10&gt;0,F10=0)," ",IF(AND(E10&gt;0,F10&gt;0),ROUND(E10/F10*1000,3))))</f>
        <v> </v>
      </c>
    </row>
    <row r="11" spans="1:7" ht="15.75">
      <c r="A11" s="66"/>
      <c r="B11" s="66"/>
      <c r="C11" s="66"/>
      <c r="D11" s="66"/>
      <c r="E11" s="66"/>
      <c r="F11" s="66"/>
      <c r="G11" s="82" t="str">
        <f aca="true" t="shared" si="0" ref="G11:G38">IF(AND(D11=0,F11&gt;=0)," ",IF(AND(E11&gt;0,F11=0)," ",IF(AND(E11&gt;0,F11&gt;0),ROUND(E11/F11*1000,3))))</f>
        <v> </v>
      </c>
    </row>
    <row r="12" spans="1:7" ht="15.75">
      <c r="A12" s="66"/>
      <c r="B12" s="66"/>
      <c r="C12" s="66"/>
      <c r="D12" s="66"/>
      <c r="E12" s="66"/>
      <c r="F12" s="66"/>
      <c r="G12" s="82" t="str">
        <f t="shared" si="0"/>
        <v> </v>
      </c>
    </row>
    <row r="13" spans="1:7" ht="15.75">
      <c r="A13" s="66"/>
      <c r="B13" s="66"/>
      <c r="C13" s="66"/>
      <c r="D13" s="66"/>
      <c r="E13" s="66"/>
      <c r="F13" s="66"/>
      <c r="G13" s="82" t="str">
        <f t="shared" si="0"/>
        <v> </v>
      </c>
    </row>
    <row r="14" spans="1:7" ht="15.75">
      <c r="A14" s="66"/>
      <c r="B14" s="66"/>
      <c r="C14" s="66"/>
      <c r="D14" s="66"/>
      <c r="E14" s="66"/>
      <c r="F14" s="66"/>
      <c r="G14" s="82" t="str">
        <f t="shared" si="0"/>
        <v> </v>
      </c>
    </row>
    <row r="15" spans="1:7" ht="15.75">
      <c r="A15" s="66"/>
      <c r="B15" s="66"/>
      <c r="C15" s="66"/>
      <c r="D15" s="66"/>
      <c r="E15" s="66"/>
      <c r="F15" s="66"/>
      <c r="G15" s="82" t="str">
        <f t="shared" si="0"/>
        <v> </v>
      </c>
    </row>
    <row r="16" spans="1:7" ht="15.75">
      <c r="A16" s="66"/>
      <c r="B16" s="66"/>
      <c r="C16" s="66"/>
      <c r="D16" s="66"/>
      <c r="E16" s="66"/>
      <c r="F16" s="66"/>
      <c r="G16" s="82" t="str">
        <f t="shared" si="0"/>
        <v> </v>
      </c>
    </row>
    <row r="17" spans="1:7" ht="15.75">
      <c r="A17" s="66"/>
      <c r="B17" s="66"/>
      <c r="C17" s="66"/>
      <c r="D17" s="66"/>
      <c r="E17" s="66"/>
      <c r="F17" s="66"/>
      <c r="G17" s="82" t="str">
        <f t="shared" si="0"/>
        <v> </v>
      </c>
    </row>
    <row r="18" spans="1:7" ht="15.75">
      <c r="A18" s="66"/>
      <c r="B18" s="66"/>
      <c r="C18" s="66"/>
      <c r="D18" s="66"/>
      <c r="E18" s="66"/>
      <c r="F18" s="66"/>
      <c r="G18" s="82" t="str">
        <f t="shared" si="0"/>
        <v> </v>
      </c>
    </row>
    <row r="19" spans="1:7" ht="15.75">
      <c r="A19" s="66"/>
      <c r="B19" s="66"/>
      <c r="C19" s="66"/>
      <c r="D19" s="66"/>
      <c r="E19" s="66"/>
      <c r="F19" s="66"/>
      <c r="G19" s="82" t="str">
        <f t="shared" si="0"/>
        <v> </v>
      </c>
    </row>
    <row r="20" spans="1:7" ht="15.75">
      <c r="A20" s="66"/>
      <c r="B20" s="66"/>
      <c r="C20" s="66"/>
      <c r="D20" s="66"/>
      <c r="E20" s="66"/>
      <c r="F20" s="66"/>
      <c r="G20" s="82" t="str">
        <f t="shared" si="0"/>
        <v> </v>
      </c>
    </row>
    <row r="21" spans="1:7" ht="15.75">
      <c r="A21" s="66"/>
      <c r="B21" s="66"/>
      <c r="C21" s="66"/>
      <c r="D21" s="66"/>
      <c r="E21" s="66"/>
      <c r="F21" s="66"/>
      <c r="G21" s="82" t="str">
        <f t="shared" si="0"/>
        <v> </v>
      </c>
    </row>
    <row r="22" spans="1:7" ht="15.75">
      <c r="A22" s="66"/>
      <c r="B22" s="66"/>
      <c r="C22" s="66"/>
      <c r="D22" s="66"/>
      <c r="E22" s="66"/>
      <c r="F22" s="66"/>
      <c r="G22" s="82" t="str">
        <f t="shared" si="0"/>
        <v> </v>
      </c>
    </row>
    <row r="23" spans="1:7" ht="15.75">
      <c r="A23" s="66"/>
      <c r="B23" s="66"/>
      <c r="C23" s="66"/>
      <c r="D23" s="66"/>
      <c r="E23" s="66"/>
      <c r="F23" s="66"/>
      <c r="G23" s="82" t="str">
        <f t="shared" si="0"/>
        <v> </v>
      </c>
    </row>
    <row r="24" spans="1:7" ht="15.75">
      <c r="A24" s="66"/>
      <c r="B24" s="66"/>
      <c r="C24" s="66"/>
      <c r="D24" s="66"/>
      <c r="E24" s="66"/>
      <c r="F24" s="66"/>
      <c r="G24" s="82" t="str">
        <f t="shared" si="0"/>
        <v> </v>
      </c>
    </row>
    <row r="25" spans="1:7" ht="15.75">
      <c r="A25" s="66"/>
      <c r="B25" s="66"/>
      <c r="C25" s="66"/>
      <c r="D25" s="66"/>
      <c r="E25" s="66"/>
      <c r="F25" s="66"/>
      <c r="G25" s="82" t="str">
        <f t="shared" si="0"/>
        <v> </v>
      </c>
    </row>
    <row r="26" spans="1:7" ht="15.75">
      <c r="A26" s="66"/>
      <c r="B26" s="66"/>
      <c r="C26" s="66"/>
      <c r="D26" s="66"/>
      <c r="E26" s="66"/>
      <c r="F26" s="66"/>
      <c r="G26" s="82" t="str">
        <f t="shared" si="0"/>
        <v> </v>
      </c>
    </row>
    <row r="27" spans="1:7" ht="15.75">
      <c r="A27" s="66"/>
      <c r="B27" s="66"/>
      <c r="C27" s="66"/>
      <c r="D27" s="66"/>
      <c r="E27" s="66"/>
      <c r="F27" s="66"/>
      <c r="G27" s="82" t="str">
        <f t="shared" si="0"/>
        <v> </v>
      </c>
    </row>
    <row r="28" spans="1:7" ht="15.75">
      <c r="A28" s="66"/>
      <c r="B28" s="66"/>
      <c r="C28" s="66"/>
      <c r="D28" s="66"/>
      <c r="E28" s="66"/>
      <c r="F28" s="66"/>
      <c r="G28" s="82" t="str">
        <f t="shared" si="0"/>
        <v> </v>
      </c>
    </row>
    <row r="29" spans="1:7" ht="15.75">
      <c r="A29" s="66"/>
      <c r="B29" s="49"/>
      <c r="C29" s="66"/>
      <c r="D29" s="66"/>
      <c r="E29" s="49"/>
      <c r="F29" s="49"/>
      <c r="G29" s="82" t="str">
        <f t="shared" si="0"/>
        <v> </v>
      </c>
    </row>
    <row r="30" spans="1:7" ht="15.75">
      <c r="A30" s="66"/>
      <c r="B30" s="49"/>
      <c r="C30" s="66"/>
      <c r="D30" s="66"/>
      <c r="E30" s="49"/>
      <c r="F30" s="49"/>
      <c r="G30" s="82" t="str">
        <f t="shared" si="0"/>
        <v> </v>
      </c>
    </row>
    <row r="31" spans="1:7" ht="15.75">
      <c r="A31" s="66"/>
      <c r="B31" s="49"/>
      <c r="C31" s="66"/>
      <c r="D31" s="66"/>
      <c r="E31" s="49"/>
      <c r="F31" s="49"/>
      <c r="G31" s="82" t="str">
        <f t="shared" si="0"/>
        <v> </v>
      </c>
    </row>
    <row r="32" spans="1:7" ht="15.75">
      <c r="A32" s="66"/>
      <c r="B32" s="49"/>
      <c r="C32" s="66"/>
      <c r="D32" s="66"/>
      <c r="E32" s="49"/>
      <c r="F32" s="49"/>
      <c r="G32" s="82" t="str">
        <f t="shared" si="0"/>
        <v> </v>
      </c>
    </row>
    <row r="33" spans="1:7" ht="15.75">
      <c r="A33" s="66"/>
      <c r="B33" s="49"/>
      <c r="C33" s="66"/>
      <c r="D33" s="66"/>
      <c r="E33" s="49"/>
      <c r="F33" s="49"/>
      <c r="G33" s="82" t="str">
        <f t="shared" si="0"/>
        <v> </v>
      </c>
    </row>
    <row r="34" spans="1:7" ht="15.75">
      <c r="A34" s="66"/>
      <c r="B34" s="49"/>
      <c r="C34" s="66"/>
      <c r="D34" s="66"/>
      <c r="E34" s="49"/>
      <c r="F34" s="49"/>
      <c r="G34" s="82" t="str">
        <f t="shared" si="0"/>
        <v> </v>
      </c>
    </row>
    <row r="35" spans="1:7" ht="15.75">
      <c r="A35" s="66"/>
      <c r="B35" s="49"/>
      <c r="C35" s="66"/>
      <c r="D35" s="66"/>
      <c r="E35" s="49"/>
      <c r="F35" s="49"/>
      <c r="G35" s="82" t="str">
        <f t="shared" si="0"/>
        <v> </v>
      </c>
    </row>
    <row r="36" spans="1:7" ht="15.75">
      <c r="A36" s="66"/>
      <c r="B36" s="49"/>
      <c r="C36" s="66"/>
      <c r="D36" s="66"/>
      <c r="E36" s="49"/>
      <c r="F36" s="49"/>
      <c r="G36" s="82" t="str">
        <f t="shared" si="0"/>
        <v> </v>
      </c>
    </row>
    <row r="37" spans="1:7" ht="15.75">
      <c r="A37" s="66"/>
      <c r="B37" s="49"/>
      <c r="C37" s="66"/>
      <c r="D37" s="66"/>
      <c r="E37" s="49"/>
      <c r="F37" s="49"/>
      <c r="G37" s="82" t="str">
        <f t="shared" si="0"/>
        <v> </v>
      </c>
    </row>
    <row r="38" spans="1:7" ht="15.75">
      <c r="A38" s="66"/>
      <c r="B38" s="49"/>
      <c r="C38" s="66"/>
      <c r="D38" s="66"/>
      <c r="E38" s="49"/>
      <c r="F38" s="49"/>
      <c r="G38" s="82" t="str">
        <f t="shared" si="0"/>
        <v> </v>
      </c>
    </row>
    <row r="39" spans="1:7" ht="16.5" thickBot="1">
      <c r="A39" s="67" t="s">
        <v>139</v>
      </c>
      <c r="B39" s="53"/>
      <c r="C39" s="93" t="s">
        <v>140</v>
      </c>
      <c r="D39" s="94">
        <f>SUM(D10:D38)</f>
        <v>0</v>
      </c>
      <c r="E39" s="94">
        <f>SUM(E10:E38)</f>
        <v>0</v>
      </c>
      <c r="F39" s="94"/>
      <c r="G39" s="95">
        <f>SUM(G10:G38)</f>
        <v>0</v>
      </c>
    </row>
    <row r="40" spans="1:7" ht="16.5" thickTop="1">
      <c r="A40" s="55"/>
      <c r="B40" s="41"/>
      <c r="C40" s="96"/>
      <c r="D40" s="40"/>
      <c r="E40" s="40"/>
      <c r="F40" s="40"/>
      <c r="G40" s="40"/>
    </row>
    <row r="41" spans="1:7" ht="15.75">
      <c r="A41" s="55"/>
      <c r="B41" s="40"/>
      <c r="C41" s="40"/>
      <c r="D41" s="40"/>
      <c r="E41" s="40"/>
      <c r="F41" s="40"/>
      <c r="G41" s="40"/>
    </row>
    <row r="42" spans="1:7" ht="15.75">
      <c r="A42" s="97"/>
      <c r="B42" s="62"/>
      <c r="C42" s="62"/>
      <c r="D42" s="62"/>
      <c r="E42" s="62"/>
      <c r="F42" s="62"/>
      <c r="G42" s="62"/>
    </row>
    <row r="43" spans="1:7" ht="15.75">
      <c r="A43" s="98"/>
      <c r="B43" s="98"/>
      <c r="C43" s="98"/>
      <c r="D43" s="98"/>
      <c r="E43" s="98"/>
      <c r="F43" s="98"/>
      <c r="G43" s="98"/>
    </row>
    <row r="44" spans="1:7" ht="15.75">
      <c r="A44" s="62"/>
      <c r="B44" s="62"/>
      <c r="C44" s="62"/>
      <c r="D44" s="62"/>
      <c r="E44" s="62"/>
      <c r="F44" s="62"/>
      <c r="G44" s="99"/>
    </row>
    <row r="54" spans="1:7" ht="15.75">
      <c r="A54" s="62"/>
      <c r="B54" s="62"/>
      <c r="C54" s="62"/>
      <c r="D54" s="62"/>
      <c r="E54" s="62"/>
      <c r="F54" s="62"/>
      <c r="G54" s="62"/>
    </row>
    <row r="58" spans="1:7" ht="15.75">
      <c r="A58" s="62"/>
      <c r="B58" s="62"/>
      <c r="C58" s="62"/>
      <c r="D58" s="97"/>
      <c r="E58" s="62"/>
      <c r="F58" s="62"/>
      <c r="G58" s="62"/>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25.xml><?xml version="1.0" encoding="utf-8"?>
<worksheet xmlns="http://schemas.openxmlformats.org/spreadsheetml/2006/main" xmlns:r="http://schemas.openxmlformats.org/officeDocument/2006/relationships">
  <dimension ref="A1:A106"/>
  <sheetViews>
    <sheetView zoomScale="75" zoomScaleNormal="75" zoomScalePageLayoutView="0" workbookViewId="0" topLeftCell="A1">
      <selection activeCell="C104" sqref="C104"/>
    </sheetView>
  </sheetViews>
  <sheetFormatPr defaultColWidth="8.796875" defaultRowHeight="15"/>
  <cols>
    <col min="1" max="1" width="88.796875" style="27" customWidth="1"/>
    <col min="2" max="16384" width="8.8984375" style="27" customWidth="1"/>
  </cols>
  <sheetData>
    <row r="1" ht="15.75">
      <c r="A1" s="26" t="s">
        <v>343</v>
      </c>
    </row>
    <row r="3" ht="34.5" customHeight="1">
      <c r="A3" s="28" t="s">
        <v>28</v>
      </c>
    </row>
    <row r="4" ht="15.75">
      <c r="A4" s="29"/>
    </row>
    <row r="5" ht="52.5" customHeight="1">
      <c r="A5" s="30" t="s">
        <v>344</v>
      </c>
    </row>
    <row r="6" ht="15.75">
      <c r="A6" s="30"/>
    </row>
    <row r="7" ht="31.5">
      <c r="A7" s="30" t="s">
        <v>92</v>
      </c>
    </row>
    <row r="8" ht="15.75">
      <c r="A8" s="30"/>
    </row>
    <row r="9" ht="54.75" customHeight="1">
      <c r="A9" s="30" t="s">
        <v>78</v>
      </c>
    </row>
    <row r="10" ht="15.75">
      <c r="A10" s="30"/>
    </row>
    <row r="11" ht="15.75">
      <c r="A11" s="30" t="s">
        <v>339</v>
      </c>
    </row>
    <row r="13" ht="118.5" customHeight="1">
      <c r="A13" s="30" t="s">
        <v>73</v>
      </c>
    </row>
    <row r="14" ht="15.75">
      <c r="A14" s="30"/>
    </row>
    <row r="15" ht="106.5" customHeight="1">
      <c r="A15" s="30" t="s">
        <v>74</v>
      </c>
    </row>
    <row r="17" ht="15.75">
      <c r="A17" s="26" t="s">
        <v>654</v>
      </c>
    </row>
    <row r="18" ht="15.75">
      <c r="A18" s="26"/>
    </row>
    <row r="19" ht="15.75">
      <c r="A19" s="29" t="s">
        <v>76</v>
      </c>
    </row>
    <row r="20" ht="15.75">
      <c r="A20" s="29"/>
    </row>
    <row r="21" ht="15.75">
      <c r="A21" s="27" t="s">
        <v>374</v>
      </c>
    </row>
    <row r="23" ht="72" customHeight="1">
      <c r="A23" s="31" t="s">
        <v>77</v>
      </c>
    </row>
    <row r="24" ht="13.5" customHeight="1">
      <c r="A24" s="31"/>
    </row>
    <row r="27" ht="15.75">
      <c r="A27" s="26" t="s">
        <v>119</v>
      </c>
    </row>
    <row r="29" ht="34.5" customHeight="1">
      <c r="A29" s="30" t="s">
        <v>72</v>
      </c>
    </row>
    <row r="30" ht="9.75" customHeight="1">
      <c r="A30" s="30"/>
    </row>
    <row r="31" ht="15.75">
      <c r="A31" s="32" t="s">
        <v>29</v>
      </c>
    </row>
    <row r="32" ht="15.75">
      <c r="A32" s="30"/>
    </row>
    <row r="33" ht="17.25" customHeight="1">
      <c r="A33" s="33" t="s">
        <v>306</v>
      </c>
    </row>
    <row r="34" ht="17.25" customHeight="1">
      <c r="A34" s="34"/>
    </row>
    <row r="35" ht="87.75" customHeight="1">
      <c r="A35" s="35" t="s">
        <v>55</v>
      </c>
    </row>
    <row r="37" ht="15.75">
      <c r="A37" s="36" t="s">
        <v>30</v>
      </c>
    </row>
    <row r="39" ht="15.75">
      <c r="A39" s="37" t="s">
        <v>75</v>
      </c>
    </row>
    <row r="41" ht="15.75">
      <c r="A41" s="30" t="s">
        <v>120</v>
      </c>
    </row>
    <row r="43" ht="15.75">
      <c r="A43" s="26" t="s">
        <v>121</v>
      </c>
    </row>
    <row r="45" ht="70.5" customHeight="1">
      <c r="A45" s="30" t="s">
        <v>819</v>
      </c>
    </row>
    <row r="46" ht="52.5" customHeight="1">
      <c r="A46" s="38" t="s">
        <v>45</v>
      </c>
    </row>
    <row r="47" ht="9" customHeight="1">
      <c r="A47" s="30"/>
    </row>
    <row r="48" ht="69.75" customHeight="1">
      <c r="A48" s="30" t="s">
        <v>820</v>
      </c>
    </row>
    <row r="49" ht="53.25" customHeight="1">
      <c r="A49" s="30" t="s">
        <v>46</v>
      </c>
    </row>
    <row r="50" ht="102.75" customHeight="1">
      <c r="A50" s="30" t="s">
        <v>112</v>
      </c>
    </row>
    <row r="51" ht="73.5" customHeight="1">
      <c r="A51" s="179" t="s">
        <v>655</v>
      </c>
    </row>
    <row r="52" ht="69.75" customHeight="1">
      <c r="A52" s="180" t="s">
        <v>656</v>
      </c>
    </row>
    <row r="53" ht="12" customHeight="1">
      <c r="A53" s="30"/>
    </row>
    <row r="54" ht="68.25" customHeight="1">
      <c r="A54" s="30" t="s">
        <v>657</v>
      </c>
    </row>
    <row r="55" ht="68.25" customHeight="1">
      <c r="A55" s="30" t="s">
        <v>658</v>
      </c>
    </row>
    <row r="56" ht="31.5">
      <c r="A56" s="30" t="s">
        <v>659</v>
      </c>
    </row>
    <row r="57" ht="31.5">
      <c r="A57" s="30" t="s">
        <v>660</v>
      </c>
    </row>
    <row r="58" ht="12" customHeight="1"/>
    <row r="59" ht="68.25" customHeight="1">
      <c r="A59" s="30" t="s">
        <v>661</v>
      </c>
    </row>
    <row r="60" ht="128.25" customHeight="1">
      <c r="A60" s="30" t="s">
        <v>662</v>
      </c>
    </row>
    <row r="61" ht="35.25" customHeight="1">
      <c r="A61" s="30" t="s">
        <v>663</v>
      </c>
    </row>
    <row r="62" ht="10.5" customHeight="1">
      <c r="A62" s="30"/>
    </row>
    <row r="63" ht="68.25" customHeight="1">
      <c r="A63" s="30" t="s">
        <v>664</v>
      </c>
    </row>
    <row r="64" ht="10.5" customHeight="1">
      <c r="A64" s="30"/>
    </row>
    <row r="65" ht="72.75" customHeight="1">
      <c r="A65" s="30" t="s">
        <v>665</v>
      </c>
    </row>
    <row r="66" ht="31.5" customHeight="1">
      <c r="A66" s="30" t="s">
        <v>680</v>
      </c>
    </row>
    <row r="67" ht="82.5" customHeight="1">
      <c r="A67" s="30" t="s">
        <v>681</v>
      </c>
    </row>
    <row r="68" ht="37.5" customHeight="1">
      <c r="A68" s="155" t="s">
        <v>679</v>
      </c>
    </row>
    <row r="69" ht="12" customHeight="1">
      <c r="A69" s="30"/>
    </row>
    <row r="70" ht="54" customHeight="1">
      <c r="A70" s="30" t="s">
        <v>666</v>
      </c>
    </row>
    <row r="71" ht="12" customHeight="1"/>
    <row r="72" s="30" customFormat="1" ht="69" customHeight="1">
      <c r="A72" s="30" t="s">
        <v>667</v>
      </c>
    </row>
    <row r="73" ht="12" customHeight="1"/>
    <row r="74" ht="87" customHeight="1">
      <c r="A74" s="30" t="s">
        <v>668</v>
      </c>
    </row>
    <row r="75" ht="87" customHeight="1">
      <c r="A75" s="207" t="s">
        <v>821</v>
      </c>
    </row>
    <row r="76" ht="87" customHeight="1">
      <c r="A76" s="207" t="s">
        <v>822</v>
      </c>
    </row>
    <row r="77" ht="72" customHeight="1">
      <c r="A77" s="30" t="s">
        <v>823</v>
      </c>
    </row>
    <row r="78" ht="116.25" customHeight="1">
      <c r="A78" s="30" t="s">
        <v>824</v>
      </c>
    </row>
    <row r="79" ht="132.75" customHeight="1">
      <c r="A79" s="30" t="s">
        <v>825</v>
      </c>
    </row>
    <row r="80" ht="84" customHeight="1">
      <c r="A80" s="207" t="s">
        <v>826</v>
      </c>
    </row>
    <row r="81" ht="124.5" customHeight="1">
      <c r="A81" s="30" t="s">
        <v>827</v>
      </c>
    </row>
    <row r="82" ht="38.25" customHeight="1">
      <c r="A82" s="30" t="s">
        <v>828</v>
      </c>
    </row>
    <row r="83" ht="85.5" customHeight="1">
      <c r="A83" s="30" t="s">
        <v>829</v>
      </c>
    </row>
    <row r="84" ht="40.5" customHeight="1">
      <c r="A84" s="30" t="s">
        <v>830</v>
      </c>
    </row>
    <row r="85" ht="140.25" customHeight="1">
      <c r="A85" s="152" t="s">
        <v>831</v>
      </c>
    </row>
    <row r="86" ht="119.25" customHeight="1">
      <c r="A86" s="153" t="s">
        <v>832</v>
      </c>
    </row>
    <row r="87" ht="59.25" customHeight="1">
      <c r="A87" s="154" t="s">
        <v>833</v>
      </c>
    </row>
    <row r="89" ht="154.5" customHeight="1">
      <c r="A89" s="30" t="s">
        <v>669</v>
      </c>
    </row>
    <row r="90" ht="132" customHeight="1">
      <c r="A90" s="30" t="s">
        <v>670</v>
      </c>
    </row>
    <row r="91" ht="54" customHeight="1">
      <c r="A91" s="30" t="s">
        <v>671</v>
      </c>
    </row>
    <row r="92" ht="21.75" customHeight="1">
      <c r="A92" s="30" t="s">
        <v>672</v>
      </c>
    </row>
    <row r="94" ht="52.5" customHeight="1">
      <c r="A94" s="30" t="s">
        <v>673</v>
      </c>
    </row>
    <row r="95" ht="22.5" customHeight="1">
      <c r="A95" s="30" t="s">
        <v>674</v>
      </c>
    </row>
    <row r="96" ht="79.5" customHeight="1">
      <c r="A96" s="207" t="s">
        <v>834</v>
      </c>
    </row>
    <row r="97" ht="90.75" customHeight="1">
      <c r="A97" s="207" t="s">
        <v>835</v>
      </c>
    </row>
    <row r="98" ht="37.5" customHeight="1">
      <c r="A98" s="30" t="s">
        <v>836</v>
      </c>
    </row>
    <row r="99" ht="57.75" customHeight="1">
      <c r="A99" s="30" t="s">
        <v>837</v>
      </c>
    </row>
    <row r="100" ht="57.75" customHeight="1">
      <c r="A100" s="30" t="s">
        <v>838</v>
      </c>
    </row>
    <row r="101" ht="10.5" customHeight="1"/>
    <row r="102" ht="57" customHeight="1">
      <c r="A102" s="30" t="s">
        <v>675</v>
      </c>
    </row>
    <row r="103" ht="15.75" customHeight="1"/>
    <row r="104" ht="54" customHeight="1">
      <c r="A104" s="207" t="s">
        <v>839</v>
      </c>
    </row>
    <row r="105" ht="93" customHeight="1">
      <c r="A105" s="207" t="s">
        <v>840</v>
      </c>
    </row>
    <row r="106" ht="104.25" customHeight="1">
      <c r="A106" s="207" t="s">
        <v>841</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26.xml><?xml version="1.0" encoding="utf-8"?>
<worksheet xmlns="http://schemas.openxmlformats.org/spreadsheetml/2006/main" xmlns:r="http://schemas.openxmlformats.org/officeDocument/2006/relationships">
  <dimension ref="A2:F23"/>
  <sheetViews>
    <sheetView zoomScalePageLayoutView="0" workbookViewId="0" topLeftCell="A1">
      <selection activeCell="C104" sqref="C104"/>
    </sheetView>
  </sheetViews>
  <sheetFormatPr defaultColWidth="8.796875" defaultRowHeight="15"/>
  <cols>
    <col min="1" max="1" width="13.796875" style="0" customWidth="1"/>
    <col min="2" max="2" width="16.09765625" style="0" customWidth="1"/>
  </cols>
  <sheetData>
    <row r="2" spans="1:6" ht="54" customHeight="1">
      <c r="A2" s="860" t="s">
        <v>433</v>
      </c>
      <c r="B2" s="861"/>
      <c r="C2" s="861"/>
      <c r="D2" s="861"/>
      <c r="E2" s="861"/>
      <c r="F2" s="861"/>
    </row>
    <row r="4" spans="1:6" ht="15.75">
      <c r="A4" s="158"/>
      <c r="B4" s="158"/>
      <c r="C4" s="158"/>
      <c r="D4" s="159"/>
      <c r="E4" s="158"/>
      <c r="F4" s="158"/>
    </row>
    <row r="5" spans="1:6" ht="15.75">
      <c r="A5" s="160" t="s">
        <v>434</v>
      </c>
      <c r="B5" s="161"/>
      <c r="C5" s="162"/>
      <c r="D5" s="160" t="s">
        <v>852</v>
      </c>
      <c r="E5" s="158"/>
      <c r="F5" s="158"/>
    </row>
    <row r="6" spans="1:6" ht="15.75">
      <c r="A6" s="160"/>
      <c r="B6" s="163"/>
      <c r="C6" s="164"/>
      <c r="D6" s="160" t="s">
        <v>851</v>
      </c>
      <c r="E6" s="158"/>
      <c r="F6" s="158"/>
    </row>
    <row r="7" spans="1:6" ht="15.75">
      <c r="A7" s="160" t="s">
        <v>435</v>
      </c>
      <c r="B7" s="161"/>
      <c r="C7" s="165"/>
      <c r="D7" s="160"/>
      <c r="E7" s="158"/>
      <c r="F7" s="158"/>
    </row>
    <row r="8" spans="1:6" ht="15.75">
      <c r="A8" s="160"/>
      <c r="B8" s="160"/>
      <c r="C8" s="160"/>
      <c r="D8" s="160"/>
      <c r="E8" s="158"/>
      <c r="F8" s="158"/>
    </row>
    <row r="9" spans="1:6" ht="15.75">
      <c r="A9" s="160" t="s">
        <v>436</v>
      </c>
      <c r="B9" s="166"/>
      <c r="C9" s="166"/>
      <c r="D9" s="166"/>
      <c r="E9" s="167"/>
      <c r="F9" s="158"/>
    </row>
    <row r="10" spans="1:6" ht="15.75">
      <c r="A10" s="160"/>
      <c r="B10" s="160"/>
      <c r="C10" s="160"/>
      <c r="D10" s="160"/>
      <c r="E10" s="158"/>
      <c r="F10" s="158"/>
    </row>
    <row r="11" spans="1:6" ht="15.75">
      <c r="A11" s="160"/>
      <c r="B11" s="160"/>
      <c r="C11" s="160"/>
      <c r="D11" s="160"/>
      <c r="E11" s="158"/>
      <c r="F11" s="158"/>
    </row>
    <row r="12" spans="1:6" ht="15.75">
      <c r="A12" s="160" t="s">
        <v>438</v>
      </c>
      <c r="B12" s="166"/>
      <c r="C12" s="166"/>
      <c r="D12" s="166"/>
      <c r="E12" s="167"/>
      <c r="F12" s="158"/>
    </row>
    <row r="15" spans="1:6" ht="15.75">
      <c r="A15" s="862" t="s">
        <v>439</v>
      </c>
      <c r="B15" s="862"/>
      <c r="C15" s="160"/>
      <c r="D15" s="160"/>
      <c r="E15" s="160"/>
      <c r="F15" s="158"/>
    </row>
    <row r="16" spans="1:6" ht="15.75">
      <c r="A16" s="160"/>
      <c r="B16" s="160"/>
      <c r="C16" s="160"/>
      <c r="D16" s="160"/>
      <c r="E16" s="160"/>
      <c r="F16" s="158"/>
    </row>
    <row r="17" spans="1:5" ht="15.75">
      <c r="A17" s="160" t="s">
        <v>434</v>
      </c>
      <c r="B17" s="163" t="s">
        <v>440</v>
      </c>
      <c r="C17" s="160"/>
      <c r="D17" s="160"/>
      <c r="E17" s="160"/>
    </row>
    <row r="18" spans="1:5" ht="15.75">
      <c r="A18" s="160"/>
      <c r="B18" s="160"/>
      <c r="C18" s="160"/>
      <c r="D18" s="160"/>
      <c r="E18" s="160"/>
    </row>
    <row r="19" spans="1:5" ht="15.75">
      <c r="A19" s="160" t="s">
        <v>435</v>
      </c>
      <c r="B19" s="160" t="s">
        <v>441</v>
      </c>
      <c r="C19" s="160"/>
      <c r="D19" s="160"/>
      <c r="E19" s="160"/>
    </row>
    <row r="20" spans="1:5" ht="15.75">
      <c r="A20" s="160"/>
      <c r="B20" s="160"/>
      <c r="C20" s="160"/>
      <c r="D20" s="160"/>
      <c r="E20" s="160"/>
    </row>
    <row r="21" spans="1:5" ht="15.75">
      <c r="A21" s="160" t="s">
        <v>436</v>
      </c>
      <c r="B21" s="160" t="s">
        <v>437</v>
      </c>
      <c r="C21" s="160"/>
      <c r="D21" s="160"/>
      <c r="E21" s="160"/>
    </row>
    <row r="22" spans="1:5" ht="15.75">
      <c r="A22" s="160"/>
      <c r="B22" s="160"/>
      <c r="C22" s="160"/>
      <c r="D22" s="160"/>
      <c r="E22" s="160"/>
    </row>
    <row r="23" spans="1:5" ht="15.75">
      <c r="A23" s="160" t="s">
        <v>438</v>
      </c>
      <c r="B23" s="160" t="s">
        <v>437</v>
      </c>
      <c r="C23" s="160"/>
      <c r="D23" s="160"/>
      <c r="E23" s="16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8"/>
  <sheetViews>
    <sheetView zoomScalePageLayoutView="0" workbookViewId="0" topLeftCell="A1">
      <selection activeCell="B7" sqref="B7"/>
    </sheetView>
  </sheetViews>
  <sheetFormatPr defaultColWidth="8.796875" defaultRowHeight="15"/>
  <cols>
    <col min="1" max="1" width="62.3984375" style="81" customWidth="1"/>
    <col min="2" max="16384" width="8.8984375" style="81" customWidth="1"/>
  </cols>
  <sheetData>
    <row r="1" ht="18.75">
      <c r="A1" s="150" t="s">
        <v>389</v>
      </c>
    </row>
    <row r="2" ht="15.75">
      <c r="A2" s="27"/>
    </row>
    <row r="3" ht="54.75" customHeight="1">
      <c r="A3" s="151" t="s">
        <v>390</v>
      </c>
    </row>
    <row r="4" ht="15.75">
      <c r="A4" s="196"/>
    </row>
    <row r="5" ht="51" customHeight="1">
      <c r="A5" s="151" t="s">
        <v>391</v>
      </c>
    </row>
    <row r="6" ht="15.75">
      <c r="A6" s="27"/>
    </row>
    <row r="7" ht="51.75" customHeight="1">
      <c r="A7" s="151" t="s">
        <v>392</v>
      </c>
    </row>
    <row r="8" ht="13.5" customHeight="1">
      <c r="A8" s="151"/>
    </row>
    <row r="9" ht="51.75" customHeight="1">
      <c r="A9" s="188" t="s">
        <v>816</v>
      </c>
    </row>
    <row r="10" ht="15.75">
      <c r="A10" s="196"/>
    </row>
    <row r="11" ht="36" customHeight="1">
      <c r="A11" s="151" t="s">
        <v>393</v>
      </c>
    </row>
    <row r="12" ht="15.75">
      <c r="A12" s="27"/>
    </row>
    <row r="13" ht="51.75" customHeight="1">
      <c r="A13" s="151" t="s">
        <v>394</v>
      </c>
    </row>
    <row r="14" ht="15.75">
      <c r="A14" s="196"/>
    </row>
    <row r="15" ht="33" customHeight="1">
      <c r="A15" s="151" t="s">
        <v>395</v>
      </c>
    </row>
    <row r="16" ht="15.75">
      <c r="A16" s="196"/>
    </row>
    <row r="17" ht="32.25" customHeight="1">
      <c r="A17" s="151" t="s">
        <v>396</v>
      </c>
    </row>
    <row r="18" ht="15.75">
      <c r="A18" s="196"/>
    </row>
    <row r="19" ht="53.25" customHeight="1">
      <c r="A19" s="151" t="s">
        <v>397</v>
      </c>
    </row>
    <row r="20" ht="15.75">
      <c r="A20" s="27"/>
    </row>
    <row r="21" ht="50.25" customHeight="1">
      <c r="A21" s="151" t="s">
        <v>398</v>
      </c>
    </row>
    <row r="22" ht="15.75">
      <c r="A22" s="27"/>
    </row>
    <row r="23" ht="15.75">
      <c r="A23" s="27"/>
    </row>
    <row r="24" ht="96" customHeight="1">
      <c r="A24" s="151" t="s">
        <v>399</v>
      </c>
    </row>
    <row r="25" ht="15.75">
      <c r="A25" s="27"/>
    </row>
    <row r="26" ht="30.75" customHeight="1">
      <c r="A26" s="30" t="s">
        <v>400</v>
      </c>
    </row>
    <row r="27" ht="15.75">
      <c r="A27" s="27"/>
    </row>
    <row r="28" ht="95.25" customHeight="1">
      <c r="A28" s="190" t="s">
        <v>817</v>
      </c>
    </row>
    <row r="29" ht="15.75">
      <c r="A29" s="27"/>
    </row>
    <row r="30" ht="34.5" customHeight="1">
      <c r="A30" s="151" t="s">
        <v>401</v>
      </c>
    </row>
    <row r="31" ht="15.75">
      <c r="A31" s="27"/>
    </row>
    <row r="32" ht="66" customHeight="1">
      <c r="A32" s="151" t="s">
        <v>402</v>
      </c>
    </row>
    <row r="33" ht="15.75">
      <c r="A33" s="196"/>
    </row>
    <row r="34" ht="57" customHeight="1">
      <c r="A34" s="151" t="s">
        <v>403</v>
      </c>
    </row>
    <row r="35" ht="15.75">
      <c r="A35" s="27"/>
    </row>
    <row r="36" ht="49.5" customHeight="1">
      <c r="A36" s="151" t="s">
        <v>404</v>
      </c>
    </row>
    <row r="37" ht="15.75">
      <c r="A37" s="27"/>
    </row>
    <row r="38" ht="74.25" customHeight="1">
      <c r="A38" s="190" t="s">
        <v>818</v>
      </c>
    </row>
    <row r="39" ht="15.75">
      <c r="A39" s="27"/>
    </row>
    <row r="40" ht="55.5" customHeight="1">
      <c r="A40" s="151" t="s">
        <v>405</v>
      </c>
    </row>
    <row r="41" ht="15.75">
      <c r="A41" s="27"/>
    </row>
    <row r="42" ht="53.25" customHeight="1">
      <c r="A42" s="151" t="s">
        <v>406</v>
      </c>
    </row>
    <row r="43" ht="15.75">
      <c r="A43" s="196"/>
    </row>
    <row r="44" ht="47.25" customHeight="1">
      <c r="A44" s="151" t="s">
        <v>407</v>
      </c>
    </row>
    <row r="45" ht="15.75">
      <c r="A45" s="196"/>
    </row>
    <row r="46" ht="49.5" customHeight="1">
      <c r="A46" s="151" t="s">
        <v>408</v>
      </c>
    </row>
    <row r="47" ht="15.75">
      <c r="A47" s="196"/>
    </row>
    <row r="48" ht="36" customHeight="1">
      <c r="A48" s="151" t="s">
        <v>409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B3" sqref="B3:E3"/>
    </sheetView>
  </sheetViews>
  <sheetFormatPr defaultColWidth="8.796875" defaultRowHeight="15"/>
  <cols>
    <col min="1" max="1" width="9.19921875" style="81" customWidth="1"/>
    <col min="2" max="2" width="18.59765625" style="81" customWidth="1"/>
    <col min="3" max="3" width="11.796875" style="81" customWidth="1"/>
    <col min="4" max="4" width="12.796875" style="81" customWidth="1"/>
    <col min="5" max="5" width="11.796875" style="81" customWidth="1"/>
    <col min="6" max="16384" width="8.8984375" style="81" customWidth="1"/>
  </cols>
  <sheetData>
    <row r="1" spans="1:6" ht="15.75">
      <c r="A1" s="100" t="str">
        <f>inputPrYr!C2</f>
        <v>Wyandotte County</v>
      </c>
      <c r="B1" s="40"/>
      <c r="C1" s="40"/>
      <c r="D1" s="40"/>
      <c r="E1" s="40"/>
      <c r="F1" s="125">
        <f>inputPrYr!C4</f>
        <v>2012</v>
      </c>
    </row>
    <row r="2" spans="1:6" ht="15.75">
      <c r="A2" s="40"/>
      <c r="B2" s="40"/>
      <c r="C2" s="40"/>
      <c r="D2" s="40"/>
      <c r="E2" s="40"/>
      <c r="F2" s="40"/>
    </row>
    <row r="3" spans="1:6" ht="15.75">
      <c r="A3" s="40"/>
      <c r="B3" s="865" t="str">
        <f>CONCATENATE("",F1," Neighborhood Revitalization Rebate")</f>
        <v>2012 Neighborhood Revitalization Rebate</v>
      </c>
      <c r="C3" s="866"/>
      <c r="D3" s="866"/>
      <c r="E3" s="866"/>
      <c r="F3" s="40"/>
    </row>
    <row r="4" spans="1:6" ht="15.75">
      <c r="A4" s="40"/>
      <c r="B4" s="40"/>
      <c r="C4" s="40"/>
      <c r="D4" s="40"/>
      <c r="E4" s="40"/>
      <c r="F4" s="40"/>
    </row>
    <row r="5" spans="1:6" ht="51" customHeight="1">
      <c r="A5" s="40"/>
      <c r="B5" s="134" t="str">
        <f>CONCATENATE("Budgeted Funds                       for ",F1,"")</f>
        <v>Budgeted Funds                       for 2012</v>
      </c>
      <c r="C5" s="134" t="str">
        <f>CONCATENATE("",F1-1," Ad Valorem before Rebate**")</f>
        <v>2011 Ad Valorem before Rebate**</v>
      </c>
      <c r="D5" s="135" t="str">
        <f>CONCATENATE("",F1-1," Mil Rate before Rebate")</f>
        <v>2011 Mil Rate before Rebate</v>
      </c>
      <c r="E5" s="136" t="str">
        <f>CONCATENATE("Estimate ",F1," NR Rebate")</f>
        <v>Estimate 2012 NR Rebate</v>
      </c>
      <c r="F5" s="61"/>
    </row>
    <row r="6" spans="1:6" ht="15.75">
      <c r="A6" s="40"/>
      <c r="B6" s="45" t="str">
        <f>inputPrYr!B16</f>
        <v>General</v>
      </c>
      <c r="C6" s="137"/>
      <c r="D6" s="138">
        <f>IF(C6&gt;0,C6/$D$36,"")</f>
      </c>
      <c r="E6" s="102">
        <f aca="true" t="shared" si="0" ref="E6:E30">IF(C6&gt;0,ROUND(D6*$D$40,0),"")</f>
      </c>
      <c r="F6" s="61"/>
    </row>
    <row r="7" spans="1:6" ht="15.75">
      <c r="A7" s="40"/>
      <c r="B7" s="45" t="str">
        <f>inputPrYr!B17</f>
        <v>Bond and Interest</v>
      </c>
      <c r="C7" s="137"/>
      <c r="D7" s="138">
        <f aca="true" t="shared" si="1" ref="D7:D30">IF(C7&gt;0,C7/$D$36,"")</f>
      </c>
      <c r="E7" s="102">
        <f t="shared" si="0"/>
      </c>
      <c r="F7" s="61"/>
    </row>
    <row r="8" spans="1:6" ht="15.75">
      <c r="A8" s="40"/>
      <c r="B8" s="45" t="str">
        <f>inputPrYr!B18</f>
        <v>County Elections</v>
      </c>
      <c r="C8" s="137"/>
      <c r="D8" s="138">
        <f t="shared" si="1"/>
      </c>
      <c r="E8" s="102">
        <f t="shared" si="0"/>
      </c>
      <c r="F8" s="61"/>
    </row>
    <row r="9" spans="1:6" ht="15.75">
      <c r="A9" s="40"/>
      <c r="B9" s="45" t="e">
        <f>inputPrYr!#REF!</f>
        <v>#REF!</v>
      </c>
      <c r="C9" s="137"/>
      <c r="D9" s="138">
        <f t="shared" si="1"/>
      </c>
      <c r="E9" s="102">
        <f t="shared" si="0"/>
      </c>
      <c r="F9" s="61"/>
    </row>
    <row r="10" spans="1:6" ht="15.75">
      <c r="A10" s="40"/>
      <c r="B10" s="45" t="e">
        <f>inputPrYr!#REF!</f>
        <v>#REF!</v>
      </c>
      <c r="C10" s="137"/>
      <c r="D10" s="138">
        <f t="shared" si="1"/>
      </c>
      <c r="E10" s="102">
        <f t="shared" si="0"/>
      </c>
      <c r="F10" s="61"/>
    </row>
    <row r="11" spans="1:6" ht="15.75">
      <c r="A11" s="40"/>
      <c r="B11" s="45" t="e">
        <f>inputPrYr!#REF!</f>
        <v>#REF!</v>
      </c>
      <c r="C11" s="137"/>
      <c r="D11" s="138">
        <f t="shared" si="1"/>
      </c>
      <c r="E11" s="102">
        <f t="shared" si="0"/>
      </c>
      <c r="F11" s="61"/>
    </row>
    <row r="12" spans="1:6" ht="15.75">
      <c r="A12" s="40"/>
      <c r="B12" s="45" t="e">
        <f>inputPrYr!#REF!</f>
        <v>#REF!</v>
      </c>
      <c r="C12" s="139"/>
      <c r="D12" s="138">
        <f t="shared" si="1"/>
      </c>
      <c r="E12" s="102">
        <f t="shared" si="0"/>
      </c>
      <c r="F12" s="61"/>
    </row>
    <row r="13" spans="1:6" ht="15.75">
      <c r="A13" s="40"/>
      <c r="B13" s="45" t="e">
        <f>inputPrYr!#REF!</f>
        <v>#REF!</v>
      </c>
      <c r="C13" s="139"/>
      <c r="D13" s="138">
        <f t="shared" si="1"/>
      </c>
      <c r="E13" s="102">
        <f t="shared" si="0"/>
      </c>
      <c r="F13" s="61"/>
    </row>
    <row r="14" spans="1:6" ht="15.75">
      <c r="A14" s="40"/>
      <c r="B14" s="45" t="str">
        <f>inputPrYr!B19</f>
        <v>Aging</v>
      </c>
      <c r="C14" s="139"/>
      <c r="D14" s="138">
        <f t="shared" si="1"/>
      </c>
      <c r="E14" s="102">
        <f t="shared" si="0"/>
      </c>
      <c r="F14" s="61"/>
    </row>
    <row r="15" spans="1:6" ht="15.75">
      <c r="A15" s="40"/>
      <c r="B15" s="45" t="e">
        <f>inputPrYr!#REF!</f>
        <v>#REF!</v>
      </c>
      <c r="C15" s="139"/>
      <c r="D15" s="138">
        <f t="shared" si="1"/>
      </c>
      <c r="E15" s="102">
        <f t="shared" si="0"/>
      </c>
      <c r="F15" s="61"/>
    </row>
    <row r="16" spans="1:6" ht="15.75">
      <c r="A16" s="40"/>
      <c r="B16" s="45" t="str">
        <f>inputPrYr!B20</f>
        <v>Mental Health</v>
      </c>
      <c r="C16" s="139"/>
      <c r="D16" s="138">
        <f t="shared" si="1"/>
      </c>
      <c r="E16" s="102">
        <f t="shared" si="0"/>
      </c>
      <c r="F16" s="61"/>
    </row>
    <row r="17" spans="1:6" ht="15.75">
      <c r="A17" s="40"/>
      <c r="B17" s="45" t="str">
        <f>inputPrYr!B21</f>
        <v>Developmental Disabilities</v>
      </c>
      <c r="C17" s="139"/>
      <c r="D17" s="138">
        <f t="shared" si="1"/>
      </c>
      <c r="E17" s="102">
        <f t="shared" si="0"/>
      </c>
      <c r="F17" s="61"/>
    </row>
    <row r="18" spans="1:6" ht="15.75">
      <c r="A18" s="40"/>
      <c r="B18" s="45" t="str">
        <f>inputPrYr!B22</f>
        <v>County Health</v>
      </c>
      <c r="C18" s="139"/>
      <c r="D18" s="138">
        <f t="shared" si="1"/>
      </c>
      <c r="E18" s="102">
        <f t="shared" si="0"/>
      </c>
      <c r="F18" s="61"/>
    </row>
    <row r="19" spans="1:6" ht="15.75">
      <c r="A19" s="40"/>
      <c r="B19" s="45" t="str">
        <f>inputPrYr!B23</f>
        <v>County Initiative for Funding Infrastructure</v>
      </c>
      <c r="C19" s="139"/>
      <c r="D19" s="138">
        <f t="shared" si="1"/>
      </c>
      <c r="E19" s="102">
        <f t="shared" si="0"/>
      </c>
      <c r="F19" s="61"/>
    </row>
    <row r="20" spans="1:6" ht="15.75">
      <c r="A20" s="40"/>
      <c r="B20" s="45" t="str">
        <f>inputPrYr!B24</f>
        <v>Consolidated Parks General Fund</v>
      </c>
      <c r="C20" s="139"/>
      <c r="D20" s="138">
        <f t="shared" si="1"/>
      </c>
      <c r="E20" s="102">
        <f t="shared" si="0"/>
      </c>
      <c r="F20" s="61"/>
    </row>
    <row r="21" spans="1:6" ht="15.75">
      <c r="A21" s="40"/>
      <c r="B21" s="45">
        <f>inputPrYr!B25</f>
        <v>0</v>
      </c>
      <c r="C21" s="139"/>
      <c r="D21" s="138">
        <f t="shared" si="1"/>
      </c>
      <c r="E21" s="102">
        <f t="shared" si="0"/>
      </c>
      <c r="F21" s="61"/>
    </row>
    <row r="22" spans="1:6" ht="15.75">
      <c r="A22" s="40"/>
      <c r="B22" s="45" t="e">
        <f>inputPrYr!#REF!</f>
        <v>#REF!</v>
      </c>
      <c r="C22" s="139"/>
      <c r="D22" s="138">
        <f t="shared" si="1"/>
      </c>
      <c r="E22" s="102">
        <f t="shared" si="0"/>
      </c>
      <c r="F22" s="61"/>
    </row>
    <row r="23" spans="1:6" ht="15.75">
      <c r="A23" s="40"/>
      <c r="B23" s="45" t="e">
        <f>inputPrYr!#REF!</f>
        <v>#REF!</v>
      </c>
      <c r="C23" s="139"/>
      <c r="D23" s="138">
        <f t="shared" si="1"/>
      </c>
      <c r="E23" s="102">
        <f t="shared" si="0"/>
      </c>
      <c r="F23" s="61"/>
    </row>
    <row r="24" spans="1:6" ht="15.75">
      <c r="A24" s="40"/>
      <c r="B24" s="45" t="e">
        <f>inputPrYr!#REF!</f>
        <v>#REF!</v>
      </c>
      <c r="C24" s="139"/>
      <c r="D24" s="138">
        <f t="shared" si="1"/>
      </c>
      <c r="E24" s="102">
        <f t="shared" si="0"/>
      </c>
      <c r="F24" s="61"/>
    </row>
    <row r="25" spans="1:6" ht="15.75">
      <c r="A25" s="40"/>
      <c r="B25" s="45" t="e">
        <f>inputPrYr!#REF!</f>
        <v>#REF!</v>
      </c>
      <c r="C25" s="139"/>
      <c r="D25" s="138">
        <f t="shared" si="1"/>
      </c>
      <c r="E25" s="102">
        <f t="shared" si="0"/>
      </c>
      <c r="F25" s="61"/>
    </row>
    <row r="26" spans="1:6" ht="15.75">
      <c r="A26" s="40"/>
      <c r="B26" s="45" t="e">
        <f>inputPrYr!#REF!</f>
        <v>#REF!</v>
      </c>
      <c r="C26" s="139"/>
      <c r="D26" s="138">
        <f t="shared" si="1"/>
      </c>
      <c r="E26" s="102">
        <f t="shared" si="0"/>
      </c>
      <c r="F26" s="61"/>
    </row>
    <row r="27" spans="1:6" ht="15.75">
      <c r="A27" s="40"/>
      <c r="B27" s="45" t="e">
        <f>inputPrYr!#REF!</f>
        <v>#REF!</v>
      </c>
      <c r="C27" s="139"/>
      <c r="D27" s="138">
        <f t="shared" si="1"/>
      </c>
      <c r="E27" s="102">
        <f t="shared" si="0"/>
      </c>
      <c r="F27" s="61"/>
    </row>
    <row r="28" spans="1:6" ht="15.75">
      <c r="A28" s="40"/>
      <c r="B28" s="45" t="e">
        <f>inputPrYr!#REF!</f>
        <v>#REF!</v>
      </c>
      <c r="C28" s="139"/>
      <c r="D28" s="138">
        <f t="shared" si="1"/>
      </c>
      <c r="E28" s="102">
        <f t="shared" si="0"/>
      </c>
      <c r="F28" s="61"/>
    </row>
    <row r="29" spans="1:6" ht="15.75">
      <c r="A29" s="40"/>
      <c r="B29" s="45" t="e">
        <f>inputPrYr!#REF!</f>
        <v>#REF!</v>
      </c>
      <c r="C29" s="139"/>
      <c r="D29" s="138">
        <f t="shared" si="1"/>
      </c>
      <c r="E29" s="102">
        <f t="shared" si="0"/>
      </c>
      <c r="F29" s="61"/>
    </row>
    <row r="30" spans="1:6" ht="15.75">
      <c r="A30" s="40"/>
      <c r="B30" s="45" t="e">
        <f>inputPrYr!#REF!</f>
        <v>#REF!</v>
      </c>
      <c r="C30" s="139"/>
      <c r="D30" s="138">
        <f t="shared" si="1"/>
      </c>
      <c r="E30" s="102">
        <f t="shared" si="0"/>
      </c>
      <c r="F30" s="61"/>
    </row>
    <row r="31" spans="1:6" ht="16.5" thickBot="1">
      <c r="A31" s="40"/>
      <c r="B31" s="47" t="s">
        <v>147</v>
      </c>
      <c r="C31" s="140">
        <f>SUM(C6:C30)</f>
        <v>0</v>
      </c>
      <c r="D31" s="141">
        <f>SUM(D6:D30)</f>
        <v>0</v>
      </c>
      <c r="E31" s="140">
        <f>SUM(E6:E30)</f>
        <v>0</v>
      </c>
      <c r="F31" s="61"/>
    </row>
    <row r="32" spans="1:6" ht="16.5" thickTop="1">
      <c r="A32" s="40"/>
      <c r="B32" s="40"/>
      <c r="C32" s="40"/>
      <c r="D32" s="40"/>
      <c r="E32" s="40"/>
      <c r="F32" s="61"/>
    </row>
    <row r="33" spans="1:6" ht="15.75">
      <c r="A33" s="40"/>
      <c r="B33" s="40"/>
      <c r="C33" s="40"/>
      <c r="D33" s="40"/>
      <c r="E33" s="40"/>
      <c r="F33" s="61"/>
    </row>
    <row r="34" spans="1:6" ht="15.75">
      <c r="A34" s="867" t="str">
        <f>CONCATENATE("",F1-1," July 1 Valuation:")</f>
        <v>2011 July 1 Valuation:</v>
      </c>
      <c r="B34" s="864"/>
      <c r="C34" s="867"/>
      <c r="D34" s="142">
        <f>inputOth!E6</f>
        <v>0</v>
      </c>
      <c r="E34" s="40"/>
      <c r="F34" s="61"/>
    </row>
    <row r="35" spans="1:6" ht="15.75">
      <c r="A35" s="40"/>
      <c r="B35" s="40"/>
      <c r="C35" s="40"/>
      <c r="D35" s="40"/>
      <c r="E35" s="40"/>
      <c r="F35" s="61"/>
    </row>
    <row r="36" spans="1:6" ht="15.75">
      <c r="A36" s="40"/>
      <c r="B36" s="867" t="s">
        <v>429</v>
      </c>
      <c r="C36" s="867"/>
      <c r="D36" s="143">
        <f>IF(D34&gt;0,(D34*0.001),"")</f>
      </c>
      <c r="E36" s="40"/>
      <c r="F36" s="61"/>
    </row>
    <row r="37" spans="1:6" ht="15.75">
      <c r="A37" s="40"/>
      <c r="B37" s="105"/>
      <c r="C37" s="105"/>
      <c r="D37" s="144"/>
      <c r="E37" s="40"/>
      <c r="F37" s="61"/>
    </row>
    <row r="38" spans="1:6" ht="15.75">
      <c r="A38" s="863" t="s">
        <v>430</v>
      </c>
      <c r="B38" s="868"/>
      <c r="C38" s="868"/>
      <c r="D38" s="145">
        <f>inputOth!E12</f>
        <v>0</v>
      </c>
      <c r="E38" s="73"/>
      <c r="F38" s="73"/>
    </row>
    <row r="39" spans="1:6" ht="15">
      <c r="A39" s="73"/>
      <c r="B39" s="73"/>
      <c r="C39" s="73"/>
      <c r="D39" s="146"/>
      <c r="E39" s="73"/>
      <c r="F39" s="73"/>
    </row>
    <row r="40" spans="1:6" ht="15.75">
      <c r="A40" s="73"/>
      <c r="B40" s="863" t="s">
        <v>431</v>
      </c>
      <c r="C40" s="864"/>
      <c r="D40" s="147">
        <f>IF(D38&gt;0,(D38*0.001),"")</f>
      </c>
      <c r="E40" s="73"/>
      <c r="F40" s="73"/>
    </row>
    <row r="41" spans="1:6" ht="15">
      <c r="A41" s="73"/>
      <c r="B41" s="73"/>
      <c r="C41" s="73"/>
      <c r="D41" s="73"/>
      <c r="E41" s="73"/>
      <c r="F41" s="73"/>
    </row>
    <row r="42" spans="1:6" ht="15">
      <c r="A42" s="73"/>
      <c r="B42" s="73"/>
      <c r="C42" s="73"/>
      <c r="D42" s="73"/>
      <c r="E42" s="73"/>
      <c r="F42" s="73"/>
    </row>
    <row r="43" spans="1:6" ht="15.75">
      <c r="A43" s="4" t="str">
        <f>CONCATENATE("**This information comes from the ",F1," Budget Summary page.  See instructions tab #11 for completing")</f>
        <v>**This information comes from the 2012 Budget Summary page.  See instructions tab #11 for completing</v>
      </c>
      <c r="B43" s="73"/>
      <c r="C43" s="73"/>
      <c r="D43" s="73"/>
      <c r="E43" s="73"/>
      <c r="F43" s="73"/>
    </row>
    <row r="44" spans="1:6" ht="15.75">
      <c r="A44" s="4" t="s">
        <v>677</v>
      </c>
      <c r="B44" s="73"/>
      <c r="C44" s="73"/>
      <c r="D44" s="73"/>
      <c r="E44" s="73"/>
      <c r="F44" s="73"/>
    </row>
    <row r="45" spans="1:6" ht="15.75">
      <c r="A45" s="4"/>
      <c r="B45" s="73"/>
      <c r="C45" s="73"/>
      <c r="D45" s="73"/>
      <c r="E45" s="73"/>
      <c r="F45" s="73"/>
    </row>
    <row r="46" spans="1:6" ht="15.75">
      <c r="A46" s="4"/>
      <c r="B46" s="73"/>
      <c r="C46" s="73"/>
      <c r="D46" s="73"/>
      <c r="E46" s="73"/>
      <c r="F46" s="73"/>
    </row>
    <row r="47" spans="1:6" ht="15.75">
      <c r="A47" s="4"/>
      <c r="B47" s="73"/>
      <c r="C47" s="73"/>
      <c r="D47" s="73"/>
      <c r="E47" s="73"/>
      <c r="F47" s="73"/>
    </row>
    <row r="48" spans="1:6" ht="15.75">
      <c r="A48" s="4"/>
      <c r="B48" s="73"/>
      <c r="C48" s="73"/>
      <c r="D48" s="73"/>
      <c r="E48" s="73"/>
      <c r="F48" s="73"/>
    </row>
    <row r="49" spans="1:6" ht="15">
      <c r="A49" s="73"/>
      <c r="B49" s="73"/>
      <c r="C49" s="73"/>
      <c r="D49" s="73"/>
      <c r="E49" s="73"/>
      <c r="F49" s="73"/>
    </row>
    <row r="50" spans="1:6" ht="15">
      <c r="A50" s="73"/>
      <c r="B50" s="73"/>
      <c r="C50" s="73"/>
      <c r="D50" s="73"/>
      <c r="E50" s="73"/>
      <c r="F50" s="73"/>
    </row>
    <row r="51" spans="1:6" ht="15.75">
      <c r="A51" s="73"/>
      <c r="B51" s="121" t="s">
        <v>216</v>
      </c>
      <c r="C51" s="133"/>
      <c r="D51" s="73"/>
      <c r="E51" s="73"/>
      <c r="F51" s="73"/>
    </row>
    <row r="52" spans="1:6" ht="15.75">
      <c r="A52" s="61"/>
      <c r="B52" s="40"/>
      <c r="C52" s="40"/>
      <c r="D52" s="148"/>
      <c r="E52" s="61"/>
      <c r="F52" s="61"/>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82" r:id="rId1"/>
  <headerFooter alignWithMargins="0">
    <oddHeader>&amp;RState of Kansas
County</oddHeader>
  </headerFooter>
</worksheet>
</file>

<file path=xl/worksheets/sheet29.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8.796875" defaultRowHeight="15"/>
  <cols>
    <col min="1" max="1" width="70.3984375" style="81" customWidth="1"/>
    <col min="2" max="16384" width="8.8984375" style="81" customWidth="1"/>
  </cols>
  <sheetData>
    <row r="1" spans="1:7" ht="30" customHeight="1">
      <c r="A1" s="193" t="s">
        <v>375</v>
      </c>
      <c r="B1" s="192"/>
      <c r="C1" s="192"/>
      <c r="D1" s="192"/>
      <c r="E1" s="192"/>
      <c r="F1" s="192"/>
      <c r="G1" s="192"/>
    </row>
    <row r="2" ht="15.75" customHeight="1">
      <c r="A2" s="1"/>
    </row>
    <row r="3" ht="54" customHeight="1">
      <c r="A3" s="191" t="s">
        <v>698</v>
      </c>
    </row>
    <row r="4" ht="15.75" customHeight="1">
      <c r="A4" s="1"/>
    </row>
    <row r="5" ht="52.5" customHeight="1">
      <c r="A5" s="191" t="s">
        <v>699</v>
      </c>
    </row>
    <row r="6" ht="15.75" customHeight="1">
      <c r="A6" s="1"/>
    </row>
    <row r="7" s="189" customFormat="1" ht="45.75" customHeight="1">
      <c r="A7" s="190" t="s">
        <v>415</v>
      </c>
    </row>
    <row r="8" ht="15.75" customHeight="1">
      <c r="A8" s="1"/>
    </row>
    <row r="9" ht="46.5" customHeight="1">
      <c r="A9" s="190" t="s">
        <v>416</v>
      </c>
    </row>
    <row r="10" ht="15.75" customHeight="1"/>
    <row r="11" ht="45.75" customHeight="1">
      <c r="A11" s="190" t="s">
        <v>417</v>
      </c>
    </row>
    <row r="12" ht="15.75" customHeight="1">
      <c r="A12" s="1"/>
    </row>
    <row r="13" ht="62.25" customHeight="1">
      <c r="A13" s="190" t="s">
        <v>418</v>
      </c>
    </row>
    <row r="14" ht="15.75" customHeight="1">
      <c r="A14" s="1"/>
    </row>
    <row r="15" ht="32.25" customHeight="1">
      <c r="A15" s="190" t="s">
        <v>419</v>
      </c>
    </row>
    <row r="16" ht="15.75" customHeight="1"/>
    <row r="17" ht="67.5" customHeight="1">
      <c r="A17" s="188" t="s">
        <v>700</v>
      </c>
    </row>
    <row r="18" ht="15.75" customHeight="1"/>
    <row r="19" ht="81" customHeight="1">
      <c r="A19" s="188" t="s">
        <v>420</v>
      </c>
    </row>
    <row r="20" ht="15.75" customHeight="1">
      <c r="A20" s="1"/>
    </row>
    <row r="21" ht="78" customHeight="1">
      <c r="A21" s="190" t="s">
        <v>421</v>
      </c>
    </row>
    <row r="22" ht="15.75" customHeight="1">
      <c r="A22" s="1"/>
    </row>
    <row r="23" ht="44.25" customHeight="1">
      <c r="A23" s="190" t="s">
        <v>422</v>
      </c>
    </row>
    <row r="24" ht="15.75" customHeight="1"/>
    <row r="25" ht="53.25" customHeight="1">
      <c r="A25" s="188" t="s">
        <v>423</v>
      </c>
    </row>
    <row r="26" ht="16.5" customHeight="1">
      <c r="A26" s="1"/>
    </row>
    <row r="27" ht="40.5" customHeight="1">
      <c r="A27" s="191" t="s">
        <v>701</v>
      </c>
    </row>
    <row r="28" ht="16.5" customHeight="1">
      <c r="A28" s="1"/>
    </row>
    <row r="29" ht="69.75" customHeight="1">
      <c r="A29" s="190" t="s">
        <v>424</v>
      </c>
    </row>
    <row r="30" ht="15.75" customHeight="1">
      <c r="A30" s="1"/>
    </row>
    <row r="31" ht="58.5" customHeight="1">
      <c r="A31" s="190" t="s">
        <v>425</v>
      </c>
    </row>
    <row r="33" ht="60.75" customHeight="1">
      <c r="A33" s="190" t="s">
        <v>426</v>
      </c>
    </row>
    <row r="34" ht="15.75">
      <c r="A34" s="1"/>
    </row>
    <row r="35" ht="82.5" customHeight="1">
      <c r="A35" s="190" t="s">
        <v>427</v>
      </c>
    </row>
    <row r="36" ht="15.75">
      <c r="A36" s="187"/>
    </row>
    <row r="37" ht="15.75">
      <c r="A37" s="187"/>
    </row>
    <row r="39" ht="15.75">
      <c r="A39" s="187"/>
    </row>
    <row r="40" ht="15.75">
      <c r="A40" s="187"/>
    </row>
    <row r="42" ht="15.75">
      <c r="A42" s="1"/>
    </row>
    <row r="43" ht="15.75">
      <c r="A43" s="187"/>
    </row>
    <row r="45" ht="15.75">
      <c r="A45" s="187"/>
    </row>
    <row r="46" ht="15.75">
      <c r="A46" s="187"/>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4">
      <selection activeCell="B5" sqref="B5"/>
    </sheetView>
  </sheetViews>
  <sheetFormatPr defaultColWidth="8.796875" defaultRowHeight="15"/>
  <cols>
    <col min="1" max="1" width="18.796875" style="634" customWidth="1"/>
    <col min="2" max="2" width="14.796875" style="634" customWidth="1"/>
    <col min="3" max="3" width="0.203125" style="634" customWidth="1"/>
    <col min="4" max="8" width="11.796875" style="634" customWidth="1"/>
    <col min="9" max="16384" width="8.8984375" style="634" customWidth="1"/>
  </cols>
  <sheetData>
    <row r="1" spans="1:8" ht="14.25">
      <c r="A1" s="630" t="str">
        <f>inputPrYr!C2</f>
        <v>Wyandotte County</v>
      </c>
      <c r="B1" s="631"/>
      <c r="C1" s="631"/>
      <c r="D1" s="631"/>
      <c r="E1" s="631"/>
      <c r="F1" s="632"/>
      <c r="G1" s="632"/>
      <c r="H1" s="633">
        <f>inputPrYr!C4</f>
        <v>2012</v>
      </c>
    </row>
    <row r="2" spans="1:8" ht="14.25">
      <c r="A2" s="631"/>
      <c r="B2" s="631"/>
      <c r="C2" s="631"/>
      <c r="D2" s="631"/>
      <c r="E2" s="631"/>
      <c r="F2" s="632"/>
      <c r="G2" s="632"/>
      <c r="H2" s="635"/>
    </row>
    <row r="3" spans="1:8" ht="15">
      <c r="A3" s="803" t="s">
        <v>67</v>
      </c>
      <c r="B3" s="803"/>
      <c r="C3" s="803"/>
      <c r="D3" s="803"/>
      <c r="E3" s="803"/>
      <c r="F3" s="803"/>
      <c r="G3" s="803"/>
      <c r="H3" s="804"/>
    </row>
    <row r="4" spans="1:8" ht="15">
      <c r="A4" s="636"/>
      <c r="B4" s="636"/>
      <c r="C4" s="636"/>
      <c r="D4" s="636"/>
      <c r="E4" s="636"/>
      <c r="F4" s="636"/>
      <c r="G4" s="636"/>
      <c r="H4" s="637"/>
    </row>
    <row r="5" spans="1:8" ht="14.25">
      <c r="A5" s="638"/>
      <c r="B5" s="639"/>
      <c r="C5" s="639"/>
      <c r="D5" s="639"/>
      <c r="E5" s="639"/>
      <c r="F5" s="631"/>
      <c r="G5" s="631"/>
      <c r="H5" s="635"/>
    </row>
    <row r="6" spans="1:8" ht="21.75" customHeight="1">
      <c r="A6" s="640"/>
      <c r="B6" s="801" t="str">
        <f>CONCATENATE("Budget Tax Levy Amount for ",H1-2,"")</f>
        <v>Budget Tax Levy Amount for 2010</v>
      </c>
      <c r="C6" s="801" t="str">
        <f>CONCATENATE("Budget Tax Levy Rate for ",H1-1,"")</f>
        <v>Budget Tax Levy Rate for 2011</v>
      </c>
      <c r="D6" s="805" t="str">
        <f>CONCATENATE("Allocation for Year ",H1,"")</f>
        <v>Allocation for Year 2012</v>
      </c>
      <c r="E6" s="806"/>
      <c r="F6" s="806"/>
      <c r="G6" s="807"/>
      <c r="H6" s="635"/>
    </row>
    <row r="7" spans="1:8" ht="14.25">
      <c r="A7" s="641" t="str">
        <f>CONCATENATE("",H1-1," Budgeted Funds")</f>
        <v>2011 Budgeted Funds</v>
      </c>
      <c r="B7" s="802"/>
      <c r="C7" s="802"/>
      <c r="D7" s="642" t="s">
        <v>151</v>
      </c>
      <c r="E7" s="642" t="s">
        <v>266</v>
      </c>
      <c r="F7" s="642" t="s">
        <v>292</v>
      </c>
      <c r="G7" s="642" t="s">
        <v>357</v>
      </c>
      <c r="H7" s="635"/>
    </row>
    <row r="8" spans="1:8" ht="14.25">
      <c r="A8" s="504" t="str">
        <f>(inputPrYr!B16)</f>
        <v>General</v>
      </c>
      <c r="B8" s="643">
        <f>(inputPrYr!E16)</f>
        <v>30612738</v>
      </c>
      <c r="C8" s="644">
        <f>IF(inputPrYr!F16&gt;0,(inputPrYr!F16),"  ")</f>
        <v>27.857</v>
      </c>
      <c r="D8" s="643">
        <f>IF(inputPrYr!E16&gt;0,D19-SUM(D9:D16),0)</f>
        <v>3191627</v>
      </c>
      <c r="E8" s="643">
        <f>IF(inputPrYr!E16=0,0,E21-SUM(E9:E16))</f>
        <v>15510</v>
      </c>
      <c r="F8" s="643">
        <f>IF(inputPrYr!E16=0,0,F23-SUM(F9:F16))</f>
        <v>28370</v>
      </c>
      <c r="G8" s="643">
        <f>IF(inputPrYr!E16=0,0,G25-SUM(G9:G16))</f>
        <v>0</v>
      </c>
      <c r="H8" s="635"/>
    </row>
    <row r="9" spans="1:8" ht="14.25">
      <c r="A9" s="504" t="str">
        <f>(inputPrYr!B17)</f>
        <v>Bond and Interest</v>
      </c>
      <c r="B9" s="643">
        <f>IF(inputPrYr!E17&gt;0,inputPrYr!E17," ")</f>
        <v>897760</v>
      </c>
      <c r="C9" s="644">
        <f>IF(inputPrYr!F17&gt;0,(inputPrYr!F17),"  ")</f>
        <v>0.817</v>
      </c>
      <c r="D9" s="643">
        <f>IF(inputPrYr!$E$17&gt;0,ROUND(+B9*D$27,0)," ")</f>
        <v>93599</v>
      </c>
      <c r="E9" s="643">
        <f>IF(inputPrYr!$E$17&gt;0,ROUND(+B9*E$29,0)," ")</f>
        <v>455</v>
      </c>
      <c r="F9" s="643">
        <f>IF(inputPrYr!$E$17&gt;0,ROUND(+B9*F$31,0)," ")</f>
        <v>832</v>
      </c>
      <c r="G9" s="643">
        <f>IF(inputPrYr!$E$17&gt;0,ROUND(+B9*G$33,0)," ")</f>
        <v>0</v>
      </c>
      <c r="H9" s="635"/>
    </row>
    <row r="10" spans="1:8" ht="14.25">
      <c r="A10" s="504" t="str">
        <f>(inputPrYr!B18)</f>
        <v>County Elections</v>
      </c>
      <c r="B10" s="643">
        <f>IF(inputPrYr!E18&gt;0,inputPrYr!E18," ")</f>
        <v>941043</v>
      </c>
      <c r="C10" s="644">
        <f>IF(inputPrYr!F18&gt;0,(inputPrYr!F18),"  ")</f>
        <v>0.856</v>
      </c>
      <c r="D10" s="643">
        <f>IF(inputPrYr!$E$18&gt;0,ROUND(+B10*D$27,0)," ")</f>
        <v>98111</v>
      </c>
      <c r="E10" s="643">
        <f>IF(inputPrYr!$E$18&gt;0,ROUND(+B10*E$29,0)," ")</f>
        <v>477</v>
      </c>
      <c r="F10" s="643">
        <f>IF(inputPrYr!$E$18&gt;0,ROUND(+B10*F$31,0)," ")</f>
        <v>872</v>
      </c>
      <c r="G10" s="643">
        <f>IF(inputPrYr!$E$18&gt;0,ROUND(+B10*G$33,0)," ")</f>
        <v>0</v>
      </c>
      <c r="H10" s="635"/>
    </row>
    <row r="11" spans="1:8" ht="14.25">
      <c r="A11" s="504" t="str">
        <f>IF((inputPrYr!$B19&gt;" "),(inputPrYr!$B19),"  ")</f>
        <v>Aging</v>
      </c>
      <c r="B11" s="643">
        <f>IF(inputPrYr!E19&gt;0,inputPrYr!E19,"  ")</f>
        <v>996980</v>
      </c>
      <c r="C11" s="644">
        <f>IF(inputPrYr!F19&gt;0,(inputPrYr!F19),"  ")</f>
        <v>0.907</v>
      </c>
      <c r="D11" s="643">
        <f>IF(inputPrYr!E19&gt;0,ROUND(+B11*D$27,0),"  ")</f>
        <v>103943</v>
      </c>
      <c r="E11" s="643">
        <f>IF(inputPrYr!E19&gt;0,ROUND(+B11*E$29,0),"  ")</f>
        <v>505</v>
      </c>
      <c r="F11" s="643">
        <f>IF(inputPrYr!E19&gt;0,ROUND(+B11*F$31,0),"  ")</f>
        <v>924</v>
      </c>
      <c r="G11" s="643">
        <f>IF(inputPrYr!$E$19&gt;0,ROUND(+B11*G$33,0)," ")</f>
        <v>0</v>
      </c>
      <c r="H11" s="635"/>
    </row>
    <row r="12" spans="1:8" ht="14.25">
      <c r="A12" s="504" t="str">
        <f>IF((inputPrYr!$B20&gt;" "),(inputPrYr!$B20),"  ")</f>
        <v>Mental Health</v>
      </c>
      <c r="B12" s="643">
        <f>IF(inputPrYr!E20&gt;0,inputPrYr!E20,"  ")</f>
        <v>365230</v>
      </c>
      <c r="C12" s="644">
        <f>IF(inputPrYr!F20&gt;0,(inputPrYr!F20),"  ")</f>
        <v>0.332</v>
      </c>
      <c r="D12" s="643">
        <f>IF(inputPrYr!E20&gt;0,ROUND(+B12*D$27,0),"  ")</f>
        <v>38078</v>
      </c>
      <c r="E12" s="643">
        <f>IF(inputPrYr!E20&gt;0,ROUND(+B12*E$29,0),"  ")</f>
        <v>185</v>
      </c>
      <c r="F12" s="643">
        <f>IF(inputPrYr!E20&gt;0,ROUND(+B12*F$31,0),"  ")</f>
        <v>338</v>
      </c>
      <c r="G12" s="643">
        <f>IF(inputPrYr!$E$20&gt;0,ROUND(+B12*G$33,0)," ")</f>
        <v>0</v>
      </c>
      <c r="H12" s="635"/>
    </row>
    <row r="13" spans="1:8" ht="14.25">
      <c r="A13" s="504" t="str">
        <f>IF((inputPrYr!$B21&gt;" "),(inputPrYr!$B21),"  ")</f>
        <v>Developmental Disabilities</v>
      </c>
      <c r="B13" s="643">
        <f>IF(inputPrYr!E21&gt;0,inputPrYr!E21,"  ")</f>
        <v>345488</v>
      </c>
      <c r="C13" s="644">
        <f>IF(inputPrYr!F21&gt;0,(inputPrYr!F21),"  ")</f>
        <v>0.314</v>
      </c>
      <c r="D13" s="643">
        <f>IF(inputPrYr!E21&gt;0,ROUND(+B13*D$27,0),"  ")</f>
        <v>36020</v>
      </c>
      <c r="E13" s="643">
        <f>IF(inputPrYr!E21&gt;0,ROUND(+B13*E$29,0),"  ")</f>
        <v>175</v>
      </c>
      <c r="F13" s="643">
        <f>IF(inputPrYr!E21&gt;0,ROUND(+B13*F$31,0),"  ")</f>
        <v>320</v>
      </c>
      <c r="G13" s="643">
        <f>IF(inputPrYr!$E$21&gt;0,ROUND(+B13*G$33,0)," ")</f>
        <v>0</v>
      </c>
      <c r="H13" s="635"/>
    </row>
    <row r="14" spans="1:8" ht="14.25">
      <c r="A14" s="504" t="str">
        <f>IF((inputPrYr!$B22&gt;" "),(inputPrYr!$B22),"  ")</f>
        <v>County Health</v>
      </c>
      <c r="B14" s="643">
        <f>IF(inputPrYr!E22&gt;0,inputPrYr!E22,"  ")</f>
        <v>1680279</v>
      </c>
      <c r="C14" s="644">
        <f>IF(inputPrYr!F22&gt;0,(inputPrYr!F22),"  ")</f>
        <v>1.529</v>
      </c>
      <c r="D14" s="643">
        <f>IF(inputPrYr!E22&gt;0,ROUND(+B14*D$27,0),"  ")</f>
        <v>175183</v>
      </c>
      <c r="E14" s="643">
        <f>IF(inputPrYr!E22&gt;0,ROUND(+B14*E$29,0),"  ")</f>
        <v>851</v>
      </c>
      <c r="F14" s="643">
        <f>IF(inputPrYr!E22&gt;0,ROUND(+B14*F$31,0),"  ")</f>
        <v>1557</v>
      </c>
      <c r="G14" s="643">
        <f>IF(inputPrYr!$E$22&gt;0,ROUND(+B14*G$33,0)," ")</f>
        <v>0</v>
      </c>
      <c r="H14" s="635"/>
    </row>
    <row r="15" spans="1:8" ht="14.25">
      <c r="A15" s="504" t="str">
        <f>IF((inputPrYr!$B23&gt;" "),(inputPrYr!$B23),"  ")</f>
        <v>County Initiative for Funding Infrastructure</v>
      </c>
      <c r="B15" s="643">
        <v>0</v>
      </c>
      <c r="C15" s="644" t="str">
        <f>IF(inputPrYr!F23&gt;0,(inputPrYr!F23),"  ")</f>
        <v>  </v>
      </c>
      <c r="D15" s="643" t="str">
        <f>IF(inputPrYr!E23&gt;0,ROUND(+B15*D$27,0),"  ")</f>
        <v>  </v>
      </c>
      <c r="E15" s="643" t="str">
        <f>IF(inputPrYr!E23&gt;0,ROUND(+B15*E$29,0),"  ")</f>
        <v>  </v>
      </c>
      <c r="F15" s="643" t="str">
        <f>IF(inputPrYr!E23&gt;0,ROUND(+B15*F$31,0),"  ")</f>
        <v>  </v>
      </c>
      <c r="G15" s="643" t="str">
        <f>IF(inputPrYr!$E$23&gt;0,ROUND(+B15*G$33,0)," ")</f>
        <v> </v>
      </c>
      <c r="H15" s="635"/>
    </row>
    <row r="16" spans="1:8" ht="14.25">
      <c r="A16" s="504" t="str">
        <f>IF((inputPrYr!$B24&gt;" "),(inputPrYr!$B24),"  ")</f>
        <v>Consolidated Parks General Fund</v>
      </c>
      <c r="B16" s="643">
        <f>IF(inputPrYr!E24&gt;0,inputPrYr!E24,"  ")</f>
        <v>1608874</v>
      </c>
      <c r="C16" s="644">
        <f>IF(inputPrYr!F24&gt;0,(inputPrYr!F24),"  ")</f>
        <v>1.464</v>
      </c>
      <c r="D16" s="643">
        <f>IF(inputPrYr!E24&gt;0,ROUND(+B16*D$27,0),"  ")</f>
        <v>167738</v>
      </c>
      <c r="E16" s="643">
        <f>IF(inputPrYr!E24&gt;0,ROUND(+B16*E$29,0),"  ")</f>
        <v>815</v>
      </c>
      <c r="F16" s="643">
        <f>IF(inputPrYr!E24&gt;0,ROUND(+B16*F$31,0),"  ")</f>
        <v>1491</v>
      </c>
      <c r="G16" s="643">
        <f>IF(inputPrYr!$E$24&gt;0,ROUND(+B16*G$33,0)," ")</f>
        <v>0</v>
      </c>
      <c r="H16" s="635"/>
    </row>
    <row r="17" spans="1:8" ht="15" thickBot="1">
      <c r="A17" s="288" t="s">
        <v>147</v>
      </c>
      <c r="B17" s="645">
        <f aca="true" t="shared" si="0" ref="B17:G17">SUM(B8:B16)</f>
        <v>37448392</v>
      </c>
      <c r="C17" s="646">
        <f t="shared" si="0"/>
        <v>34.076</v>
      </c>
      <c r="D17" s="645">
        <f t="shared" si="0"/>
        <v>3904299</v>
      </c>
      <c r="E17" s="645">
        <f t="shared" si="0"/>
        <v>18973</v>
      </c>
      <c r="F17" s="645">
        <f t="shared" si="0"/>
        <v>34704</v>
      </c>
      <c r="G17" s="645">
        <f t="shared" si="0"/>
        <v>0</v>
      </c>
      <c r="H17" s="635"/>
    </row>
    <row r="18" spans="1:8" ht="15" thickTop="1">
      <c r="A18" s="647"/>
      <c r="B18" s="648"/>
      <c r="C18" s="649"/>
      <c r="D18" s="648"/>
      <c r="E18" s="648"/>
      <c r="F18" s="648"/>
      <c r="G18" s="648"/>
      <c r="H18" s="635"/>
    </row>
    <row r="19" spans="1:8" ht="14.25">
      <c r="A19" s="650" t="s">
        <v>148</v>
      </c>
      <c r="B19" s="651"/>
      <c r="C19" s="651"/>
      <c r="D19" s="652">
        <f>(inputOth!E15)</f>
        <v>3904299</v>
      </c>
      <c r="E19" s="651"/>
      <c r="F19" s="653"/>
      <c r="G19" s="653"/>
      <c r="H19" s="654"/>
    </row>
    <row r="20" spans="1:8" ht="14.25">
      <c r="A20" s="650"/>
      <c r="B20" s="651"/>
      <c r="C20" s="651"/>
      <c r="D20" s="648"/>
      <c r="E20" s="651"/>
      <c r="F20" s="653"/>
      <c r="G20" s="653"/>
      <c r="H20" s="654"/>
    </row>
    <row r="21" spans="1:8" ht="14.25">
      <c r="A21" s="650" t="s">
        <v>149</v>
      </c>
      <c r="B21" s="653"/>
      <c r="C21" s="653"/>
      <c r="D21" s="653"/>
      <c r="E21" s="652">
        <f>(inputOth!E16)</f>
        <v>18973</v>
      </c>
      <c r="F21" s="653"/>
      <c r="G21" s="653"/>
      <c r="H21" s="654"/>
    </row>
    <row r="22" spans="1:8" ht="14.25">
      <c r="A22" s="650"/>
      <c r="B22" s="653"/>
      <c r="C22" s="653"/>
      <c r="D22" s="653"/>
      <c r="E22" s="648"/>
      <c r="F22" s="653"/>
      <c r="G22" s="653"/>
      <c r="H22" s="654"/>
    </row>
    <row r="23" spans="1:8" ht="14.25">
      <c r="A23" s="650" t="s">
        <v>267</v>
      </c>
      <c r="B23" s="653"/>
      <c r="C23" s="653"/>
      <c r="D23" s="653"/>
      <c r="E23" s="653"/>
      <c r="F23" s="652">
        <f>inputOth!E17</f>
        <v>34704</v>
      </c>
      <c r="G23" s="648"/>
      <c r="H23" s="654"/>
    </row>
    <row r="24" spans="1:8" ht="14.25">
      <c r="A24" s="631"/>
      <c r="B24" s="653"/>
      <c r="C24" s="653"/>
      <c r="D24" s="653"/>
      <c r="E24" s="653"/>
      <c r="F24" s="653"/>
      <c r="G24" s="653"/>
      <c r="H24" s="654"/>
    </row>
    <row r="25" spans="1:8" ht="14.25">
      <c r="A25" s="631" t="s">
        <v>58</v>
      </c>
      <c r="B25" s="653"/>
      <c r="C25" s="653"/>
      <c r="D25" s="653"/>
      <c r="E25" s="653"/>
      <c r="F25" s="653"/>
      <c r="G25" s="655">
        <f>inputOth!E20</f>
        <v>0</v>
      </c>
      <c r="H25" s="654"/>
    </row>
    <row r="26" spans="1:8" ht="14.25">
      <c r="A26" s="631"/>
      <c r="B26" s="653"/>
      <c r="C26" s="653"/>
      <c r="D26" s="653"/>
      <c r="E26" s="653"/>
      <c r="F26" s="653"/>
      <c r="G26" s="653"/>
      <c r="H26" s="654"/>
    </row>
    <row r="27" spans="1:8" ht="14.25">
      <c r="A27" s="650" t="s">
        <v>150</v>
      </c>
      <c r="B27" s="653"/>
      <c r="C27" s="653"/>
      <c r="D27" s="656">
        <f>IF(B17=0,0,D19/B17)</f>
        <v>0.10425812141680209</v>
      </c>
      <c r="E27" s="653"/>
      <c r="F27" s="653"/>
      <c r="G27" s="653"/>
      <c r="H27" s="654"/>
    </row>
    <row r="28" spans="1:8" ht="14.25">
      <c r="A28" s="650"/>
      <c r="B28" s="653"/>
      <c r="C28" s="653"/>
      <c r="D28" s="657"/>
      <c r="E28" s="653"/>
      <c r="F28" s="653"/>
      <c r="G28" s="653"/>
      <c r="H28" s="654"/>
    </row>
    <row r="29" spans="1:8" ht="14.25">
      <c r="A29" s="650" t="s">
        <v>328</v>
      </c>
      <c r="B29" s="653"/>
      <c r="C29" s="653"/>
      <c r="D29" s="653"/>
      <c r="E29" s="656">
        <f>IF(B17=0,0,E21/B17)</f>
        <v>0.0005066439167801918</v>
      </c>
      <c r="F29" s="653"/>
      <c r="G29" s="653"/>
      <c r="H29" s="654"/>
    </row>
    <row r="30" spans="1:8" ht="14.25">
      <c r="A30" s="650"/>
      <c r="B30" s="653"/>
      <c r="C30" s="653"/>
      <c r="D30" s="653"/>
      <c r="E30" s="657"/>
      <c r="F30" s="653"/>
      <c r="G30" s="653"/>
      <c r="H30" s="654"/>
    </row>
    <row r="31" spans="1:8" ht="14.25">
      <c r="A31" s="650" t="s">
        <v>327</v>
      </c>
      <c r="B31" s="653"/>
      <c r="C31" s="653"/>
      <c r="D31" s="653"/>
      <c r="E31" s="653"/>
      <c r="F31" s="656">
        <f>IF(B17=0,0,F23/B17)</f>
        <v>0.0009267153580319283</v>
      </c>
      <c r="G31" s="657"/>
      <c r="H31" s="654"/>
    </row>
    <row r="32" spans="1:8" ht="14.25">
      <c r="A32" s="635"/>
      <c r="B32" s="654"/>
      <c r="C32" s="654"/>
      <c r="D32" s="654"/>
      <c r="E32" s="654"/>
      <c r="F32" s="654"/>
      <c r="G32" s="654"/>
      <c r="H32" s="654"/>
    </row>
    <row r="33" spans="1:8" ht="14.25">
      <c r="A33" s="635"/>
      <c r="B33" s="654"/>
      <c r="C33" s="654"/>
      <c r="D33" s="654"/>
      <c r="E33" s="654" t="s">
        <v>59</v>
      </c>
      <c r="F33" s="654"/>
      <c r="G33" s="656">
        <f>IF(B17=0,0,G25/B17)</f>
        <v>0</v>
      </c>
      <c r="H33" s="654"/>
    </row>
    <row r="34" spans="1:8" ht="14.25">
      <c r="A34" s="635"/>
      <c r="B34" s="654"/>
      <c r="C34" s="654"/>
      <c r="D34" s="654"/>
      <c r="E34" s="654"/>
      <c r="F34" s="654"/>
      <c r="G34" s="654"/>
      <c r="H34" s="654"/>
    </row>
  </sheetData>
  <sheetProtection/>
  <mergeCells count="4">
    <mergeCell ref="B6:B7"/>
    <mergeCell ref="C6:C7"/>
    <mergeCell ref="A3:H3"/>
    <mergeCell ref="D6:G6"/>
  </mergeCells>
  <printOptions/>
  <pageMargins left="1.5" right="0.75" top="0.25" bottom="0.18" header="0" footer="0"/>
  <pageSetup blackAndWhite="1" firstPageNumber="3" useFirstPageNumber="1" fitToHeight="1" fitToWidth="1" horizontalDpi="600" verticalDpi="600" orientation="landscape" scale="94" r:id="rId1"/>
  <headerFooter alignWithMargins="0">
    <oddHeader>&amp;RState of Kansas
County</oddHeader>
    <oddFooter>&amp;C&amp;"Arial,Regular"&amp;11WY - &amp;P</oddFooter>
  </headerFooter>
</worksheet>
</file>

<file path=xl/worksheets/sheet30.xml><?xml version="1.0" encoding="utf-8"?>
<worksheet xmlns="http://schemas.openxmlformats.org/spreadsheetml/2006/main" xmlns:r="http://schemas.openxmlformats.org/officeDocument/2006/relationships">
  <dimension ref="A1:H57"/>
  <sheetViews>
    <sheetView zoomScalePageLayoutView="0" workbookViewId="0" topLeftCell="A1">
      <selection activeCell="A41" sqref="A41"/>
    </sheetView>
  </sheetViews>
  <sheetFormatPr defaultColWidth="9.796875" defaultRowHeight="15"/>
  <cols>
    <col min="1" max="16384" width="9.796875" style="9" customWidth="1"/>
  </cols>
  <sheetData>
    <row r="1" spans="1:8" ht="11.25" customHeight="1">
      <c r="A1" s="5"/>
      <c r="B1" s="6"/>
      <c r="C1" s="6"/>
      <c r="D1" s="6"/>
      <c r="E1" s="6"/>
      <c r="F1" s="6"/>
      <c r="G1" s="7"/>
      <c r="H1" s="8"/>
    </row>
    <row r="2" spans="1:8" ht="15.75" customHeight="1">
      <c r="A2" s="870" t="s">
        <v>317</v>
      </c>
      <c r="B2" s="870"/>
      <c r="C2" s="870"/>
      <c r="D2" s="870"/>
      <c r="E2" s="870"/>
      <c r="F2" s="870"/>
      <c r="G2" s="870"/>
      <c r="H2" s="870"/>
    </row>
    <row r="3" spans="1:8" ht="9" customHeight="1">
      <c r="A3" s="5"/>
      <c r="B3" s="20"/>
      <c r="C3" s="20"/>
      <c r="D3" s="20"/>
      <c r="E3" s="20"/>
      <c r="F3" s="20"/>
      <c r="G3" s="10"/>
      <c r="H3" s="21"/>
    </row>
    <row r="4" spans="1:8" ht="15.75" customHeight="1">
      <c r="A4" s="871" t="s">
        <v>318</v>
      </c>
      <c r="B4" s="871"/>
      <c r="C4" s="871"/>
      <c r="D4" s="871"/>
      <c r="E4" s="871"/>
      <c r="F4" s="871"/>
      <c r="G4" s="871"/>
      <c r="H4" s="871"/>
    </row>
    <row r="5" spans="1:8" ht="9" customHeight="1">
      <c r="A5" s="11"/>
      <c r="B5" s="20"/>
      <c r="C5" s="20"/>
      <c r="D5" s="20"/>
      <c r="E5" s="20"/>
      <c r="F5" s="20"/>
      <c r="G5" s="20"/>
      <c r="H5" s="21"/>
    </row>
    <row r="6" spans="1:8" ht="15.75" customHeight="1">
      <c r="A6" s="12" t="str">
        <f>CONCATENATE("A resolution expressing the property taxation policy of the Board of ",(inputPrYr!C2)," Commissioners")</f>
        <v>A resolution expressing the property taxation policy of the Board of Wyandotte County Commissioners</v>
      </c>
      <c r="B6" s="20"/>
      <c r="C6" s="20"/>
      <c r="D6" s="20"/>
      <c r="E6" s="20"/>
      <c r="F6" s="20"/>
      <c r="G6" s="20"/>
      <c r="H6" s="21"/>
    </row>
    <row r="7" spans="1:8" ht="15.75" customHeight="1">
      <c r="A7" s="12" t="str">
        <f>CONCATENATE("with respect to financing the ",inputPrYr!C4," annual budget for ",(inputPrYr!E2)," .")</f>
        <v>with respect to financing the 2012 annual budget for  .</v>
      </c>
      <c r="B7" s="20"/>
      <c r="C7" s="20"/>
      <c r="D7" s="20"/>
      <c r="E7" s="20"/>
      <c r="F7" s="20"/>
      <c r="G7" s="20"/>
      <c r="H7" s="21"/>
    </row>
    <row r="8" spans="1:8" ht="9" customHeight="1">
      <c r="A8" s="5"/>
      <c r="B8" s="20"/>
      <c r="C8" s="20"/>
      <c r="D8" s="20"/>
      <c r="E8" s="20"/>
      <c r="F8" s="20"/>
      <c r="G8" s="20"/>
      <c r="H8" s="21"/>
    </row>
    <row r="9" spans="1:8" ht="15.75" customHeight="1">
      <c r="A9" s="13" t="str">
        <f>CONCATENATE("Whereas, K.S.A. 79-2925b provides that a resolution be adopted if property taxes levied to finance the ",inputPrYr!C4,"")</f>
        <v>Whereas, K.S.A. 79-2925b provides that a resolution be adopted if property taxes levied to finance the 2012</v>
      </c>
      <c r="B9" s="20"/>
      <c r="C9" s="20"/>
      <c r="D9" s="20"/>
      <c r="E9" s="20"/>
      <c r="F9" s="20"/>
      <c r="G9" s="20"/>
      <c r="H9" s="21"/>
    </row>
    <row r="10" spans="1:8" ht="15.75" customHeight="1">
      <c r="A10" s="873" t="str">
        <f>CONCATENATE("",(inputPrYr!C2)," budget exceed the amount levied to finance the ",inputPrYr!C4-1," ",(inputPrYr!C2)," ",A16,)</f>
        <v>Wyandotte County budget exceed the amount levied to finance the 2011 Wyandotte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73"/>
      <c r="C10" s="873"/>
      <c r="D10" s="873"/>
      <c r="E10" s="873"/>
      <c r="F10" s="873"/>
      <c r="G10" s="873"/>
      <c r="H10" s="873"/>
    </row>
    <row r="11" spans="1:8" ht="15.75" customHeight="1">
      <c r="A11" s="873"/>
      <c r="B11" s="873"/>
      <c r="C11" s="873"/>
      <c r="D11" s="873"/>
      <c r="E11" s="873"/>
      <c r="F11" s="873"/>
      <c r="G11" s="873"/>
      <c r="H11" s="873"/>
    </row>
    <row r="12" spans="1:8" ht="15.75" customHeight="1">
      <c r="A12" s="873"/>
      <c r="B12" s="873"/>
      <c r="C12" s="873"/>
      <c r="D12" s="873"/>
      <c r="E12" s="873"/>
      <c r="F12" s="873"/>
      <c r="G12" s="873"/>
      <c r="H12" s="873"/>
    </row>
    <row r="13" spans="1:8" ht="15.75" customHeight="1">
      <c r="A13" s="873"/>
      <c r="B13" s="873"/>
      <c r="C13" s="873"/>
      <c r="D13" s="873"/>
      <c r="E13" s="873"/>
      <c r="F13" s="873"/>
      <c r="G13" s="873"/>
      <c r="H13" s="873"/>
    </row>
    <row r="14" spans="1:8" ht="15.75" customHeight="1">
      <c r="A14" s="873"/>
      <c r="B14" s="873"/>
      <c r="C14" s="873"/>
      <c r="D14" s="873"/>
      <c r="E14" s="873"/>
      <c r="F14" s="873"/>
      <c r="G14" s="873"/>
      <c r="H14" s="873"/>
    </row>
    <row r="15" spans="1:8" ht="15.75" customHeight="1">
      <c r="A15" s="873"/>
      <c r="B15" s="873"/>
      <c r="C15" s="873"/>
      <c r="D15" s="873"/>
      <c r="E15" s="873"/>
      <c r="F15" s="873"/>
      <c r="G15" s="873"/>
      <c r="H15" s="873"/>
    </row>
    <row r="16" spans="1:8" ht="9" customHeight="1">
      <c r="A16" s="22" t="s">
        <v>345</v>
      </c>
      <c r="B16" s="20"/>
      <c r="C16" s="20"/>
      <c r="D16" s="20"/>
      <c r="E16" s="20"/>
      <c r="F16" s="20"/>
      <c r="G16" s="20"/>
      <c r="H16" s="21" t="s">
        <v>217</v>
      </c>
    </row>
    <row r="17" spans="1:8" ht="15.75" customHeight="1">
      <c r="A17" s="873" t="s">
        <v>319</v>
      </c>
      <c r="B17" s="873"/>
      <c r="C17" s="873"/>
      <c r="D17" s="873"/>
      <c r="E17" s="873"/>
      <c r="F17" s="873"/>
      <c r="G17" s="873"/>
      <c r="H17" s="873"/>
    </row>
    <row r="18" spans="1:8" ht="15.75" customHeight="1">
      <c r="A18" s="873"/>
      <c r="B18" s="873"/>
      <c r="C18" s="873"/>
      <c r="D18" s="873"/>
      <c r="E18" s="873"/>
      <c r="F18" s="873"/>
      <c r="G18" s="873"/>
      <c r="H18" s="873"/>
    </row>
    <row r="19" spans="1:8" ht="9" customHeight="1">
      <c r="A19" s="11"/>
      <c r="B19" s="20"/>
      <c r="C19" s="20"/>
      <c r="D19" s="20"/>
      <c r="E19" s="20"/>
      <c r="F19" s="20"/>
      <c r="G19" s="20"/>
      <c r="H19" s="21"/>
    </row>
    <row r="20" spans="1:8" ht="15.75" customHeight="1">
      <c r="A20" s="873" t="str">
        <f>CONCATENATE("Whereas, ",(inputPrYr!C2)," provides the essential services to protect the health, safety, and well being of the citizens of the county; and")</f>
        <v>Whereas, Wyandotte County provides the essential services to protect the health, safety, and well being of the citizens of the county; and</v>
      </c>
      <c r="B20" s="873"/>
      <c r="C20" s="873"/>
      <c r="D20" s="873"/>
      <c r="E20" s="873"/>
      <c r="F20" s="873"/>
      <c r="G20" s="873"/>
      <c r="H20" s="873"/>
    </row>
    <row r="21" spans="1:8" ht="15.75" customHeight="1">
      <c r="A21" s="873"/>
      <c r="B21" s="873"/>
      <c r="C21" s="873"/>
      <c r="D21" s="873"/>
      <c r="E21" s="873"/>
      <c r="F21" s="873"/>
      <c r="G21" s="873"/>
      <c r="H21" s="873"/>
    </row>
    <row r="22" spans="1:8" ht="9" customHeight="1">
      <c r="A22" s="14"/>
      <c r="B22" s="20"/>
      <c r="C22" s="20"/>
      <c r="D22" s="20"/>
      <c r="E22" s="20"/>
      <c r="F22" s="20"/>
      <c r="G22" s="20"/>
      <c r="H22" s="21"/>
    </row>
    <row r="23" spans="1:8" ht="15.75" customHeight="1">
      <c r="A23" s="14" t="s">
        <v>320</v>
      </c>
      <c r="B23" s="20"/>
      <c r="C23" s="20"/>
      <c r="D23" s="20"/>
      <c r="E23" s="20"/>
      <c r="F23" s="20"/>
      <c r="G23" s="20"/>
      <c r="H23" s="21"/>
    </row>
    <row r="24" spans="1:8" ht="9" customHeight="1">
      <c r="A24" s="11"/>
      <c r="B24" s="20"/>
      <c r="C24" s="20"/>
      <c r="D24" s="20"/>
      <c r="E24" s="20"/>
      <c r="F24" s="20"/>
      <c r="G24" s="20"/>
      <c r="H24" s="21"/>
    </row>
    <row r="25" spans="1:8" ht="15.75" customHeight="1">
      <c r="A25" s="873" t="str">
        <f>CONCATENATE("Whereas, the ",inputPrYr!C4-1," Kansas State Legislature failed to fulfill its obligations in regard to the statutory funding of demand transfers and, by significantly ",A28," ",(inputPrYr!C2),B28)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Wyandotte County budget.</v>
      </c>
      <c r="B25" s="873"/>
      <c r="C25" s="873"/>
      <c r="D25" s="873"/>
      <c r="E25" s="873"/>
      <c r="F25" s="873"/>
      <c r="G25" s="873"/>
      <c r="H25" s="873"/>
    </row>
    <row r="26" spans="1:8" ht="15.75" customHeight="1">
      <c r="A26" s="873"/>
      <c r="B26" s="873"/>
      <c r="C26" s="873"/>
      <c r="D26" s="873"/>
      <c r="E26" s="873"/>
      <c r="F26" s="873"/>
      <c r="G26" s="873"/>
      <c r="H26" s="873"/>
    </row>
    <row r="27" spans="1:8" ht="15.75" customHeight="1">
      <c r="A27" s="873"/>
      <c r="B27" s="873"/>
      <c r="C27" s="873"/>
      <c r="D27" s="873"/>
      <c r="E27" s="873"/>
      <c r="F27" s="873"/>
      <c r="G27" s="873"/>
      <c r="H27" s="873"/>
    </row>
    <row r="28" spans="1:8" ht="9" customHeight="1">
      <c r="A28" s="15"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8" s="23" t="s">
        <v>346</v>
      </c>
      <c r="C28" s="2"/>
      <c r="D28" s="2"/>
      <c r="E28" s="2"/>
      <c r="F28" s="2"/>
      <c r="G28" s="2"/>
      <c r="H28" s="24"/>
    </row>
    <row r="29" spans="1:8" ht="15.75" customHeight="1">
      <c r="A29" s="873"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Wyandotte County Commissioners that is our desire to notify the public of the possibility of increased property taxes to finance the 2012 Wyandotte County budget due to the above mentioned constraints, and that all persons are invited and encouraged to attend budget meeting conducted by the Board of Wyandotte County Commissioners.  The date and time of budget hearings with the Board of Wyandotte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73"/>
      <c r="C29" s="873"/>
      <c r="D29" s="873"/>
      <c r="E29" s="873"/>
      <c r="F29" s="873"/>
      <c r="G29" s="873"/>
      <c r="H29" s="873"/>
    </row>
    <row r="30" spans="1:8" ht="15.75" customHeight="1">
      <c r="A30" s="873"/>
      <c r="B30" s="873"/>
      <c r="C30" s="873"/>
      <c r="D30" s="873"/>
      <c r="E30" s="873"/>
      <c r="F30" s="873"/>
      <c r="G30" s="873"/>
      <c r="H30" s="873"/>
    </row>
    <row r="31" spans="1:8" ht="15.75" customHeight="1">
      <c r="A31" s="873"/>
      <c r="B31" s="873"/>
      <c r="C31" s="873"/>
      <c r="D31" s="873"/>
      <c r="E31" s="873"/>
      <c r="F31" s="873"/>
      <c r="G31" s="873"/>
      <c r="H31" s="873"/>
    </row>
    <row r="32" spans="1:8" ht="15.75" customHeight="1">
      <c r="A32" s="873"/>
      <c r="B32" s="873"/>
      <c r="C32" s="873"/>
      <c r="D32" s="873"/>
      <c r="E32" s="873"/>
      <c r="F32" s="873"/>
      <c r="G32" s="873"/>
      <c r="H32" s="873"/>
    </row>
    <row r="33" spans="1:8" ht="15.75" customHeight="1">
      <c r="A33" s="873"/>
      <c r="B33" s="873"/>
      <c r="C33" s="873"/>
      <c r="D33" s="873"/>
      <c r="E33" s="873"/>
      <c r="F33" s="873"/>
      <c r="G33" s="873"/>
      <c r="H33" s="873"/>
    </row>
    <row r="34" spans="1:8" ht="15.75" customHeight="1">
      <c r="A34" s="873"/>
      <c r="B34" s="873"/>
      <c r="C34" s="873"/>
      <c r="D34" s="873"/>
      <c r="E34" s="873"/>
      <c r="F34" s="873"/>
      <c r="G34" s="873"/>
      <c r="H34" s="873"/>
    </row>
    <row r="35" spans="1:8" ht="15.75" customHeight="1">
      <c r="A35" s="873"/>
      <c r="B35" s="873"/>
      <c r="C35" s="873"/>
      <c r="D35" s="873"/>
      <c r="E35" s="873"/>
      <c r="F35" s="873"/>
      <c r="G35" s="873"/>
      <c r="H35" s="873"/>
    </row>
    <row r="36" spans="1:8" ht="15.75" customHeight="1">
      <c r="A36" s="873"/>
      <c r="B36" s="873"/>
      <c r="C36" s="873"/>
      <c r="D36" s="873"/>
      <c r="E36" s="873"/>
      <c r="F36" s="873"/>
      <c r="G36" s="873"/>
      <c r="H36" s="873"/>
    </row>
    <row r="37" spans="1:8" ht="15.75" customHeight="1">
      <c r="A37" s="873"/>
      <c r="B37" s="873"/>
      <c r="C37" s="873"/>
      <c r="D37" s="873"/>
      <c r="E37" s="873"/>
      <c r="F37" s="873"/>
      <c r="G37" s="873"/>
      <c r="H37" s="873"/>
    </row>
    <row r="38" spans="1:8" ht="15.75" customHeight="1">
      <c r="A38" s="16" t="s">
        <v>353</v>
      </c>
      <c r="B38" s="2"/>
      <c r="C38" s="2"/>
      <c r="D38" s="2"/>
      <c r="E38" s="2"/>
      <c r="F38" s="2"/>
      <c r="G38" s="2"/>
      <c r="H38" s="24" t="s">
        <v>217</v>
      </c>
    </row>
    <row r="39" spans="1:8" ht="15.75" customHeight="1">
      <c r="A39" s="872" t="str">
        <f>CONCATENATE("                                                 Adopted this _________ day of ___________, ",inputPrYr!C4-1," by the Board of ",(inputPrYr!C2)," Commissioners.")</f>
        <v>                                                 Adopted this _________ day of ___________, 2011 by the Board of Wyandotte County Commissioners.</v>
      </c>
      <c r="B39" s="872"/>
      <c r="C39" s="872"/>
      <c r="D39" s="872"/>
      <c r="E39" s="872"/>
      <c r="F39" s="872"/>
      <c r="G39" s="872"/>
      <c r="H39" s="872"/>
    </row>
    <row r="40" spans="1:8" ht="15.75" customHeight="1">
      <c r="A40" s="872"/>
      <c r="B40" s="872"/>
      <c r="C40" s="872"/>
      <c r="D40" s="872"/>
      <c r="E40" s="872"/>
      <c r="F40" s="872"/>
      <c r="G40" s="872"/>
      <c r="H40" s="872"/>
    </row>
    <row r="41" spans="1:8" ht="15.75" customHeight="1">
      <c r="A41" s="2"/>
      <c r="B41" s="2"/>
      <c r="C41" s="2"/>
      <c r="D41" s="2"/>
      <c r="E41" s="869" t="s">
        <v>321</v>
      </c>
      <c r="F41" s="869"/>
      <c r="G41" s="869"/>
      <c r="H41" s="869"/>
    </row>
    <row r="42" spans="1:8" ht="15.75" customHeight="1">
      <c r="A42" s="17"/>
      <c r="B42" s="2"/>
      <c r="C42" s="2"/>
      <c r="D42" s="2"/>
      <c r="E42" s="869"/>
      <c r="F42" s="869"/>
      <c r="G42" s="869"/>
      <c r="H42" s="869"/>
    </row>
    <row r="43" spans="1:8" ht="15.75" customHeight="1">
      <c r="A43" s="2"/>
      <c r="B43" s="2"/>
      <c r="C43" s="2"/>
      <c r="D43" s="2"/>
      <c r="E43" s="869" t="s">
        <v>322</v>
      </c>
      <c r="F43" s="869"/>
      <c r="G43" s="869"/>
      <c r="H43" s="869"/>
    </row>
    <row r="44" spans="1:8" ht="15.75" customHeight="1">
      <c r="A44" s="17"/>
      <c r="B44" s="2"/>
      <c r="C44" s="2"/>
      <c r="D44" s="2"/>
      <c r="E44" s="869"/>
      <c r="F44" s="869"/>
      <c r="G44" s="869"/>
      <c r="H44" s="869"/>
    </row>
    <row r="45" spans="1:8" ht="15.75" customHeight="1">
      <c r="A45" s="2"/>
      <c r="B45" s="2"/>
      <c r="C45" s="2"/>
      <c r="D45" s="2"/>
      <c r="E45" s="869" t="s">
        <v>322</v>
      </c>
      <c r="F45" s="869"/>
      <c r="G45" s="869"/>
      <c r="H45" s="869"/>
    </row>
    <row r="46" spans="1:8" ht="15.75" customHeight="1">
      <c r="A46" s="17"/>
      <c r="B46" s="2"/>
      <c r="C46" s="2"/>
      <c r="D46" s="2"/>
      <c r="E46" s="869"/>
      <c r="F46" s="869"/>
      <c r="G46" s="869"/>
      <c r="H46" s="869"/>
    </row>
    <row r="47" spans="1:8" ht="15.75" customHeight="1">
      <c r="A47" s="2"/>
      <c r="B47" s="2"/>
      <c r="C47" s="2"/>
      <c r="D47" s="2"/>
      <c r="E47" s="869" t="s">
        <v>322</v>
      </c>
      <c r="F47" s="869"/>
      <c r="G47" s="869"/>
      <c r="H47" s="869"/>
    </row>
    <row r="48" spans="1:8" ht="15.75" customHeight="1">
      <c r="A48" s="17"/>
      <c r="B48" s="2"/>
      <c r="C48" s="2"/>
      <c r="D48" s="2"/>
      <c r="E48" s="2"/>
      <c r="F48" s="2"/>
      <c r="G48" s="2"/>
      <c r="H48" s="24"/>
    </row>
    <row r="49" spans="1:8" ht="15.75" customHeight="1">
      <c r="A49" s="17" t="s">
        <v>323</v>
      </c>
      <c r="B49" s="2"/>
      <c r="C49" s="2"/>
      <c r="D49" s="2"/>
      <c r="E49" s="2"/>
      <c r="F49" s="2"/>
      <c r="G49" s="2"/>
      <c r="H49" s="24"/>
    </row>
    <row r="50" spans="1:8" ht="15.75" customHeight="1">
      <c r="A50" s="17"/>
      <c r="B50" s="2"/>
      <c r="C50" s="2"/>
      <c r="D50" s="2"/>
      <c r="E50" s="2"/>
      <c r="F50" s="2"/>
      <c r="G50" s="17"/>
      <c r="H50" s="24"/>
    </row>
    <row r="51" spans="1:8" ht="15.75" customHeight="1">
      <c r="A51" s="18" t="s">
        <v>324</v>
      </c>
      <c r="B51" s="1"/>
      <c r="C51" s="1"/>
      <c r="D51" s="1"/>
      <c r="E51" s="1"/>
      <c r="F51" s="1"/>
      <c r="G51" s="17"/>
      <c r="H51" s="24"/>
    </row>
    <row r="52" spans="1:8" ht="15.75" customHeight="1">
      <c r="A52" s="869" t="s">
        <v>325</v>
      </c>
      <c r="B52" s="869"/>
      <c r="C52" s="869"/>
      <c r="D52" s="1"/>
      <c r="E52" s="1"/>
      <c r="F52" s="1"/>
      <c r="G52" s="17"/>
      <c r="H52" s="24"/>
    </row>
    <row r="53" spans="1:8" ht="15.75" customHeight="1">
      <c r="A53" s="18"/>
      <c r="B53" s="1"/>
      <c r="C53" s="1"/>
      <c r="D53" s="1"/>
      <c r="E53" s="1"/>
      <c r="F53" s="1"/>
      <c r="G53" s="17"/>
      <c r="H53" s="24"/>
    </row>
    <row r="54" spans="1:8" ht="15.75" customHeight="1">
      <c r="A54" s="18"/>
      <c r="B54" s="1"/>
      <c r="C54" s="1"/>
      <c r="D54" s="1"/>
      <c r="E54" s="1"/>
      <c r="F54" s="1"/>
      <c r="G54" s="17"/>
      <c r="H54" s="24"/>
    </row>
    <row r="55" spans="1:8" ht="15.75" customHeight="1">
      <c r="A55" s="19" t="s">
        <v>326</v>
      </c>
      <c r="B55" s="1"/>
      <c r="C55" s="1"/>
      <c r="D55" s="25" t="s">
        <v>216</v>
      </c>
      <c r="E55" s="3"/>
      <c r="F55" s="1"/>
      <c r="G55" s="17"/>
      <c r="H55" s="24"/>
    </row>
    <row r="56" spans="1:8" ht="15" customHeight="1">
      <c r="A56" s="24"/>
      <c r="B56" s="24"/>
      <c r="C56" s="24"/>
      <c r="D56" s="24"/>
      <c r="E56" s="24"/>
      <c r="F56" s="24"/>
      <c r="G56" s="24"/>
      <c r="H56" s="24"/>
    </row>
    <row r="57" spans="1:8" ht="15" customHeight="1">
      <c r="A57" s="24"/>
      <c r="B57" s="24"/>
      <c r="C57" s="24"/>
      <c r="D57" s="24"/>
      <c r="E57" s="24"/>
      <c r="F57" s="24"/>
      <c r="G57" s="24"/>
      <c r="H57" s="2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170" t="s">
        <v>447</v>
      </c>
      <c r="B3" s="170"/>
      <c r="C3" s="170"/>
      <c r="D3" s="170"/>
      <c r="E3" s="170"/>
      <c r="F3" s="170"/>
      <c r="G3" s="170"/>
      <c r="H3" s="170"/>
      <c r="I3" s="170"/>
      <c r="J3" s="170"/>
      <c r="K3" s="170"/>
      <c r="L3" s="170"/>
    </row>
    <row r="5" ht="15">
      <c r="A5" s="171" t="s">
        <v>448</v>
      </c>
    </row>
    <row r="6" ht="15">
      <c r="A6" s="171" t="str">
        <f>CONCATENATE(inputPrYr!C4-2," 'total expenditures' exceed your ",inputPrYr!C4-2," 'budget authority.'")</f>
        <v>2010 'total expenditures' exceed your 2010 'budget authority.'</v>
      </c>
    </row>
    <row r="7" ht="15">
      <c r="A7" s="171"/>
    </row>
    <row r="8" ht="15">
      <c r="A8" s="171" t="s">
        <v>449</v>
      </c>
    </row>
    <row r="9" ht="15">
      <c r="A9" s="171" t="s">
        <v>450</v>
      </c>
    </row>
    <row r="10" ht="15">
      <c r="A10" s="171" t="s">
        <v>451</v>
      </c>
    </row>
    <row r="11" ht="15">
      <c r="A11" s="171"/>
    </row>
    <row r="12" ht="15">
      <c r="A12" s="171"/>
    </row>
    <row r="13" ht="15">
      <c r="A13" s="172" t="s">
        <v>452</v>
      </c>
    </row>
    <row r="15" ht="15">
      <c r="A15" s="171" t="s">
        <v>453</v>
      </c>
    </row>
    <row r="16" ht="15">
      <c r="A16" s="171" t="str">
        <f>CONCATENATE("(i.e. an audit has not been completed, or the ",inputPrYr!C4," adopted")</f>
        <v>(i.e. an audit has not been completed, or the 2012 adopted</v>
      </c>
    </row>
    <row r="17" ht="15">
      <c r="A17" s="171" t="s">
        <v>454</v>
      </c>
    </row>
    <row r="18" ht="15">
      <c r="A18" s="171" t="s">
        <v>455</v>
      </c>
    </row>
    <row r="19" ht="15">
      <c r="A19" s="171" t="s">
        <v>456</v>
      </c>
    </row>
    <row r="21" ht="15">
      <c r="A21" s="172" t="s">
        <v>457</v>
      </c>
    </row>
    <row r="22" ht="15">
      <c r="A22" s="172"/>
    </row>
    <row r="23" ht="15">
      <c r="A23" s="171" t="s">
        <v>458</v>
      </c>
    </row>
    <row r="24" ht="15">
      <c r="A24" s="171" t="s">
        <v>459</v>
      </c>
    </row>
    <row r="25" ht="15">
      <c r="A25" s="171" t="str">
        <f>CONCATENATE("particular fund.  If your ",inputPrYr!C4-2," budget was amended, did you")</f>
        <v>particular fund.  If your 2010 budget was amended, did you</v>
      </c>
    </row>
    <row r="26" ht="15">
      <c r="A26" s="171" t="s">
        <v>460</v>
      </c>
    </row>
    <row r="27" ht="15">
      <c r="A27" s="171"/>
    </row>
    <row r="28" ht="15">
      <c r="A28" s="171" t="str">
        <f>CONCATENATE("Next, look to see if any of your ",inputPrYr!C4-2," expenditures can be")</f>
        <v>Next, look to see if any of your 2010 expenditures can be</v>
      </c>
    </row>
    <row r="29" ht="15">
      <c r="A29" s="171" t="s">
        <v>461</v>
      </c>
    </row>
    <row r="30" ht="15">
      <c r="A30" s="171" t="s">
        <v>462</v>
      </c>
    </row>
    <row r="31" ht="15">
      <c r="A31" s="171" t="s">
        <v>463</v>
      </c>
    </row>
    <row r="32" ht="15">
      <c r="A32" s="171"/>
    </row>
    <row r="33" ht="15">
      <c r="A33" s="171" t="str">
        <f>CONCATENATE("Additionally, do your ",inputPrYr!C4-2," receipts contain a reimbursement")</f>
        <v>Additionally, do your 2010 receipts contain a reimbursement</v>
      </c>
    </row>
    <row r="34" ht="15">
      <c r="A34" s="171" t="s">
        <v>464</v>
      </c>
    </row>
    <row r="35" ht="15">
      <c r="A35" s="171" t="s">
        <v>465</v>
      </c>
    </row>
    <row r="36" ht="15">
      <c r="A36" s="171"/>
    </row>
    <row r="37" ht="15">
      <c r="A37" s="171" t="s">
        <v>466</v>
      </c>
    </row>
    <row r="38" ht="15">
      <c r="A38" s="171" t="s">
        <v>467</v>
      </c>
    </row>
    <row r="39" ht="15">
      <c r="A39" s="171" t="s">
        <v>468</v>
      </c>
    </row>
    <row r="40" ht="15">
      <c r="A40" s="171" t="s">
        <v>469</v>
      </c>
    </row>
    <row r="41" ht="15">
      <c r="A41" s="171" t="s">
        <v>470</v>
      </c>
    </row>
    <row r="42" ht="15">
      <c r="A42" s="171" t="s">
        <v>471</v>
      </c>
    </row>
    <row r="43" ht="15">
      <c r="A43" s="171" t="s">
        <v>472</v>
      </c>
    </row>
    <row r="44" ht="15">
      <c r="A44" s="171" t="s">
        <v>473</v>
      </c>
    </row>
    <row r="45" ht="15">
      <c r="A45" s="171"/>
    </row>
    <row r="46" ht="15">
      <c r="A46" s="171" t="s">
        <v>474</v>
      </c>
    </row>
    <row r="47" ht="15">
      <c r="A47" s="171" t="s">
        <v>475</v>
      </c>
    </row>
    <row r="48" ht="15">
      <c r="A48" s="171" t="s">
        <v>476</v>
      </c>
    </row>
    <row r="49" ht="15">
      <c r="A49" s="171"/>
    </row>
    <row r="50" ht="15">
      <c r="A50" s="171" t="s">
        <v>477</v>
      </c>
    </row>
    <row r="51" ht="15">
      <c r="A51" s="171" t="s">
        <v>478</v>
      </c>
    </row>
    <row r="52" ht="15">
      <c r="A52" s="171" t="s">
        <v>479</v>
      </c>
    </row>
    <row r="53" ht="15">
      <c r="A53" s="171"/>
    </row>
    <row r="54" ht="15">
      <c r="A54" s="172" t="s">
        <v>480</v>
      </c>
    </row>
    <row r="55" ht="15">
      <c r="A55" s="171"/>
    </row>
    <row r="56" ht="15">
      <c r="A56" s="171" t="s">
        <v>481</v>
      </c>
    </row>
    <row r="57" ht="15">
      <c r="A57" s="171" t="s">
        <v>482</v>
      </c>
    </row>
    <row r="58" ht="15">
      <c r="A58" s="171" t="s">
        <v>483</v>
      </c>
    </row>
    <row r="59" ht="15">
      <c r="A59" s="171" t="s">
        <v>484</v>
      </c>
    </row>
    <row r="60" ht="15">
      <c r="A60" s="171" t="s">
        <v>485</v>
      </c>
    </row>
    <row r="61" ht="15">
      <c r="A61" s="171" t="s">
        <v>486</v>
      </c>
    </row>
    <row r="62" ht="15">
      <c r="A62" s="171" t="s">
        <v>487</v>
      </c>
    </row>
    <row r="63" ht="15">
      <c r="A63" s="171" t="s">
        <v>488</v>
      </c>
    </row>
    <row r="64" ht="15">
      <c r="A64" s="171" t="s">
        <v>489</v>
      </c>
    </row>
    <row r="65" ht="15">
      <c r="A65" s="171" t="s">
        <v>490</v>
      </c>
    </row>
    <row r="66" ht="15">
      <c r="A66" s="171" t="s">
        <v>491</v>
      </c>
    </row>
    <row r="67" ht="15">
      <c r="A67" s="171" t="s">
        <v>492</v>
      </c>
    </row>
    <row r="68" ht="15">
      <c r="A68" s="171" t="s">
        <v>493</v>
      </c>
    </row>
    <row r="69" ht="15">
      <c r="A69" s="171"/>
    </row>
    <row r="70" ht="15">
      <c r="A70" s="171" t="s">
        <v>494</v>
      </c>
    </row>
    <row r="71" ht="15">
      <c r="A71" s="171" t="s">
        <v>495</v>
      </c>
    </row>
    <row r="72" ht="15">
      <c r="A72" s="171" t="s">
        <v>496</v>
      </c>
    </row>
    <row r="73" ht="15">
      <c r="A73" s="171"/>
    </row>
    <row r="74" ht="15">
      <c r="A74" s="172" t="str">
        <f>CONCATENATE("What if the ",inputPrYr!C4-2," financial records have been closed?")</f>
        <v>What if the 2010 financial records have been closed?</v>
      </c>
    </row>
    <row r="76" ht="15">
      <c r="A76" s="171" t="s">
        <v>497</v>
      </c>
    </row>
    <row r="77" ht="15">
      <c r="A77" s="171" t="str">
        <f>CONCATENATE("(i.e. an audit for ",inputPrYr!C4-2," has been completed, or the ",inputPrYr!C4)</f>
        <v>(i.e. an audit for 2010 has been completed, or the 2012</v>
      </c>
    </row>
    <row r="78" ht="15">
      <c r="A78" s="171" t="s">
        <v>498</v>
      </c>
    </row>
    <row r="79" ht="15">
      <c r="A79" s="171" t="s">
        <v>499</v>
      </c>
    </row>
    <row r="80" ht="15">
      <c r="A80" s="171"/>
    </row>
    <row r="81" ht="15">
      <c r="A81" s="171" t="s">
        <v>500</v>
      </c>
    </row>
    <row r="82" ht="15">
      <c r="A82" s="171" t="s">
        <v>501</v>
      </c>
    </row>
    <row r="83" ht="15">
      <c r="A83" s="171" t="s">
        <v>502</v>
      </c>
    </row>
    <row r="84" ht="15">
      <c r="A84" s="171"/>
    </row>
    <row r="85" ht="15">
      <c r="A85" s="171" t="s">
        <v>503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170" t="s">
        <v>504</v>
      </c>
      <c r="B3" s="170"/>
      <c r="C3" s="170"/>
      <c r="D3" s="170"/>
      <c r="E3" s="170"/>
      <c r="F3" s="170"/>
      <c r="G3" s="170"/>
      <c r="H3" s="173"/>
      <c r="I3" s="173"/>
      <c r="J3" s="173"/>
    </row>
    <row r="5" ht="15">
      <c r="A5" s="171" t="s">
        <v>505</v>
      </c>
    </row>
    <row r="6" ht="15">
      <c r="A6" t="str">
        <f>CONCATENATE(inputPrYr!C4-2," expenditures show that you finished the year with a ")</f>
        <v>2010 expenditures show that you finished the year with a </v>
      </c>
    </row>
    <row r="7" ht="15">
      <c r="A7" t="s">
        <v>506</v>
      </c>
    </row>
    <row r="9" ht="15">
      <c r="A9" t="s">
        <v>507</v>
      </c>
    </row>
    <row r="10" ht="15">
      <c r="A10" t="s">
        <v>508</v>
      </c>
    </row>
    <row r="11" ht="15">
      <c r="A11" t="s">
        <v>509</v>
      </c>
    </row>
    <row r="13" ht="15">
      <c r="A13" s="172" t="s">
        <v>510</v>
      </c>
    </row>
    <row r="14" ht="15">
      <c r="A14" s="172"/>
    </row>
    <row r="15" ht="15">
      <c r="A15" s="171" t="s">
        <v>511</v>
      </c>
    </row>
    <row r="16" ht="15">
      <c r="A16" s="171" t="s">
        <v>512</v>
      </c>
    </row>
    <row r="17" ht="15">
      <c r="A17" s="171" t="s">
        <v>513</v>
      </c>
    </row>
    <row r="18" ht="15">
      <c r="A18" s="171"/>
    </row>
    <row r="19" ht="15">
      <c r="A19" s="172" t="s">
        <v>514</v>
      </c>
    </row>
    <row r="20" ht="15">
      <c r="A20" s="172"/>
    </row>
    <row r="21" ht="15">
      <c r="A21" s="171" t="s">
        <v>515</v>
      </c>
    </row>
    <row r="22" ht="15">
      <c r="A22" s="171" t="s">
        <v>516</v>
      </c>
    </row>
    <row r="23" ht="15">
      <c r="A23" s="171" t="s">
        <v>517</v>
      </c>
    </row>
    <row r="24" ht="15">
      <c r="A24" s="171"/>
    </row>
    <row r="25" ht="15">
      <c r="A25" s="172" t="s">
        <v>518</v>
      </c>
    </row>
    <row r="26" ht="15">
      <c r="A26" s="172"/>
    </row>
    <row r="27" ht="15">
      <c r="A27" s="171" t="s">
        <v>519</v>
      </c>
    </row>
    <row r="28" ht="15">
      <c r="A28" s="171" t="s">
        <v>520</v>
      </c>
    </row>
    <row r="29" ht="15">
      <c r="A29" s="171" t="s">
        <v>521</v>
      </c>
    </row>
    <row r="30" ht="15">
      <c r="A30" s="171"/>
    </row>
    <row r="31" ht="15">
      <c r="A31" s="172" t="s">
        <v>522</v>
      </c>
    </row>
    <row r="32" ht="15">
      <c r="A32" s="172"/>
    </row>
    <row r="33" spans="1:8" ht="15">
      <c r="A33" s="171" t="str">
        <f>CONCATENATE("If your financial records for ",inputPrYr!C4-2," are not closed")</f>
        <v>If your financial records for 2010 are not closed</v>
      </c>
      <c r="B33" s="171"/>
      <c r="C33" s="171"/>
      <c r="D33" s="171"/>
      <c r="E33" s="171"/>
      <c r="F33" s="171"/>
      <c r="G33" s="171"/>
      <c r="H33" s="171"/>
    </row>
    <row r="34" spans="1:8" ht="15">
      <c r="A34" s="171" t="str">
        <f>CONCATENATE("(i.e. an audit has not been completed, or the ",inputPrYr!C4," adopted ")</f>
        <v>(i.e. an audit has not been completed, or the 2012 adopted </v>
      </c>
      <c r="B34" s="171"/>
      <c r="C34" s="171"/>
      <c r="D34" s="171"/>
      <c r="E34" s="171"/>
      <c r="F34" s="171"/>
      <c r="G34" s="171"/>
      <c r="H34" s="171"/>
    </row>
    <row r="35" spans="1:8" ht="15">
      <c r="A35" s="171" t="s">
        <v>523</v>
      </c>
      <c r="B35" s="171"/>
      <c r="C35" s="171"/>
      <c r="D35" s="171"/>
      <c r="E35" s="171"/>
      <c r="F35" s="171"/>
      <c r="G35" s="171"/>
      <c r="H35" s="171"/>
    </row>
    <row r="36" spans="1:8" ht="15">
      <c r="A36" s="171" t="s">
        <v>524</v>
      </c>
      <c r="B36" s="171"/>
      <c r="C36" s="171"/>
      <c r="D36" s="171"/>
      <c r="E36" s="171"/>
      <c r="F36" s="171"/>
      <c r="G36" s="171"/>
      <c r="H36" s="171"/>
    </row>
    <row r="37" spans="1:8" ht="15">
      <c r="A37" s="171" t="s">
        <v>525</v>
      </c>
      <c r="B37" s="171"/>
      <c r="C37" s="171"/>
      <c r="D37" s="171"/>
      <c r="E37" s="171"/>
      <c r="F37" s="171"/>
      <c r="G37" s="171"/>
      <c r="H37" s="171"/>
    </row>
    <row r="38" spans="1:8" ht="15">
      <c r="A38" s="171" t="s">
        <v>526</v>
      </c>
      <c r="B38" s="171"/>
      <c r="C38" s="171"/>
      <c r="D38" s="171"/>
      <c r="E38" s="171"/>
      <c r="F38" s="171"/>
      <c r="G38" s="171"/>
      <c r="H38" s="171"/>
    </row>
    <row r="39" spans="1:8" ht="15">
      <c r="A39" s="171" t="s">
        <v>527</v>
      </c>
      <c r="B39" s="171"/>
      <c r="C39" s="171"/>
      <c r="D39" s="171"/>
      <c r="E39" s="171"/>
      <c r="F39" s="171"/>
      <c r="G39" s="171"/>
      <c r="H39" s="171"/>
    </row>
    <row r="40" spans="1:8" ht="15">
      <c r="A40" s="171"/>
      <c r="B40" s="171"/>
      <c r="C40" s="171"/>
      <c r="D40" s="171"/>
      <c r="E40" s="171"/>
      <c r="F40" s="171"/>
      <c r="G40" s="171"/>
      <c r="H40" s="171"/>
    </row>
    <row r="41" spans="1:8" ht="15">
      <c r="A41" s="171" t="s">
        <v>528</v>
      </c>
      <c r="B41" s="171"/>
      <c r="C41" s="171"/>
      <c r="D41" s="171"/>
      <c r="E41" s="171"/>
      <c r="F41" s="171"/>
      <c r="G41" s="171"/>
      <c r="H41" s="171"/>
    </row>
    <row r="42" spans="1:8" ht="15">
      <c r="A42" s="171" t="s">
        <v>529</v>
      </c>
      <c r="B42" s="171"/>
      <c r="C42" s="171"/>
      <c r="D42" s="171"/>
      <c r="E42" s="171"/>
      <c r="F42" s="171"/>
      <c r="G42" s="171"/>
      <c r="H42" s="171"/>
    </row>
    <row r="43" spans="1:8" ht="15">
      <c r="A43" s="171" t="s">
        <v>530</v>
      </c>
      <c r="B43" s="171"/>
      <c r="C43" s="171"/>
      <c r="D43" s="171"/>
      <c r="E43" s="171"/>
      <c r="F43" s="171"/>
      <c r="G43" s="171"/>
      <c r="H43" s="171"/>
    </row>
    <row r="44" spans="1:8" ht="15">
      <c r="A44" s="171" t="s">
        <v>531</v>
      </c>
      <c r="B44" s="171"/>
      <c r="C44" s="171"/>
      <c r="D44" s="171"/>
      <c r="E44" s="171"/>
      <c r="F44" s="171"/>
      <c r="G44" s="171"/>
      <c r="H44" s="171"/>
    </row>
    <row r="45" spans="1:8" ht="15">
      <c r="A45" s="171"/>
      <c r="B45" s="171"/>
      <c r="C45" s="171"/>
      <c r="D45" s="171"/>
      <c r="E45" s="171"/>
      <c r="F45" s="171"/>
      <c r="G45" s="171"/>
      <c r="H45" s="171"/>
    </row>
    <row r="46" spans="1:8" ht="15">
      <c r="A46" s="171" t="s">
        <v>532</v>
      </c>
      <c r="B46" s="171"/>
      <c r="C46" s="171"/>
      <c r="D46" s="171"/>
      <c r="E46" s="171"/>
      <c r="F46" s="171"/>
      <c r="G46" s="171"/>
      <c r="H46" s="171"/>
    </row>
    <row r="47" spans="1:8" ht="15">
      <c r="A47" s="171" t="s">
        <v>533</v>
      </c>
      <c r="B47" s="171"/>
      <c r="C47" s="171"/>
      <c r="D47" s="171"/>
      <c r="E47" s="171"/>
      <c r="F47" s="171"/>
      <c r="G47" s="171"/>
      <c r="H47" s="171"/>
    </row>
    <row r="48" spans="1:8" ht="15">
      <c r="A48" s="171" t="s">
        <v>534</v>
      </c>
      <c r="B48" s="171"/>
      <c r="C48" s="171"/>
      <c r="D48" s="171"/>
      <c r="E48" s="171"/>
      <c r="F48" s="171"/>
      <c r="G48" s="171"/>
      <c r="H48" s="171"/>
    </row>
    <row r="49" spans="1:8" ht="15">
      <c r="A49" s="171" t="s">
        <v>535</v>
      </c>
      <c r="B49" s="171"/>
      <c r="C49" s="171"/>
      <c r="D49" s="171"/>
      <c r="E49" s="171"/>
      <c r="F49" s="171"/>
      <c r="G49" s="171"/>
      <c r="H49" s="171"/>
    </row>
    <row r="50" spans="1:8" ht="15">
      <c r="A50" s="171" t="s">
        <v>536</v>
      </c>
      <c r="B50" s="171"/>
      <c r="C50" s="171"/>
      <c r="D50" s="171"/>
      <c r="E50" s="171"/>
      <c r="F50" s="171"/>
      <c r="G50" s="171"/>
      <c r="H50" s="171"/>
    </row>
    <row r="51" spans="1:8" ht="15">
      <c r="A51" s="171"/>
      <c r="B51" s="171"/>
      <c r="C51" s="171"/>
      <c r="D51" s="171"/>
      <c r="E51" s="171"/>
      <c r="F51" s="171"/>
      <c r="G51" s="171"/>
      <c r="H51" s="171"/>
    </row>
    <row r="52" spans="1:8" ht="15">
      <c r="A52" s="172" t="s">
        <v>537</v>
      </c>
      <c r="B52" s="172"/>
      <c r="C52" s="172"/>
      <c r="D52" s="172"/>
      <c r="E52" s="172"/>
      <c r="F52" s="172"/>
      <c r="G52" s="172"/>
      <c r="H52" s="171"/>
    </row>
    <row r="53" spans="1:8" ht="15">
      <c r="A53" s="172" t="s">
        <v>538</v>
      </c>
      <c r="B53" s="172"/>
      <c r="C53" s="172"/>
      <c r="D53" s="172"/>
      <c r="E53" s="172"/>
      <c r="F53" s="172"/>
      <c r="G53" s="172"/>
      <c r="H53" s="171"/>
    </row>
    <row r="54" spans="1:8" ht="15">
      <c r="A54" s="171"/>
      <c r="B54" s="171"/>
      <c r="C54" s="171"/>
      <c r="D54" s="171"/>
      <c r="E54" s="171"/>
      <c r="F54" s="171"/>
      <c r="G54" s="171"/>
      <c r="H54" s="171"/>
    </row>
    <row r="55" spans="1:8" ht="15">
      <c r="A55" s="171" t="s">
        <v>539</v>
      </c>
      <c r="B55" s="171"/>
      <c r="C55" s="171"/>
      <c r="D55" s="171"/>
      <c r="E55" s="171"/>
      <c r="F55" s="171"/>
      <c r="G55" s="171"/>
      <c r="H55" s="171"/>
    </row>
    <row r="56" spans="1:8" ht="15">
      <c r="A56" s="171" t="s">
        <v>540</v>
      </c>
      <c r="B56" s="171"/>
      <c r="C56" s="171"/>
      <c r="D56" s="171"/>
      <c r="E56" s="171"/>
      <c r="F56" s="171"/>
      <c r="G56" s="171"/>
      <c r="H56" s="171"/>
    </row>
    <row r="57" spans="1:8" ht="15">
      <c r="A57" s="171" t="s">
        <v>541</v>
      </c>
      <c r="B57" s="171"/>
      <c r="C57" s="171"/>
      <c r="D57" s="171"/>
      <c r="E57" s="171"/>
      <c r="F57" s="171"/>
      <c r="G57" s="171"/>
      <c r="H57" s="171"/>
    </row>
    <row r="58" spans="1:8" ht="15">
      <c r="A58" s="171" t="s">
        <v>542</v>
      </c>
      <c r="B58" s="171"/>
      <c r="C58" s="171"/>
      <c r="D58" s="171"/>
      <c r="E58" s="171"/>
      <c r="F58" s="171"/>
      <c r="G58" s="171"/>
      <c r="H58" s="171"/>
    </row>
    <row r="59" spans="1:8" ht="15">
      <c r="A59" s="171"/>
      <c r="B59" s="171"/>
      <c r="C59" s="171"/>
      <c r="D59" s="171"/>
      <c r="E59" s="171"/>
      <c r="F59" s="171"/>
      <c r="G59" s="171"/>
      <c r="H59" s="171"/>
    </row>
    <row r="60" spans="1:8" ht="15">
      <c r="A60" s="171" t="s">
        <v>543</v>
      </c>
      <c r="B60" s="171"/>
      <c r="C60" s="171"/>
      <c r="D60" s="171"/>
      <c r="E60" s="171"/>
      <c r="F60" s="171"/>
      <c r="G60" s="171"/>
      <c r="H60" s="171"/>
    </row>
    <row r="61" spans="1:8" ht="15">
      <c r="A61" s="171" t="s">
        <v>544</v>
      </c>
      <c r="B61" s="171"/>
      <c r="C61" s="171"/>
      <c r="D61" s="171"/>
      <c r="E61" s="171"/>
      <c r="F61" s="171"/>
      <c r="G61" s="171"/>
      <c r="H61" s="171"/>
    </row>
    <row r="62" spans="1:8" ht="15">
      <c r="A62" s="171" t="s">
        <v>545</v>
      </c>
      <c r="B62" s="171"/>
      <c r="C62" s="171"/>
      <c r="D62" s="171"/>
      <c r="E62" s="171"/>
      <c r="F62" s="171"/>
      <c r="G62" s="171"/>
      <c r="H62" s="171"/>
    </row>
    <row r="63" spans="1:8" ht="15">
      <c r="A63" s="171" t="s">
        <v>546</v>
      </c>
      <c r="B63" s="171"/>
      <c r="C63" s="171"/>
      <c r="D63" s="171"/>
      <c r="E63" s="171"/>
      <c r="F63" s="171"/>
      <c r="G63" s="171"/>
      <c r="H63" s="171"/>
    </row>
    <row r="64" spans="1:8" ht="15">
      <c r="A64" s="171" t="s">
        <v>547</v>
      </c>
      <c r="B64" s="171"/>
      <c r="C64" s="171"/>
      <c r="D64" s="171"/>
      <c r="E64" s="171"/>
      <c r="F64" s="171"/>
      <c r="G64" s="171"/>
      <c r="H64" s="171"/>
    </row>
    <row r="65" spans="1:8" ht="15">
      <c r="A65" s="171" t="s">
        <v>548</v>
      </c>
      <c r="B65" s="171"/>
      <c r="C65" s="171"/>
      <c r="D65" s="171"/>
      <c r="E65" s="171"/>
      <c r="F65" s="171"/>
      <c r="G65" s="171"/>
      <c r="H65" s="171"/>
    </row>
    <row r="66" spans="1:8" ht="15">
      <c r="A66" s="171"/>
      <c r="B66" s="171"/>
      <c r="C66" s="171"/>
      <c r="D66" s="171"/>
      <c r="E66" s="171"/>
      <c r="F66" s="171"/>
      <c r="G66" s="171"/>
      <c r="H66" s="171"/>
    </row>
    <row r="67" spans="1:8" ht="15">
      <c r="A67" s="171" t="s">
        <v>549</v>
      </c>
      <c r="B67" s="171"/>
      <c r="C67" s="171"/>
      <c r="D67" s="171"/>
      <c r="E67" s="171"/>
      <c r="F67" s="171"/>
      <c r="G67" s="171"/>
      <c r="H67" s="171"/>
    </row>
    <row r="68" spans="1:8" ht="15">
      <c r="A68" s="171" t="s">
        <v>550</v>
      </c>
      <c r="B68" s="171"/>
      <c r="C68" s="171"/>
      <c r="D68" s="171"/>
      <c r="E68" s="171"/>
      <c r="F68" s="171"/>
      <c r="G68" s="171"/>
      <c r="H68" s="171"/>
    </row>
    <row r="69" spans="1:8" ht="15">
      <c r="A69" s="171" t="s">
        <v>551</v>
      </c>
      <c r="B69" s="171"/>
      <c r="C69" s="171"/>
      <c r="D69" s="171"/>
      <c r="E69" s="171"/>
      <c r="F69" s="171"/>
      <c r="G69" s="171"/>
      <c r="H69" s="171"/>
    </row>
    <row r="70" spans="1:8" ht="15">
      <c r="A70" s="171" t="s">
        <v>552</v>
      </c>
      <c r="B70" s="171"/>
      <c r="C70" s="171"/>
      <c r="D70" s="171"/>
      <c r="E70" s="171"/>
      <c r="F70" s="171"/>
      <c r="G70" s="171"/>
      <c r="H70" s="171"/>
    </row>
    <row r="71" spans="1:8" ht="15">
      <c r="A71" s="171" t="s">
        <v>553</v>
      </c>
      <c r="B71" s="171"/>
      <c r="C71" s="171"/>
      <c r="D71" s="171"/>
      <c r="E71" s="171"/>
      <c r="F71" s="171"/>
      <c r="G71" s="171"/>
      <c r="H71" s="171"/>
    </row>
    <row r="72" spans="1:8" ht="15">
      <c r="A72" s="171" t="s">
        <v>554</v>
      </c>
      <c r="B72" s="171"/>
      <c r="C72" s="171"/>
      <c r="D72" s="171"/>
      <c r="E72" s="171"/>
      <c r="F72" s="171"/>
      <c r="G72" s="171"/>
      <c r="H72" s="171"/>
    </row>
    <row r="73" spans="1:8" ht="15">
      <c r="A73" s="171" t="s">
        <v>555</v>
      </c>
      <c r="B73" s="171"/>
      <c r="C73" s="171"/>
      <c r="D73" s="171"/>
      <c r="E73" s="171"/>
      <c r="F73" s="171"/>
      <c r="G73" s="171"/>
      <c r="H73" s="171"/>
    </row>
    <row r="74" spans="1:8" ht="15">
      <c r="A74" s="171"/>
      <c r="B74" s="171"/>
      <c r="C74" s="171"/>
      <c r="D74" s="171"/>
      <c r="E74" s="171"/>
      <c r="F74" s="171"/>
      <c r="G74" s="171"/>
      <c r="H74" s="171"/>
    </row>
    <row r="75" spans="1:8" ht="15">
      <c r="A75" s="171" t="s">
        <v>556</v>
      </c>
      <c r="B75" s="171"/>
      <c r="C75" s="171"/>
      <c r="D75" s="171"/>
      <c r="E75" s="171"/>
      <c r="F75" s="171"/>
      <c r="G75" s="171"/>
      <c r="H75" s="171"/>
    </row>
    <row r="76" spans="1:8" ht="15">
      <c r="A76" s="171" t="s">
        <v>557</v>
      </c>
      <c r="B76" s="171"/>
      <c r="C76" s="171"/>
      <c r="D76" s="171"/>
      <c r="E76" s="171"/>
      <c r="F76" s="171"/>
      <c r="G76" s="171"/>
      <c r="H76" s="171"/>
    </row>
    <row r="77" spans="1:8" ht="15">
      <c r="A77" s="171" t="s">
        <v>558</v>
      </c>
      <c r="B77" s="171"/>
      <c r="C77" s="171"/>
      <c r="D77" s="171"/>
      <c r="E77" s="171"/>
      <c r="F77" s="171"/>
      <c r="G77" s="171"/>
      <c r="H77" s="171"/>
    </row>
    <row r="78" spans="1:8" ht="15">
      <c r="A78" s="171"/>
      <c r="B78" s="171"/>
      <c r="C78" s="171"/>
      <c r="D78" s="171"/>
      <c r="E78" s="171"/>
      <c r="F78" s="171"/>
      <c r="G78" s="171"/>
      <c r="H78" s="171"/>
    </row>
    <row r="79" ht="15">
      <c r="A79" s="171" t="s">
        <v>503</v>
      </c>
    </row>
    <row r="80" ht="15">
      <c r="A80" s="172"/>
    </row>
    <row r="81" ht="15">
      <c r="A81" s="171"/>
    </row>
    <row r="82" ht="15">
      <c r="A82" s="171"/>
    </row>
    <row r="83" ht="15">
      <c r="A83" s="171"/>
    </row>
    <row r="84" ht="15">
      <c r="A84" s="171"/>
    </row>
    <row r="85" ht="15">
      <c r="A85" s="171"/>
    </row>
    <row r="86" ht="15">
      <c r="A86" s="171"/>
    </row>
    <row r="87" ht="15">
      <c r="A87" s="171"/>
    </row>
    <row r="88" ht="15">
      <c r="A88" s="171"/>
    </row>
    <row r="89" ht="15">
      <c r="A89" s="171"/>
    </row>
    <row r="90" ht="15">
      <c r="A90" s="171"/>
    </row>
    <row r="91" ht="15">
      <c r="A91" s="171"/>
    </row>
    <row r="92" ht="15">
      <c r="A92" s="171"/>
    </row>
    <row r="93" ht="15">
      <c r="A93" s="171"/>
    </row>
    <row r="94" ht="15">
      <c r="A94" s="171"/>
    </row>
    <row r="95" ht="15">
      <c r="A95" s="171"/>
    </row>
    <row r="96" ht="15">
      <c r="A96" s="171"/>
    </row>
    <row r="97" ht="15">
      <c r="A97" s="171"/>
    </row>
    <row r="98" ht="15">
      <c r="A98" s="171"/>
    </row>
    <row r="99" ht="15">
      <c r="A99" s="171"/>
    </row>
    <row r="100" ht="15">
      <c r="A100" s="171"/>
    </row>
    <row r="101" ht="15">
      <c r="A101" s="171"/>
    </row>
    <row r="103" ht="15">
      <c r="A103" s="171"/>
    </row>
    <row r="104" ht="15">
      <c r="A104" s="171"/>
    </row>
    <row r="105" ht="15">
      <c r="A105" s="171"/>
    </row>
    <row r="107" ht="15">
      <c r="A107" s="172"/>
    </row>
    <row r="108" ht="15">
      <c r="A108" s="172"/>
    </row>
    <row r="109" ht="15">
      <c r="A109" s="172"/>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170" t="s">
        <v>559</v>
      </c>
      <c r="B3" s="170"/>
      <c r="C3" s="170"/>
      <c r="D3" s="170"/>
      <c r="E3" s="170"/>
      <c r="F3" s="170"/>
      <c r="G3" s="170"/>
      <c r="H3" s="170"/>
      <c r="I3" s="170"/>
      <c r="J3" s="170"/>
      <c r="K3" s="170"/>
      <c r="L3" s="170"/>
    </row>
    <row r="4" spans="1:12" ht="15">
      <c r="A4" s="170"/>
      <c r="B4" s="170"/>
      <c r="C4" s="170"/>
      <c r="D4" s="170"/>
      <c r="E4" s="170"/>
      <c r="F4" s="170"/>
      <c r="G4" s="170"/>
      <c r="H4" s="170"/>
      <c r="I4" s="170"/>
      <c r="J4" s="170"/>
      <c r="K4" s="170"/>
      <c r="L4" s="170"/>
    </row>
    <row r="5" spans="1:12" ht="15">
      <c r="A5" s="171" t="s">
        <v>448</v>
      </c>
      <c r="I5" s="170"/>
      <c r="J5" s="170"/>
      <c r="K5" s="170"/>
      <c r="L5" s="170"/>
    </row>
    <row r="6" spans="1:12" ht="15">
      <c r="A6" s="171" t="str">
        <f>CONCATENATE("estimated ",inputPrYr!C4-1," 'total expenditures' exceed your ",inputPrYr!C4-1,"")</f>
        <v>estimated 2011 'total expenditures' exceed your 2011</v>
      </c>
      <c r="I6" s="170"/>
      <c r="J6" s="170"/>
      <c r="K6" s="170"/>
      <c r="L6" s="170"/>
    </row>
    <row r="7" spans="1:12" ht="15">
      <c r="A7" s="174" t="s">
        <v>560</v>
      </c>
      <c r="I7" s="170"/>
      <c r="J7" s="170"/>
      <c r="K7" s="170"/>
      <c r="L7" s="170"/>
    </row>
    <row r="8" spans="1:12" ht="15">
      <c r="A8" s="171"/>
      <c r="I8" s="170"/>
      <c r="J8" s="170"/>
      <c r="K8" s="170"/>
      <c r="L8" s="170"/>
    </row>
    <row r="9" spans="1:12" ht="15">
      <c r="A9" s="171" t="s">
        <v>561</v>
      </c>
      <c r="I9" s="170"/>
      <c r="J9" s="170"/>
      <c r="K9" s="170"/>
      <c r="L9" s="170"/>
    </row>
    <row r="10" spans="1:12" ht="15">
      <c r="A10" s="171" t="s">
        <v>562</v>
      </c>
      <c r="I10" s="170"/>
      <c r="J10" s="170"/>
      <c r="K10" s="170"/>
      <c r="L10" s="170"/>
    </row>
    <row r="11" spans="1:12" ht="15">
      <c r="A11" s="171" t="s">
        <v>563</v>
      </c>
      <c r="I11" s="170"/>
      <c r="J11" s="170"/>
      <c r="K11" s="170"/>
      <c r="L11" s="170"/>
    </row>
    <row r="12" spans="1:12" ht="15">
      <c r="A12" s="171" t="s">
        <v>564</v>
      </c>
      <c r="I12" s="170"/>
      <c r="J12" s="170"/>
      <c r="K12" s="170"/>
      <c r="L12" s="170"/>
    </row>
    <row r="13" spans="1:12" ht="15">
      <c r="A13" s="171" t="s">
        <v>565</v>
      </c>
      <c r="I13" s="170"/>
      <c r="J13" s="170"/>
      <c r="K13" s="170"/>
      <c r="L13" s="170"/>
    </row>
    <row r="14" spans="1:12" ht="15">
      <c r="A14" s="170"/>
      <c r="B14" s="170"/>
      <c r="C14" s="170"/>
      <c r="D14" s="170"/>
      <c r="E14" s="170"/>
      <c r="F14" s="170"/>
      <c r="G14" s="170"/>
      <c r="H14" s="170"/>
      <c r="I14" s="170"/>
      <c r="J14" s="170"/>
      <c r="K14" s="170"/>
      <c r="L14" s="170"/>
    </row>
    <row r="15" ht="15">
      <c r="A15" s="172" t="s">
        <v>566</v>
      </c>
    </row>
    <row r="16" ht="15">
      <c r="A16" s="172" t="s">
        <v>567</v>
      </c>
    </row>
    <row r="17" ht="15">
      <c r="A17" s="172"/>
    </row>
    <row r="18" spans="1:7" ht="15">
      <c r="A18" s="171" t="s">
        <v>568</v>
      </c>
      <c r="B18" s="171"/>
      <c r="C18" s="171"/>
      <c r="D18" s="171"/>
      <c r="E18" s="171"/>
      <c r="F18" s="171"/>
      <c r="G18" s="171"/>
    </row>
    <row r="19" spans="1:7" ht="15">
      <c r="A19" s="171" t="str">
        <f>CONCATENATE("your ",inputPrYr!C4-1," numbers to see what steps might be necessary to")</f>
        <v>your 2011 numbers to see what steps might be necessary to</v>
      </c>
      <c r="B19" s="171"/>
      <c r="C19" s="171"/>
      <c r="D19" s="171"/>
      <c r="E19" s="171"/>
      <c r="F19" s="171"/>
      <c r="G19" s="171"/>
    </row>
    <row r="20" spans="1:7" ht="15">
      <c r="A20" s="171" t="s">
        <v>569</v>
      </c>
      <c r="B20" s="171"/>
      <c r="C20" s="171"/>
      <c r="D20" s="171"/>
      <c r="E20" s="171"/>
      <c r="F20" s="171"/>
      <c r="G20" s="171"/>
    </row>
    <row r="21" spans="1:7" ht="15">
      <c r="A21" s="171" t="s">
        <v>570</v>
      </c>
      <c r="B21" s="171"/>
      <c r="C21" s="171"/>
      <c r="D21" s="171"/>
      <c r="E21" s="171"/>
      <c r="F21" s="171"/>
      <c r="G21" s="171"/>
    </row>
    <row r="22" ht="15">
      <c r="A22" s="171"/>
    </row>
    <row r="23" ht="15">
      <c r="A23" s="172" t="s">
        <v>571</v>
      </c>
    </row>
    <row r="24" ht="15">
      <c r="A24" s="172"/>
    </row>
    <row r="25" ht="15">
      <c r="A25" s="171" t="s">
        <v>572</v>
      </c>
    </row>
    <row r="26" spans="1:6" ht="15">
      <c r="A26" s="171" t="s">
        <v>573</v>
      </c>
      <c r="B26" s="171"/>
      <c r="C26" s="171"/>
      <c r="D26" s="171"/>
      <c r="E26" s="171"/>
      <c r="F26" s="171"/>
    </row>
    <row r="27" spans="1:6" ht="15">
      <c r="A27" s="171" t="s">
        <v>574</v>
      </c>
      <c r="B27" s="171"/>
      <c r="C27" s="171"/>
      <c r="D27" s="171"/>
      <c r="E27" s="171"/>
      <c r="F27" s="171"/>
    </row>
    <row r="28" spans="1:6" ht="15">
      <c r="A28" s="171" t="s">
        <v>575</v>
      </c>
      <c r="B28" s="171"/>
      <c r="C28" s="171"/>
      <c r="D28" s="171"/>
      <c r="E28" s="171"/>
      <c r="F28" s="171"/>
    </row>
    <row r="29" spans="1:6" ht="15">
      <c r="A29" s="171"/>
      <c r="B29" s="171"/>
      <c r="C29" s="171"/>
      <c r="D29" s="171"/>
      <c r="E29" s="171"/>
      <c r="F29" s="171"/>
    </row>
    <row r="30" spans="1:7" ht="15">
      <c r="A30" s="172" t="s">
        <v>576</v>
      </c>
      <c r="B30" s="172"/>
      <c r="C30" s="172"/>
      <c r="D30" s="172"/>
      <c r="E30" s="172"/>
      <c r="F30" s="172"/>
      <c r="G30" s="172"/>
    </row>
    <row r="31" spans="1:7" ht="15">
      <c r="A31" s="172" t="s">
        <v>577</v>
      </c>
      <c r="B31" s="172"/>
      <c r="C31" s="172"/>
      <c r="D31" s="172"/>
      <c r="E31" s="172"/>
      <c r="F31" s="172"/>
      <c r="G31" s="172"/>
    </row>
    <row r="32" spans="1:6" ht="15">
      <c r="A32" s="171"/>
      <c r="B32" s="171"/>
      <c r="C32" s="171"/>
      <c r="D32" s="171"/>
      <c r="E32" s="171"/>
      <c r="F32" s="171"/>
    </row>
    <row r="33" spans="1:6" ht="15">
      <c r="A33" s="175" t="str">
        <f>CONCATENATE("Well, let's look to see if any of your ",inputPrYr!C4-1," expenditures can")</f>
        <v>Well, let's look to see if any of your 2011 expenditures can</v>
      </c>
      <c r="B33" s="171"/>
      <c r="C33" s="171"/>
      <c r="D33" s="171"/>
      <c r="E33" s="171"/>
      <c r="F33" s="171"/>
    </row>
    <row r="34" spans="1:6" ht="15">
      <c r="A34" s="175" t="s">
        <v>578</v>
      </c>
      <c r="B34" s="171"/>
      <c r="C34" s="171"/>
      <c r="D34" s="171"/>
      <c r="E34" s="171"/>
      <c r="F34" s="171"/>
    </row>
    <row r="35" spans="1:6" ht="15">
      <c r="A35" s="175" t="s">
        <v>462</v>
      </c>
      <c r="B35" s="171"/>
      <c r="C35" s="171"/>
      <c r="D35" s="171"/>
      <c r="E35" s="171"/>
      <c r="F35" s="171"/>
    </row>
    <row r="36" spans="1:6" ht="15">
      <c r="A36" s="175" t="s">
        <v>463</v>
      </c>
      <c r="B36" s="171"/>
      <c r="C36" s="171"/>
      <c r="D36" s="171"/>
      <c r="E36" s="171"/>
      <c r="F36" s="171"/>
    </row>
    <row r="37" spans="1:6" ht="15">
      <c r="A37" s="175"/>
      <c r="B37" s="171"/>
      <c r="C37" s="171"/>
      <c r="D37" s="171"/>
      <c r="E37" s="171"/>
      <c r="F37" s="171"/>
    </row>
    <row r="38" spans="1:6" ht="15">
      <c r="A38" s="175" t="str">
        <f>CONCATENATE("Additionally, do your ",inputPrYr!C4-1," receipts contain a reimbursement")</f>
        <v>Additionally, do your 2011 receipts contain a reimbursement</v>
      </c>
      <c r="B38" s="171"/>
      <c r="C38" s="171"/>
      <c r="D38" s="171"/>
      <c r="E38" s="171"/>
      <c r="F38" s="171"/>
    </row>
    <row r="39" spans="1:6" ht="15">
      <c r="A39" s="175" t="s">
        <v>464</v>
      </c>
      <c r="B39" s="171"/>
      <c r="C39" s="171"/>
      <c r="D39" s="171"/>
      <c r="E39" s="171"/>
      <c r="F39" s="171"/>
    </row>
    <row r="40" spans="1:6" ht="15">
      <c r="A40" s="175" t="s">
        <v>465</v>
      </c>
      <c r="B40" s="171"/>
      <c r="C40" s="171"/>
      <c r="D40" s="171"/>
      <c r="E40" s="171"/>
      <c r="F40" s="171"/>
    </row>
    <row r="41" spans="1:6" ht="15">
      <c r="A41" s="175"/>
      <c r="B41" s="171"/>
      <c r="C41" s="171"/>
      <c r="D41" s="171"/>
      <c r="E41" s="171"/>
      <c r="F41" s="171"/>
    </row>
    <row r="42" spans="1:6" ht="15">
      <c r="A42" s="175" t="s">
        <v>466</v>
      </c>
      <c r="B42" s="171"/>
      <c r="C42" s="171"/>
      <c r="D42" s="171"/>
      <c r="E42" s="171"/>
      <c r="F42" s="171"/>
    </row>
    <row r="43" spans="1:6" ht="15">
      <c r="A43" s="175" t="s">
        <v>467</v>
      </c>
      <c r="B43" s="171"/>
      <c r="C43" s="171"/>
      <c r="D43" s="171"/>
      <c r="E43" s="171"/>
      <c r="F43" s="171"/>
    </row>
    <row r="44" spans="1:6" ht="15">
      <c r="A44" s="175" t="s">
        <v>468</v>
      </c>
      <c r="B44" s="171"/>
      <c r="C44" s="171"/>
      <c r="D44" s="171"/>
      <c r="E44" s="171"/>
      <c r="F44" s="171"/>
    </row>
    <row r="45" spans="1:6" ht="15">
      <c r="A45" s="175" t="s">
        <v>579</v>
      </c>
      <c r="B45" s="171"/>
      <c r="C45" s="171"/>
      <c r="D45" s="171"/>
      <c r="E45" s="171"/>
      <c r="F45" s="171"/>
    </row>
    <row r="46" spans="1:6" ht="15">
      <c r="A46" s="175" t="s">
        <v>470</v>
      </c>
      <c r="B46" s="171"/>
      <c r="C46" s="171"/>
      <c r="D46" s="171"/>
      <c r="E46" s="171"/>
      <c r="F46" s="171"/>
    </row>
    <row r="47" spans="1:6" ht="15">
      <c r="A47" s="175" t="s">
        <v>580</v>
      </c>
      <c r="B47" s="171"/>
      <c r="C47" s="171"/>
      <c r="D47" s="171"/>
      <c r="E47" s="171"/>
      <c r="F47" s="171"/>
    </row>
    <row r="48" spans="1:6" ht="15">
      <c r="A48" s="175" t="s">
        <v>581</v>
      </c>
      <c r="B48" s="171"/>
      <c r="C48" s="171"/>
      <c r="D48" s="171"/>
      <c r="E48" s="171"/>
      <c r="F48" s="171"/>
    </row>
    <row r="49" spans="1:6" ht="15">
      <c r="A49" s="175" t="s">
        <v>473</v>
      </c>
      <c r="B49" s="171"/>
      <c r="C49" s="171"/>
      <c r="D49" s="171"/>
      <c r="E49" s="171"/>
      <c r="F49" s="171"/>
    </row>
    <row r="50" spans="1:6" ht="15">
      <c r="A50" s="175"/>
      <c r="B50" s="171"/>
      <c r="C50" s="171"/>
      <c r="D50" s="171"/>
      <c r="E50" s="171"/>
      <c r="F50" s="171"/>
    </row>
    <row r="51" spans="1:6" ht="15">
      <c r="A51" s="175" t="s">
        <v>474</v>
      </c>
      <c r="B51" s="171"/>
      <c r="C51" s="171"/>
      <c r="D51" s="171"/>
      <c r="E51" s="171"/>
      <c r="F51" s="171"/>
    </row>
    <row r="52" spans="1:6" ht="15">
      <c r="A52" s="175" t="s">
        <v>475</v>
      </c>
      <c r="B52" s="171"/>
      <c r="C52" s="171"/>
      <c r="D52" s="171"/>
      <c r="E52" s="171"/>
      <c r="F52" s="171"/>
    </row>
    <row r="53" spans="1:6" ht="15">
      <c r="A53" s="175" t="s">
        <v>476</v>
      </c>
      <c r="B53" s="171"/>
      <c r="C53" s="171"/>
      <c r="D53" s="171"/>
      <c r="E53" s="171"/>
      <c r="F53" s="171"/>
    </row>
    <row r="54" spans="1:6" ht="15">
      <c r="A54" s="175"/>
      <c r="B54" s="171"/>
      <c r="C54" s="171"/>
      <c r="D54" s="171"/>
      <c r="E54" s="171"/>
      <c r="F54" s="171"/>
    </row>
    <row r="55" spans="1:6" ht="15">
      <c r="A55" s="175" t="s">
        <v>582</v>
      </c>
      <c r="B55" s="171"/>
      <c r="C55" s="171"/>
      <c r="D55" s="171"/>
      <c r="E55" s="171"/>
      <c r="F55" s="171"/>
    </row>
    <row r="56" spans="1:6" ht="15">
      <c r="A56" s="175" t="s">
        <v>583</v>
      </c>
      <c r="B56" s="171"/>
      <c r="C56" s="171"/>
      <c r="D56" s="171"/>
      <c r="E56" s="171"/>
      <c r="F56" s="171"/>
    </row>
    <row r="57" spans="1:6" ht="15">
      <c r="A57" s="175" t="s">
        <v>584</v>
      </c>
      <c r="B57" s="171"/>
      <c r="C57" s="171"/>
      <c r="D57" s="171"/>
      <c r="E57" s="171"/>
      <c r="F57" s="171"/>
    </row>
    <row r="58" spans="1:6" ht="15">
      <c r="A58" s="175" t="s">
        <v>585</v>
      </c>
      <c r="B58" s="171"/>
      <c r="C58" s="171"/>
      <c r="D58" s="171"/>
      <c r="E58" s="171"/>
      <c r="F58" s="171"/>
    </row>
    <row r="59" spans="1:6" ht="15">
      <c r="A59" s="175" t="s">
        <v>586</v>
      </c>
      <c r="B59" s="171"/>
      <c r="C59" s="171"/>
      <c r="D59" s="171"/>
      <c r="E59" s="171"/>
      <c r="F59" s="171"/>
    </row>
    <row r="60" spans="1:6" ht="15">
      <c r="A60" s="175"/>
      <c r="B60" s="171"/>
      <c r="C60" s="171"/>
      <c r="D60" s="171"/>
      <c r="E60" s="171"/>
      <c r="F60" s="171"/>
    </row>
    <row r="61" spans="1:6" ht="15">
      <c r="A61" s="176" t="s">
        <v>587</v>
      </c>
      <c r="B61" s="171"/>
      <c r="C61" s="171"/>
      <c r="D61" s="171"/>
      <c r="E61" s="171"/>
      <c r="F61" s="171"/>
    </row>
    <row r="62" spans="1:6" ht="15">
      <c r="A62" s="176" t="s">
        <v>588</v>
      </c>
      <c r="B62" s="171"/>
      <c r="C62" s="171"/>
      <c r="D62" s="171"/>
      <c r="E62" s="171"/>
      <c r="F62" s="171"/>
    </row>
    <row r="63" spans="1:6" ht="15">
      <c r="A63" s="176" t="s">
        <v>589</v>
      </c>
      <c r="B63" s="171"/>
      <c r="C63" s="171"/>
      <c r="D63" s="171"/>
      <c r="E63" s="171"/>
      <c r="F63" s="171"/>
    </row>
    <row r="64" ht="15">
      <c r="A64" s="176" t="s">
        <v>590</v>
      </c>
    </row>
    <row r="65" ht="15">
      <c r="A65" s="176" t="s">
        <v>591</v>
      </c>
    </row>
    <row r="66" ht="15">
      <c r="A66" s="176" t="s">
        <v>592</v>
      </c>
    </row>
    <row r="68" ht="15">
      <c r="A68" s="171" t="s">
        <v>593</v>
      </c>
    </row>
    <row r="69" ht="15">
      <c r="A69" s="171" t="s">
        <v>594</v>
      </c>
    </row>
    <row r="70" ht="15">
      <c r="A70" s="171" t="s">
        <v>595</v>
      </c>
    </row>
    <row r="71" ht="15">
      <c r="A71" s="171" t="s">
        <v>596</v>
      </c>
    </row>
    <row r="72" ht="15">
      <c r="A72" s="171" t="s">
        <v>597</v>
      </c>
    </row>
    <row r="73" ht="15">
      <c r="A73" s="171" t="s">
        <v>598</v>
      </c>
    </row>
    <row r="75" ht="15">
      <c r="A75" s="171" t="s">
        <v>503</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170" t="s">
        <v>599</v>
      </c>
      <c r="B3" s="170"/>
      <c r="C3" s="170"/>
      <c r="D3" s="170"/>
      <c r="E3" s="170"/>
      <c r="F3" s="170"/>
      <c r="G3" s="170"/>
    </row>
    <row r="4" spans="1:7" ht="15">
      <c r="A4" s="170"/>
      <c r="B4" s="170"/>
      <c r="C4" s="170"/>
      <c r="D4" s="170"/>
      <c r="E4" s="170"/>
      <c r="F4" s="170"/>
      <c r="G4" s="170"/>
    </row>
    <row r="5" ht="15">
      <c r="A5" s="171" t="s">
        <v>505</v>
      </c>
    </row>
    <row r="6" ht="15">
      <c r="A6" s="171" t="str">
        <f>CONCATENATE(inputPrYr!C4-1," estimated expenditures show that at the end of this year")</f>
        <v>2011 estimated expenditures show that at the end of this year</v>
      </c>
    </row>
    <row r="7" ht="15">
      <c r="A7" s="171" t="s">
        <v>600</v>
      </c>
    </row>
    <row r="8" ht="15">
      <c r="A8" s="171" t="s">
        <v>601</v>
      </c>
    </row>
    <row r="10" ht="15">
      <c r="A10" t="s">
        <v>507</v>
      </c>
    </row>
    <row r="11" ht="15">
      <c r="A11" t="s">
        <v>508</v>
      </c>
    </row>
    <row r="12" ht="15">
      <c r="A12" t="s">
        <v>509</v>
      </c>
    </row>
    <row r="13" spans="1:7" ht="15">
      <c r="A13" s="170"/>
      <c r="B13" s="170"/>
      <c r="C13" s="170"/>
      <c r="D13" s="170"/>
      <c r="E13" s="170"/>
      <c r="F13" s="170"/>
      <c r="G13" s="170"/>
    </row>
    <row r="14" ht="15">
      <c r="A14" s="172" t="s">
        <v>602</v>
      </c>
    </row>
    <row r="15" ht="15">
      <c r="A15" s="171"/>
    </row>
    <row r="16" ht="15">
      <c r="A16" s="171" t="s">
        <v>603</v>
      </c>
    </row>
    <row r="17" ht="15">
      <c r="A17" s="171" t="s">
        <v>604</v>
      </c>
    </row>
    <row r="18" ht="15">
      <c r="A18" s="171" t="s">
        <v>605</v>
      </c>
    </row>
    <row r="19" ht="15">
      <c r="A19" s="171"/>
    </row>
    <row r="20" ht="15">
      <c r="A20" s="171" t="s">
        <v>606</v>
      </c>
    </row>
    <row r="21" ht="15">
      <c r="A21" s="171" t="s">
        <v>607</v>
      </c>
    </row>
    <row r="22" ht="15">
      <c r="A22" s="171" t="s">
        <v>608</v>
      </c>
    </row>
    <row r="23" ht="15">
      <c r="A23" s="171" t="s">
        <v>609</v>
      </c>
    </row>
    <row r="24" ht="15">
      <c r="A24" s="171"/>
    </row>
    <row r="25" ht="15">
      <c r="A25" s="172" t="s">
        <v>571</v>
      </c>
    </row>
    <row r="26" ht="15">
      <c r="A26" s="172"/>
    </row>
    <row r="27" ht="15">
      <c r="A27" s="171" t="s">
        <v>572</v>
      </c>
    </row>
    <row r="28" spans="1:6" ht="15">
      <c r="A28" s="171" t="s">
        <v>573</v>
      </c>
      <c r="B28" s="171"/>
      <c r="C28" s="171"/>
      <c r="D28" s="171"/>
      <c r="E28" s="171"/>
      <c r="F28" s="171"/>
    </row>
    <row r="29" spans="1:6" ht="15">
      <c r="A29" s="171" t="s">
        <v>574</v>
      </c>
      <c r="B29" s="171"/>
      <c r="C29" s="171"/>
      <c r="D29" s="171"/>
      <c r="E29" s="171"/>
      <c r="F29" s="171"/>
    </row>
    <row r="30" spans="1:6" ht="15">
      <c r="A30" s="171" t="s">
        <v>575</v>
      </c>
      <c r="B30" s="171"/>
      <c r="C30" s="171"/>
      <c r="D30" s="171"/>
      <c r="E30" s="171"/>
      <c r="F30" s="171"/>
    </row>
    <row r="31" ht="15">
      <c r="A31" s="171"/>
    </row>
    <row r="32" spans="1:7" ht="15">
      <c r="A32" s="172" t="s">
        <v>576</v>
      </c>
      <c r="B32" s="172"/>
      <c r="C32" s="172"/>
      <c r="D32" s="172"/>
      <c r="E32" s="172"/>
      <c r="F32" s="172"/>
      <c r="G32" s="172"/>
    </row>
    <row r="33" spans="1:7" ht="15">
      <c r="A33" s="172" t="s">
        <v>577</v>
      </c>
      <c r="B33" s="172"/>
      <c r="C33" s="172"/>
      <c r="D33" s="172"/>
      <c r="E33" s="172"/>
      <c r="F33" s="172"/>
      <c r="G33" s="172"/>
    </row>
    <row r="34" spans="1:7" ht="15">
      <c r="A34" s="172"/>
      <c r="B34" s="172"/>
      <c r="C34" s="172"/>
      <c r="D34" s="172"/>
      <c r="E34" s="172"/>
      <c r="F34" s="172"/>
      <c r="G34" s="172"/>
    </row>
    <row r="35" spans="1:7" ht="15">
      <c r="A35" s="171" t="s">
        <v>610</v>
      </c>
      <c r="B35" s="171"/>
      <c r="C35" s="171"/>
      <c r="D35" s="171"/>
      <c r="E35" s="171"/>
      <c r="F35" s="171"/>
      <c r="G35" s="171"/>
    </row>
    <row r="36" spans="1:7" ht="15">
      <c r="A36" s="171" t="s">
        <v>611</v>
      </c>
      <c r="B36" s="171"/>
      <c r="C36" s="171"/>
      <c r="D36" s="171"/>
      <c r="E36" s="171"/>
      <c r="F36" s="171"/>
      <c r="G36" s="171"/>
    </row>
    <row r="37" spans="1:7" ht="15">
      <c r="A37" s="171" t="s">
        <v>612</v>
      </c>
      <c r="B37" s="171"/>
      <c r="C37" s="171"/>
      <c r="D37" s="171"/>
      <c r="E37" s="171"/>
      <c r="F37" s="171"/>
      <c r="G37" s="171"/>
    </row>
    <row r="38" spans="1:7" ht="15">
      <c r="A38" s="171" t="s">
        <v>613</v>
      </c>
      <c r="B38" s="171"/>
      <c r="C38" s="171"/>
      <c r="D38" s="171"/>
      <c r="E38" s="171"/>
      <c r="F38" s="171"/>
      <c r="G38" s="171"/>
    </row>
    <row r="39" spans="1:7" ht="15">
      <c r="A39" s="171" t="s">
        <v>614</v>
      </c>
      <c r="B39" s="171"/>
      <c r="C39" s="171"/>
      <c r="D39" s="171"/>
      <c r="E39" s="171"/>
      <c r="F39" s="171"/>
      <c r="G39" s="171"/>
    </row>
    <row r="40" spans="1:7" ht="15">
      <c r="A40" s="172"/>
      <c r="B40" s="172"/>
      <c r="C40" s="172"/>
      <c r="D40" s="172"/>
      <c r="E40" s="172"/>
      <c r="F40" s="172"/>
      <c r="G40" s="172"/>
    </row>
    <row r="41" spans="1:6" ht="15">
      <c r="A41" s="175" t="str">
        <f>CONCATENATE("So, let's look to see if any of your ",inputPrYr!C4-1," expenditures can")</f>
        <v>So, let's look to see if any of your 2011 expenditures can</v>
      </c>
      <c r="B41" s="171"/>
      <c r="C41" s="171"/>
      <c r="D41" s="171"/>
      <c r="E41" s="171"/>
      <c r="F41" s="171"/>
    </row>
    <row r="42" spans="1:6" ht="15">
      <c r="A42" s="175" t="s">
        <v>578</v>
      </c>
      <c r="B42" s="171"/>
      <c r="C42" s="171"/>
      <c r="D42" s="171"/>
      <c r="E42" s="171"/>
      <c r="F42" s="171"/>
    </row>
    <row r="43" spans="1:6" ht="15">
      <c r="A43" s="175" t="s">
        <v>462</v>
      </c>
      <c r="B43" s="171"/>
      <c r="C43" s="171"/>
      <c r="D43" s="171"/>
      <c r="E43" s="171"/>
      <c r="F43" s="171"/>
    </row>
    <row r="44" spans="1:6" ht="15">
      <c r="A44" s="175" t="s">
        <v>463</v>
      </c>
      <c r="B44" s="171"/>
      <c r="C44" s="171"/>
      <c r="D44" s="171"/>
      <c r="E44" s="171"/>
      <c r="F44" s="171"/>
    </row>
    <row r="45" ht="15">
      <c r="A45" s="171"/>
    </row>
    <row r="46" spans="1:6" ht="15">
      <c r="A46" s="175" t="str">
        <f>CONCATENATE("Additionally, do your ",inputPrYr!C4-1," receipts contain a reimbursement")</f>
        <v>Additionally, do your 2011 receipts contain a reimbursement</v>
      </c>
      <c r="B46" s="171"/>
      <c r="C46" s="171"/>
      <c r="D46" s="171"/>
      <c r="E46" s="171"/>
      <c r="F46" s="171"/>
    </row>
    <row r="47" spans="1:6" ht="15">
      <c r="A47" s="175" t="s">
        <v>464</v>
      </c>
      <c r="B47" s="171"/>
      <c r="C47" s="171"/>
      <c r="D47" s="171"/>
      <c r="E47" s="171"/>
      <c r="F47" s="171"/>
    </row>
    <row r="48" spans="1:6" ht="15">
      <c r="A48" s="175" t="s">
        <v>465</v>
      </c>
      <c r="B48" s="171"/>
      <c r="C48" s="171"/>
      <c r="D48" s="171"/>
      <c r="E48" s="171"/>
      <c r="F48" s="171"/>
    </row>
    <row r="49" spans="1:7" ht="15">
      <c r="A49" s="171"/>
      <c r="B49" s="171"/>
      <c r="C49" s="171"/>
      <c r="D49" s="171"/>
      <c r="E49" s="171"/>
      <c r="F49" s="171"/>
      <c r="G49" s="171"/>
    </row>
    <row r="50" spans="1:7" ht="15">
      <c r="A50" s="171" t="s">
        <v>532</v>
      </c>
      <c r="B50" s="171"/>
      <c r="C50" s="171"/>
      <c r="D50" s="171"/>
      <c r="E50" s="171"/>
      <c r="F50" s="171"/>
      <c r="G50" s="171"/>
    </row>
    <row r="51" spans="1:7" ht="15">
      <c r="A51" s="171" t="s">
        <v>533</v>
      </c>
      <c r="B51" s="171"/>
      <c r="C51" s="171"/>
      <c r="D51" s="171"/>
      <c r="E51" s="171"/>
      <c r="F51" s="171"/>
      <c r="G51" s="171"/>
    </row>
    <row r="52" spans="1:7" ht="15">
      <c r="A52" s="171" t="s">
        <v>534</v>
      </c>
      <c r="B52" s="171"/>
      <c r="C52" s="171"/>
      <c r="D52" s="171"/>
      <c r="E52" s="171"/>
      <c r="F52" s="171"/>
      <c r="G52" s="171"/>
    </row>
    <row r="53" spans="1:7" ht="15">
      <c r="A53" s="171" t="s">
        <v>535</v>
      </c>
      <c r="B53" s="171"/>
      <c r="C53" s="171"/>
      <c r="D53" s="171"/>
      <c r="E53" s="171"/>
      <c r="F53" s="171"/>
      <c r="G53" s="171"/>
    </row>
    <row r="54" spans="1:7" ht="15">
      <c r="A54" s="171" t="s">
        <v>536</v>
      </c>
      <c r="B54" s="171"/>
      <c r="C54" s="171"/>
      <c r="D54" s="171"/>
      <c r="E54" s="171"/>
      <c r="F54" s="171"/>
      <c r="G54" s="171"/>
    </row>
    <row r="55" spans="1:7" ht="15">
      <c r="A55" s="171"/>
      <c r="B55" s="171"/>
      <c r="C55" s="171"/>
      <c r="D55" s="171"/>
      <c r="E55" s="171"/>
      <c r="F55" s="171"/>
      <c r="G55" s="171"/>
    </row>
    <row r="56" spans="1:6" ht="15">
      <c r="A56" s="175" t="s">
        <v>474</v>
      </c>
      <c r="B56" s="171"/>
      <c r="C56" s="171"/>
      <c r="D56" s="171"/>
      <c r="E56" s="171"/>
      <c r="F56" s="171"/>
    </row>
    <row r="57" spans="1:6" ht="15">
      <c r="A57" s="175" t="s">
        <v>475</v>
      </c>
      <c r="B57" s="171"/>
      <c r="C57" s="171"/>
      <c r="D57" s="171"/>
      <c r="E57" s="171"/>
      <c r="F57" s="171"/>
    </row>
    <row r="58" spans="1:6" ht="15">
      <c r="A58" s="175" t="s">
        <v>476</v>
      </c>
      <c r="B58" s="171"/>
      <c r="C58" s="171"/>
      <c r="D58" s="171"/>
      <c r="E58" s="171"/>
      <c r="F58" s="171"/>
    </row>
    <row r="59" spans="1:6" ht="15">
      <c r="A59" s="175"/>
      <c r="B59" s="171"/>
      <c r="C59" s="171"/>
      <c r="D59" s="171"/>
      <c r="E59" s="171"/>
      <c r="F59" s="171"/>
    </row>
    <row r="60" spans="1:7" ht="15">
      <c r="A60" s="171" t="s">
        <v>615</v>
      </c>
      <c r="B60" s="171"/>
      <c r="C60" s="171"/>
      <c r="D60" s="171"/>
      <c r="E60" s="171"/>
      <c r="F60" s="171"/>
      <c r="G60" s="171"/>
    </row>
    <row r="61" spans="1:7" ht="15">
      <c r="A61" s="171" t="s">
        <v>616</v>
      </c>
      <c r="B61" s="171"/>
      <c r="C61" s="171"/>
      <c r="D61" s="171"/>
      <c r="E61" s="171"/>
      <c r="F61" s="171"/>
      <c r="G61" s="171"/>
    </row>
    <row r="62" spans="1:7" ht="15">
      <c r="A62" s="171" t="s">
        <v>617</v>
      </c>
      <c r="B62" s="171"/>
      <c r="C62" s="171"/>
      <c r="D62" s="171"/>
      <c r="E62" s="171"/>
      <c r="F62" s="171"/>
      <c r="G62" s="171"/>
    </row>
    <row r="63" spans="1:7" ht="15">
      <c r="A63" s="171" t="s">
        <v>618</v>
      </c>
      <c r="B63" s="171"/>
      <c r="C63" s="171"/>
      <c r="D63" s="171"/>
      <c r="E63" s="171"/>
      <c r="F63" s="171"/>
      <c r="G63" s="171"/>
    </row>
    <row r="64" spans="1:7" ht="15">
      <c r="A64" s="171" t="s">
        <v>619</v>
      </c>
      <c r="B64" s="171"/>
      <c r="C64" s="171"/>
      <c r="D64" s="171"/>
      <c r="E64" s="171"/>
      <c r="F64" s="171"/>
      <c r="G64" s="171"/>
    </row>
    <row r="66" spans="1:6" ht="15">
      <c r="A66" s="175" t="s">
        <v>582</v>
      </c>
      <c r="B66" s="171"/>
      <c r="C66" s="171"/>
      <c r="D66" s="171"/>
      <c r="E66" s="171"/>
      <c r="F66" s="171"/>
    </row>
    <row r="67" spans="1:6" ht="15">
      <c r="A67" s="175" t="s">
        <v>583</v>
      </c>
      <c r="B67" s="171"/>
      <c r="C67" s="171"/>
      <c r="D67" s="171"/>
      <c r="E67" s="171"/>
      <c r="F67" s="171"/>
    </row>
    <row r="68" spans="1:6" ht="15">
      <c r="A68" s="175" t="s">
        <v>584</v>
      </c>
      <c r="B68" s="171"/>
      <c r="C68" s="171"/>
      <c r="D68" s="171"/>
      <c r="E68" s="171"/>
      <c r="F68" s="171"/>
    </row>
    <row r="69" spans="1:6" ht="15">
      <c r="A69" s="175" t="s">
        <v>585</v>
      </c>
      <c r="B69" s="171"/>
      <c r="C69" s="171"/>
      <c r="D69" s="171"/>
      <c r="E69" s="171"/>
      <c r="F69" s="171"/>
    </row>
    <row r="70" spans="1:6" ht="15">
      <c r="A70" s="175" t="s">
        <v>586</v>
      </c>
      <c r="B70" s="171"/>
      <c r="C70" s="171"/>
      <c r="D70" s="171"/>
      <c r="E70" s="171"/>
      <c r="F70" s="171"/>
    </row>
    <row r="71" ht="15">
      <c r="A71" s="171"/>
    </row>
    <row r="72" ht="15">
      <c r="A72" s="171" t="s">
        <v>503</v>
      </c>
    </row>
    <row r="73" ht="15">
      <c r="A73" s="171"/>
    </row>
    <row r="74" ht="15">
      <c r="A74" s="171"/>
    </row>
    <row r="75" ht="15">
      <c r="A75" s="171"/>
    </row>
    <row r="78" ht="15">
      <c r="A78" s="172"/>
    </row>
    <row r="80" ht="15">
      <c r="A80" s="171"/>
    </row>
    <row r="81" ht="15">
      <c r="A81" s="171"/>
    </row>
    <row r="82" ht="15">
      <c r="A82" s="171"/>
    </row>
    <row r="83" ht="15">
      <c r="A83" s="171"/>
    </row>
    <row r="84" ht="15">
      <c r="A84" s="171"/>
    </row>
    <row r="85" ht="15">
      <c r="A85" s="171"/>
    </row>
    <row r="86" ht="15">
      <c r="A86" s="171"/>
    </row>
    <row r="87" ht="15">
      <c r="A87" s="171"/>
    </row>
    <row r="88" ht="15">
      <c r="A88" s="171"/>
    </row>
    <row r="89" ht="15">
      <c r="A89" s="171"/>
    </row>
    <row r="90" ht="15">
      <c r="A90" s="171"/>
    </row>
    <row r="92" ht="15">
      <c r="A92" s="171"/>
    </row>
    <row r="93" ht="15">
      <c r="A93" s="171"/>
    </row>
    <row r="94" ht="15">
      <c r="A94" s="171"/>
    </row>
    <row r="95" ht="15">
      <c r="A95" s="171"/>
    </row>
    <row r="96" ht="15">
      <c r="A96" s="171"/>
    </row>
    <row r="97" ht="15">
      <c r="A97" s="171"/>
    </row>
    <row r="98" ht="15">
      <c r="A98" s="171"/>
    </row>
    <row r="99" ht="15">
      <c r="A99" s="171"/>
    </row>
    <row r="100" ht="15">
      <c r="A100" s="171"/>
    </row>
    <row r="101" ht="15">
      <c r="A101" s="171"/>
    </row>
    <row r="102" ht="15">
      <c r="A102" s="171"/>
    </row>
    <row r="103" ht="15">
      <c r="A103" s="171"/>
    </row>
    <row r="104" ht="15">
      <c r="A104" s="171"/>
    </row>
    <row r="105" ht="15">
      <c r="A105" s="171"/>
    </row>
    <row r="106" ht="15">
      <c r="A106" s="171"/>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170" t="s">
        <v>620</v>
      </c>
      <c r="B3" s="170"/>
      <c r="C3" s="170"/>
      <c r="D3" s="170"/>
      <c r="E3" s="170"/>
      <c r="F3" s="170"/>
      <c r="G3" s="170"/>
    </row>
    <row r="4" spans="1:7" ht="15">
      <c r="A4" s="170" t="s">
        <v>621</v>
      </c>
      <c r="B4" s="170"/>
      <c r="C4" s="170"/>
      <c r="D4" s="170"/>
      <c r="E4" s="170"/>
      <c r="F4" s="170"/>
      <c r="G4" s="170"/>
    </row>
    <row r="5" spans="1:7" ht="15">
      <c r="A5" s="170"/>
      <c r="B5" s="170"/>
      <c r="C5" s="170"/>
      <c r="D5" s="170"/>
      <c r="E5" s="170"/>
      <c r="F5" s="170"/>
      <c r="G5" s="170"/>
    </row>
    <row r="6" spans="1:7" ht="15">
      <c r="A6" s="170"/>
      <c r="B6" s="170"/>
      <c r="C6" s="170"/>
      <c r="D6" s="170"/>
      <c r="E6" s="170"/>
      <c r="F6" s="170"/>
      <c r="G6" s="170"/>
    </row>
    <row r="7" ht="15">
      <c r="A7" s="171" t="s">
        <v>448</v>
      </c>
    </row>
    <row r="8" ht="15">
      <c r="A8" s="171" t="str">
        <f>CONCATENATE("estimated ",inputPrYr!C4," 'total expenditures' exceed your ",inputPrYr!C4,"")</f>
        <v>estimated 2012 'total expenditures' exceed your 2012</v>
      </c>
    </row>
    <row r="9" ht="15">
      <c r="A9" s="174" t="s">
        <v>622</v>
      </c>
    </row>
    <row r="10" ht="15">
      <c r="A10" s="171"/>
    </row>
    <row r="11" ht="15">
      <c r="A11" s="171" t="s">
        <v>623</v>
      </c>
    </row>
    <row r="12" ht="15">
      <c r="A12" s="171" t="s">
        <v>624</v>
      </c>
    </row>
    <row r="13" ht="15">
      <c r="A13" s="171" t="s">
        <v>625</v>
      </c>
    </row>
    <row r="14" ht="15">
      <c r="A14" s="171"/>
    </row>
    <row r="15" ht="15">
      <c r="A15" s="172" t="s">
        <v>626</v>
      </c>
    </row>
    <row r="16" spans="1:7" ht="15">
      <c r="A16" s="170"/>
      <c r="B16" s="170"/>
      <c r="C16" s="170"/>
      <c r="D16" s="170"/>
      <c r="E16" s="170"/>
      <c r="F16" s="170"/>
      <c r="G16" s="170"/>
    </row>
    <row r="17" spans="1:8" ht="15">
      <c r="A17" s="177" t="s">
        <v>627</v>
      </c>
      <c r="B17" s="156"/>
      <c r="C17" s="156"/>
      <c r="D17" s="156"/>
      <c r="E17" s="156"/>
      <c r="F17" s="156"/>
      <c r="G17" s="156"/>
      <c r="H17" s="156"/>
    </row>
    <row r="18" spans="1:7" ht="15">
      <c r="A18" s="171" t="s">
        <v>628</v>
      </c>
      <c r="B18" s="178"/>
      <c r="C18" s="178"/>
      <c r="D18" s="178"/>
      <c r="E18" s="178"/>
      <c r="F18" s="178"/>
      <c r="G18" s="178"/>
    </row>
    <row r="19" ht="15">
      <c r="A19" s="171" t="s">
        <v>629</v>
      </c>
    </row>
    <row r="20" ht="15">
      <c r="A20" s="171" t="s">
        <v>630</v>
      </c>
    </row>
    <row r="22" ht="15">
      <c r="A22" s="172" t="s">
        <v>631</v>
      </c>
    </row>
    <row r="24" ht="15">
      <c r="A24" s="171" t="s">
        <v>632</v>
      </c>
    </row>
    <row r="25" ht="15">
      <c r="A25" s="171" t="s">
        <v>633</v>
      </c>
    </row>
    <row r="26" ht="15">
      <c r="A26" s="171" t="s">
        <v>634</v>
      </c>
    </row>
    <row r="28" ht="15">
      <c r="A28" s="172" t="s">
        <v>635</v>
      </c>
    </row>
    <row r="30" ht="15">
      <c r="A30" t="s">
        <v>636</v>
      </c>
    </row>
    <row r="31" ht="15">
      <c r="A31" t="s">
        <v>637</v>
      </c>
    </row>
    <row r="32" ht="15">
      <c r="A32" t="s">
        <v>638</v>
      </c>
    </row>
    <row r="33" ht="15">
      <c r="A33" s="171" t="s">
        <v>639</v>
      </c>
    </row>
    <row r="35" ht="15">
      <c r="A35" t="s">
        <v>640</v>
      </c>
    </row>
    <row r="36" ht="15">
      <c r="A36" t="s">
        <v>641</v>
      </c>
    </row>
    <row r="37" ht="15">
      <c r="A37" t="s">
        <v>642</v>
      </c>
    </row>
    <row r="38" ht="15">
      <c r="A38" t="s">
        <v>643</v>
      </c>
    </row>
    <row r="40" ht="15">
      <c r="A40" t="s">
        <v>644</v>
      </c>
    </row>
    <row r="41" ht="15">
      <c r="A41" t="s">
        <v>645</v>
      </c>
    </row>
    <row r="42" ht="15">
      <c r="A42" t="s">
        <v>646</v>
      </c>
    </row>
    <row r="43" ht="15">
      <c r="A43" t="s">
        <v>647</v>
      </c>
    </row>
    <row r="44" ht="15">
      <c r="A44" t="s">
        <v>648</v>
      </c>
    </row>
    <row r="45" ht="15">
      <c r="A45" t="s">
        <v>649</v>
      </c>
    </row>
    <row r="47" ht="15">
      <c r="A47" t="s">
        <v>650</v>
      </c>
    </row>
    <row r="48" ht="15">
      <c r="A48" t="s">
        <v>651</v>
      </c>
    </row>
    <row r="49" ht="15">
      <c r="A49" s="171" t="s">
        <v>652</v>
      </c>
    </row>
    <row r="50" ht="15">
      <c r="A50" s="171" t="s">
        <v>653</v>
      </c>
    </row>
    <row r="52" ht="15">
      <c r="A52" t="s">
        <v>503</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199" customWidth="1"/>
    <col min="2" max="2" width="11.19921875" style="228" customWidth="1"/>
    <col min="3" max="3" width="7.3984375" style="228" customWidth="1"/>
    <col min="4" max="4" width="8.8984375" style="228" customWidth="1"/>
    <col min="5" max="5" width="1.59765625" style="228" customWidth="1"/>
    <col min="6" max="6" width="14.296875" style="228" customWidth="1"/>
    <col min="7" max="7" width="2.59765625" style="228" customWidth="1"/>
    <col min="8" max="8" width="9.796875" style="228" customWidth="1"/>
    <col min="9" max="9" width="2" style="228" customWidth="1"/>
    <col min="10" max="10" width="8.59765625" style="228" customWidth="1"/>
    <col min="11" max="11" width="11.69921875" style="228" customWidth="1"/>
    <col min="12" max="12" width="7.59765625" style="199" customWidth="1"/>
    <col min="13" max="14" width="8.8984375" style="199" customWidth="1"/>
    <col min="15" max="15" width="9.8984375" style="199" bestFit="1" customWidth="1"/>
    <col min="16" max="16384" width="8.8984375" style="199" customWidth="1"/>
  </cols>
  <sheetData>
    <row r="1" spans="1:12" ht="14.25">
      <c r="A1" s="227"/>
      <c r="B1" s="227"/>
      <c r="C1" s="227"/>
      <c r="D1" s="227"/>
      <c r="E1" s="227"/>
      <c r="F1" s="227"/>
      <c r="G1" s="227"/>
      <c r="H1" s="227"/>
      <c r="I1" s="227"/>
      <c r="J1" s="227"/>
      <c r="K1" s="227"/>
      <c r="L1" s="227"/>
    </row>
    <row r="2" spans="1:12" ht="14.25">
      <c r="A2" s="227"/>
      <c r="B2" s="227"/>
      <c r="C2" s="227"/>
      <c r="D2" s="227"/>
      <c r="E2" s="227"/>
      <c r="F2" s="227"/>
      <c r="G2" s="227"/>
      <c r="H2" s="227"/>
      <c r="I2" s="227"/>
      <c r="J2" s="227"/>
      <c r="K2" s="227"/>
      <c r="L2" s="227"/>
    </row>
    <row r="3" spans="1:12" ht="14.25">
      <c r="A3" s="227"/>
      <c r="B3" s="227"/>
      <c r="C3" s="227"/>
      <c r="D3" s="227"/>
      <c r="E3" s="227"/>
      <c r="F3" s="227"/>
      <c r="G3" s="227"/>
      <c r="H3" s="227"/>
      <c r="I3" s="227"/>
      <c r="J3" s="227"/>
      <c r="K3" s="227"/>
      <c r="L3" s="227"/>
    </row>
    <row r="4" spans="1:12" ht="14.25">
      <c r="A4" s="227"/>
      <c r="L4" s="227"/>
    </row>
    <row r="5" spans="1:12" ht="15" customHeight="1">
      <c r="A5" s="227"/>
      <c r="L5" s="227"/>
    </row>
    <row r="6" spans="1:12" ht="33" customHeight="1">
      <c r="A6" s="227"/>
      <c r="B6" s="881" t="s">
        <v>756</v>
      </c>
      <c r="C6" s="882"/>
      <c r="D6" s="882"/>
      <c r="E6" s="882"/>
      <c r="F6" s="882"/>
      <c r="G6" s="882"/>
      <c r="H6" s="882"/>
      <c r="I6" s="882"/>
      <c r="J6" s="882"/>
      <c r="K6" s="882"/>
      <c r="L6" s="229"/>
    </row>
    <row r="7" spans="1:12" ht="40.5" customHeight="1">
      <c r="A7" s="227"/>
      <c r="B7" s="883" t="s">
        <v>757</v>
      </c>
      <c r="C7" s="884"/>
      <c r="D7" s="884"/>
      <c r="E7" s="884"/>
      <c r="F7" s="884"/>
      <c r="G7" s="884"/>
      <c r="H7" s="884"/>
      <c r="I7" s="884"/>
      <c r="J7" s="884"/>
      <c r="K7" s="884"/>
      <c r="L7" s="227"/>
    </row>
    <row r="8" spans="1:12" ht="14.25">
      <c r="A8" s="227"/>
      <c r="B8" s="885" t="s">
        <v>758</v>
      </c>
      <c r="C8" s="885"/>
      <c r="D8" s="885"/>
      <c r="E8" s="885"/>
      <c r="F8" s="885"/>
      <c r="G8" s="885"/>
      <c r="H8" s="885"/>
      <c r="I8" s="885"/>
      <c r="J8" s="885"/>
      <c r="K8" s="885"/>
      <c r="L8" s="227"/>
    </row>
    <row r="9" spans="1:12" ht="14.25">
      <c r="A9" s="227"/>
      <c r="L9" s="227"/>
    </row>
    <row r="10" spans="1:12" ht="14.25">
      <c r="A10" s="227"/>
      <c r="B10" s="885" t="s">
        <v>759</v>
      </c>
      <c r="C10" s="885"/>
      <c r="D10" s="885"/>
      <c r="E10" s="885"/>
      <c r="F10" s="885"/>
      <c r="G10" s="885"/>
      <c r="H10" s="885"/>
      <c r="I10" s="885"/>
      <c r="J10" s="885"/>
      <c r="K10" s="885"/>
      <c r="L10" s="227"/>
    </row>
    <row r="11" spans="1:12" ht="14.25">
      <c r="A11" s="227"/>
      <c r="B11" s="208"/>
      <c r="C11" s="208"/>
      <c r="D11" s="208"/>
      <c r="E11" s="208"/>
      <c r="F11" s="208"/>
      <c r="G11" s="208"/>
      <c r="H11" s="208"/>
      <c r="I11" s="208"/>
      <c r="J11" s="208"/>
      <c r="K11" s="208"/>
      <c r="L11" s="227"/>
    </row>
    <row r="12" spans="1:12" ht="32.25" customHeight="1">
      <c r="A12" s="227"/>
      <c r="B12" s="879" t="s">
        <v>760</v>
      </c>
      <c r="C12" s="879"/>
      <c r="D12" s="879"/>
      <c r="E12" s="879"/>
      <c r="F12" s="879"/>
      <c r="G12" s="879"/>
      <c r="H12" s="879"/>
      <c r="I12" s="879"/>
      <c r="J12" s="879"/>
      <c r="K12" s="879"/>
      <c r="L12" s="227"/>
    </row>
    <row r="13" spans="1:12" ht="14.25">
      <c r="A13" s="227"/>
      <c r="L13" s="227"/>
    </row>
    <row r="14" spans="1:12" ht="14.25">
      <c r="A14" s="227"/>
      <c r="B14" s="209" t="s">
        <v>761</v>
      </c>
      <c r="L14" s="227"/>
    </row>
    <row r="15" spans="1:12" ht="14.25">
      <c r="A15" s="227"/>
      <c r="L15" s="227"/>
    </row>
    <row r="16" spans="1:12" ht="14.25">
      <c r="A16" s="227"/>
      <c r="B16" s="228" t="s">
        <v>762</v>
      </c>
      <c r="L16" s="227"/>
    </row>
    <row r="17" spans="1:12" ht="14.25">
      <c r="A17" s="227"/>
      <c r="B17" s="228" t="s">
        <v>763</v>
      </c>
      <c r="L17" s="227"/>
    </row>
    <row r="18" spans="1:12" ht="14.25">
      <c r="A18" s="227"/>
      <c r="L18" s="227"/>
    </row>
    <row r="19" spans="1:12" ht="14.25">
      <c r="A19" s="227"/>
      <c r="B19" s="209" t="s">
        <v>764</v>
      </c>
      <c r="L19" s="227"/>
    </row>
    <row r="20" spans="1:12" ht="14.25">
      <c r="A20" s="227"/>
      <c r="B20" s="209"/>
      <c r="L20" s="227"/>
    </row>
    <row r="21" spans="1:12" ht="14.25">
      <c r="A21" s="227"/>
      <c r="B21" s="228" t="s">
        <v>765</v>
      </c>
      <c r="L21" s="227"/>
    </row>
    <row r="22" spans="1:12" ht="14.25">
      <c r="A22" s="227"/>
      <c r="L22" s="227"/>
    </row>
    <row r="23" spans="1:12" ht="14.25">
      <c r="A23" s="227"/>
      <c r="B23" s="228" t="s">
        <v>766</v>
      </c>
      <c r="E23" s="228" t="s">
        <v>767</v>
      </c>
      <c r="F23" s="876">
        <v>133685008</v>
      </c>
      <c r="G23" s="876"/>
      <c r="L23" s="227"/>
    </row>
    <row r="24" spans="1:12" ht="14.25">
      <c r="A24" s="227"/>
      <c r="L24" s="227"/>
    </row>
    <row r="25" spans="1:12" ht="14.25">
      <c r="A25" s="227"/>
      <c r="C25" s="886">
        <f>F23</f>
        <v>133685008</v>
      </c>
      <c r="D25" s="886"/>
      <c r="E25" s="228" t="s">
        <v>768</v>
      </c>
      <c r="F25" s="230">
        <v>1000</v>
      </c>
      <c r="G25" s="230" t="s">
        <v>767</v>
      </c>
      <c r="H25" s="231">
        <f>F23/F25</f>
        <v>133685.008</v>
      </c>
      <c r="L25" s="227"/>
    </row>
    <row r="26" spans="1:12" ht="15" thickBot="1">
      <c r="A26" s="227"/>
      <c r="L26" s="227"/>
    </row>
    <row r="27" spans="1:12" ht="14.25">
      <c r="A27" s="227"/>
      <c r="B27" s="210" t="s">
        <v>761</v>
      </c>
      <c r="C27" s="232"/>
      <c r="D27" s="232"/>
      <c r="E27" s="232"/>
      <c r="F27" s="232"/>
      <c r="G27" s="232"/>
      <c r="H27" s="232"/>
      <c r="I27" s="232"/>
      <c r="J27" s="232"/>
      <c r="K27" s="233"/>
      <c r="L27" s="227"/>
    </row>
    <row r="28" spans="1:12" ht="14.25">
      <c r="A28" s="227"/>
      <c r="B28" s="234">
        <f>F23</f>
        <v>133685008</v>
      </c>
      <c r="C28" s="235" t="s">
        <v>769</v>
      </c>
      <c r="D28" s="235"/>
      <c r="E28" s="235" t="s">
        <v>768</v>
      </c>
      <c r="F28" s="236">
        <v>1000</v>
      </c>
      <c r="G28" s="236" t="s">
        <v>767</v>
      </c>
      <c r="H28" s="237">
        <f>B28/F28</f>
        <v>133685.008</v>
      </c>
      <c r="I28" s="235" t="s">
        <v>770</v>
      </c>
      <c r="J28" s="235"/>
      <c r="K28" s="238"/>
      <c r="L28" s="227"/>
    </row>
    <row r="29" spans="1:12" ht="15" thickBot="1">
      <c r="A29" s="227"/>
      <c r="B29" s="239"/>
      <c r="C29" s="240"/>
      <c r="D29" s="240"/>
      <c r="E29" s="240"/>
      <c r="F29" s="240"/>
      <c r="G29" s="240"/>
      <c r="H29" s="240"/>
      <c r="I29" s="240"/>
      <c r="J29" s="240"/>
      <c r="K29" s="241"/>
      <c r="L29" s="227"/>
    </row>
    <row r="30" spans="1:12" ht="40.5" customHeight="1">
      <c r="A30" s="227"/>
      <c r="B30" s="875" t="s">
        <v>757</v>
      </c>
      <c r="C30" s="875"/>
      <c r="D30" s="875"/>
      <c r="E30" s="875"/>
      <c r="F30" s="875"/>
      <c r="G30" s="875"/>
      <c r="H30" s="875"/>
      <c r="I30" s="875"/>
      <c r="J30" s="875"/>
      <c r="K30" s="875"/>
      <c r="L30" s="227"/>
    </row>
    <row r="31" spans="1:12" ht="14.25">
      <c r="A31" s="227"/>
      <c r="B31" s="885" t="s">
        <v>771</v>
      </c>
      <c r="C31" s="885"/>
      <c r="D31" s="885"/>
      <c r="E31" s="885"/>
      <c r="F31" s="885"/>
      <c r="G31" s="885"/>
      <c r="H31" s="885"/>
      <c r="I31" s="885"/>
      <c r="J31" s="885"/>
      <c r="K31" s="885"/>
      <c r="L31" s="227"/>
    </row>
    <row r="32" spans="1:12" ht="14.25">
      <c r="A32" s="227"/>
      <c r="L32" s="227"/>
    </row>
    <row r="33" spans="1:12" ht="14.25">
      <c r="A33" s="227"/>
      <c r="B33" s="885" t="s">
        <v>772</v>
      </c>
      <c r="C33" s="885"/>
      <c r="D33" s="885"/>
      <c r="E33" s="885"/>
      <c r="F33" s="885"/>
      <c r="G33" s="885"/>
      <c r="H33" s="885"/>
      <c r="I33" s="885"/>
      <c r="J33" s="885"/>
      <c r="K33" s="885"/>
      <c r="L33" s="227"/>
    </row>
    <row r="34" spans="1:12" ht="14.25">
      <c r="A34" s="227"/>
      <c r="L34" s="227"/>
    </row>
    <row r="35" spans="1:12" ht="89.25" customHeight="1">
      <c r="A35" s="227"/>
      <c r="B35" s="879" t="s">
        <v>773</v>
      </c>
      <c r="C35" s="878"/>
      <c r="D35" s="878"/>
      <c r="E35" s="878"/>
      <c r="F35" s="878"/>
      <c r="G35" s="878"/>
      <c r="H35" s="878"/>
      <c r="I35" s="878"/>
      <c r="J35" s="878"/>
      <c r="K35" s="878"/>
      <c r="L35" s="227"/>
    </row>
    <row r="36" spans="1:12" ht="14.25">
      <c r="A36" s="227"/>
      <c r="L36" s="227"/>
    </row>
    <row r="37" spans="1:12" ht="14.25">
      <c r="A37" s="227"/>
      <c r="B37" s="209" t="s">
        <v>774</v>
      </c>
      <c r="L37" s="227"/>
    </row>
    <row r="38" spans="1:12" ht="14.25">
      <c r="A38" s="227"/>
      <c r="L38" s="227"/>
    </row>
    <row r="39" spans="1:12" ht="14.25">
      <c r="A39" s="227"/>
      <c r="B39" s="228" t="s">
        <v>775</v>
      </c>
      <c r="L39" s="227"/>
    </row>
    <row r="40" spans="1:12" ht="14.25">
      <c r="A40" s="227"/>
      <c r="L40" s="227"/>
    </row>
    <row r="41" spans="1:12" ht="14.25">
      <c r="A41" s="227"/>
      <c r="C41" s="887">
        <v>3120000</v>
      </c>
      <c r="D41" s="887"/>
      <c r="E41" s="228" t="s">
        <v>768</v>
      </c>
      <c r="F41" s="230">
        <v>1000</v>
      </c>
      <c r="G41" s="230" t="s">
        <v>767</v>
      </c>
      <c r="H41" s="242">
        <f>C41/F41</f>
        <v>3120</v>
      </c>
      <c r="L41" s="227"/>
    </row>
    <row r="42" spans="1:12" ht="14.25">
      <c r="A42" s="227"/>
      <c r="L42" s="227"/>
    </row>
    <row r="43" spans="1:12" ht="14.25">
      <c r="A43" s="227"/>
      <c r="B43" s="228" t="s">
        <v>776</v>
      </c>
      <c r="L43" s="227"/>
    </row>
    <row r="44" spans="1:12" ht="14.25">
      <c r="A44" s="227"/>
      <c r="L44" s="227"/>
    </row>
    <row r="45" spans="1:12" ht="14.25">
      <c r="A45" s="227"/>
      <c r="B45" s="228" t="s">
        <v>777</v>
      </c>
      <c r="L45" s="227"/>
    </row>
    <row r="46" spans="1:12" ht="15" thickBot="1">
      <c r="A46" s="227"/>
      <c r="L46" s="227"/>
    </row>
    <row r="47" spans="1:12" ht="14.25">
      <c r="A47" s="227"/>
      <c r="B47" s="243" t="s">
        <v>761</v>
      </c>
      <c r="C47" s="232"/>
      <c r="D47" s="232"/>
      <c r="E47" s="232"/>
      <c r="F47" s="232"/>
      <c r="G47" s="232"/>
      <c r="H47" s="232"/>
      <c r="I47" s="232"/>
      <c r="J47" s="232"/>
      <c r="K47" s="233"/>
      <c r="L47" s="227"/>
    </row>
    <row r="48" spans="1:12" ht="14.25">
      <c r="A48" s="227"/>
      <c r="B48" s="876">
        <v>133685008</v>
      </c>
      <c r="C48" s="876"/>
      <c r="D48" s="235" t="s">
        <v>778</v>
      </c>
      <c r="E48" s="235" t="s">
        <v>768</v>
      </c>
      <c r="F48" s="236">
        <v>1000</v>
      </c>
      <c r="G48" s="236" t="s">
        <v>767</v>
      </c>
      <c r="H48" s="237">
        <f>B48/F48</f>
        <v>133685.008</v>
      </c>
      <c r="I48" s="235" t="s">
        <v>779</v>
      </c>
      <c r="J48" s="235"/>
      <c r="K48" s="238"/>
      <c r="L48" s="227"/>
    </row>
    <row r="49" spans="1:12" ht="14.25">
      <c r="A49" s="227"/>
      <c r="B49" s="244"/>
      <c r="C49" s="235"/>
      <c r="D49" s="235"/>
      <c r="E49" s="235"/>
      <c r="F49" s="235"/>
      <c r="G49" s="235"/>
      <c r="H49" s="235"/>
      <c r="I49" s="235"/>
      <c r="J49" s="235"/>
      <c r="K49" s="238"/>
      <c r="L49" s="227"/>
    </row>
    <row r="50" spans="1:12" ht="14.25">
      <c r="A50" s="227"/>
      <c r="B50" s="245">
        <v>7067793</v>
      </c>
      <c r="C50" s="235" t="s">
        <v>780</v>
      </c>
      <c r="D50" s="235"/>
      <c r="E50" s="235" t="s">
        <v>768</v>
      </c>
      <c r="F50" s="237">
        <f>H48</f>
        <v>133685.008</v>
      </c>
      <c r="G50" s="888" t="s">
        <v>781</v>
      </c>
      <c r="H50" s="889"/>
      <c r="I50" s="236" t="s">
        <v>767</v>
      </c>
      <c r="J50" s="246">
        <f>B50/F50</f>
        <v>52.8690023342034</v>
      </c>
      <c r="K50" s="238"/>
      <c r="L50" s="227"/>
    </row>
    <row r="51" spans="1:15" ht="15" thickBot="1">
      <c r="A51" s="227"/>
      <c r="B51" s="239"/>
      <c r="C51" s="240"/>
      <c r="D51" s="240"/>
      <c r="E51" s="240"/>
      <c r="F51" s="240"/>
      <c r="G51" s="240"/>
      <c r="H51" s="240"/>
      <c r="I51" s="890" t="s">
        <v>782</v>
      </c>
      <c r="J51" s="890"/>
      <c r="K51" s="891"/>
      <c r="L51" s="227"/>
      <c r="O51" s="247"/>
    </row>
    <row r="52" spans="1:12" ht="40.5" customHeight="1">
      <c r="A52" s="227"/>
      <c r="B52" s="875" t="s">
        <v>757</v>
      </c>
      <c r="C52" s="875"/>
      <c r="D52" s="875"/>
      <c r="E52" s="875"/>
      <c r="F52" s="875"/>
      <c r="G52" s="875"/>
      <c r="H52" s="875"/>
      <c r="I52" s="875"/>
      <c r="J52" s="875"/>
      <c r="K52" s="875"/>
      <c r="L52" s="227"/>
    </row>
    <row r="53" spans="1:12" ht="14.25">
      <c r="A53" s="227"/>
      <c r="B53" s="885" t="s">
        <v>783</v>
      </c>
      <c r="C53" s="885"/>
      <c r="D53" s="885"/>
      <c r="E53" s="885"/>
      <c r="F53" s="885"/>
      <c r="G53" s="885"/>
      <c r="H53" s="885"/>
      <c r="I53" s="885"/>
      <c r="J53" s="885"/>
      <c r="K53" s="885"/>
      <c r="L53" s="227"/>
    </row>
    <row r="54" spans="1:12" ht="14.25">
      <c r="A54" s="227"/>
      <c r="B54" s="208"/>
      <c r="C54" s="208"/>
      <c r="D54" s="208"/>
      <c r="E54" s="208"/>
      <c r="F54" s="208"/>
      <c r="G54" s="208"/>
      <c r="H54" s="208"/>
      <c r="I54" s="208"/>
      <c r="J54" s="208"/>
      <c r="K54" s="208"/>
      <c r="L54" s="227"/>
    </row>
    <row r="55" spans="1:12" ht="14.25">
      <c r="A55" s="227"/>
      <c r="B55" s="881" t="s">
        <v>784</v>
      </c>
      <c r="C55" s="881"/>
      <c r="D55" s="881"/>
      <c r="E55" s="881"/>
      <c r="F55" s="881"/>
      <c r="G55" s="881"/>
      <c r="H55" s="881"/>
      <c r="I55" s="881"/>
      <c r="J55" s="881"/>
      <c r="K55" s="881"/>
      <c r="L55" s="227"/>
    </row>
    <row r="56" spans="1:12" ht="15" customHeight="1">
      <c r="A56" s="227"/>
      <c r="L56" s="227"/>
    </row>
    <row r="57" spans="1:24" ht="74.25" customHeight="1">
      <c r="A57" s="227"/>
      <c r="B57" s="879" t="s">
        <v>785</v>
      </c>
      <c r="C57" s="878"/>
      <c r="D57" s="878"/>
      <c r="E57" s="878"/>
      <c r="F57" s="878"/>
      <c r="G57" s="878"/>
      <c r="H57" s="878"/>
      <c r="I57" s="878"/>
      <c r="J57" s="878"/>
      <c r="K57" s="878"/>
      <c r="L57" s="227"/>
      <c r="M57" s="211"/>
      <c r="N57" s="198"/>
      <c r="O57" s="198"/>
      <c r="P57" s="198"/>
      <c r="Q57" s="198"/>
      <c r="R57" s="198"/>
      <c r="S57" s="198"/>
      <c r="T57" s="198"/>
      <c r="U57" s="198"/>
      <c r="V57" s="198"/>
      <c r="W57" s="198"/>
      <c r="X57" s="198"/>
    </row>
    <row r="58" spans="1:24" ht="15" customHeight="1">
      <c r="A58" s="227"/>
      <c r="B58" s="879"/>
      <c r="C58" s="878"/>
      <c r="D58" s="878"/>
      <c r="E58" s="878"/>
      <c r="F58" s="878"/>
      <c r="G58" s="878"/>
      <c r="H58" s="878"/>
      <c r="I58" s="878"/>
      <c r="J58" s="878"/>
      <c r="K58" s="878"/>
      <c r="L58" s="227"/>
      <c r="M58" s="211"/>
      <c r="N58" s="198"/>
      <c r="O58" s="198"/>
      <c r="P58" s="198"/>
      <c r="Q58" s="198"/>
      <c r="R58" s="198"/>
      <c r="S58" s="198"/>
      <c r="T58" s="198"/>
      <c r="U58" s="198"/>
      <c r="V58" s="198"/>
      <c r="W58" s="198"/>
      <c r="X58" s="198"/>
    </row>
    <row r="59" spans="1:24" ht="14.25">
      <c r="A59" s="227"/>
      <c r="B59" s="209" t="s">
        <v>774</v>
      </c>
      <c r="L59" s="227"/>
      <c r="M59" s="198"/>
      <c r="N59" s="198"/>
      <c r="O59" s="198"/>
      <c r="P59" s="198"/>
      <c r="Q59" s="198"/>
      <c r="R59" s="198"/>
      <c r="S59" s="198"/>
      <c r="T59" s="198"/>
      <c r="U59" s="198"/>
      <c r="V59" s="198"/>
      <c r="W59" s="198"/>
      <c r="X59" s="198"/>
    </row>
    <row r="60" spans="1:24" ht="14.25">
      <c r="A60" s="227"/>
      <c r="L60" s="227"/>
      <c r="M60" s="198"/>
      <c r="N60" s="198"/>
      <c r="O60" s="198"/>
      <c r="P60" s="198"/>
      <c r="Q60" s="198"/>
      <c r="R60" s="198"/>
      <c r="S60" s="198"/>
      <c r="T60" s="198"/>
      <c r="U60" s="198"/>
      <c r="V60" s="198"/>
      <c r="W60" s="198"/>
      <c r="X60" s="198"/>
    </row>
    <row r="61" spans="1:24" ht="14.25">
      <c r="A61" s="227"/>
      <c r="B61" s="228" t="s">
        <v>786</v>
      </c>
      <c r="L61" s="227"/>
      <c r="M61" s="198"/>
      <c r="N61" s="198"/>
      <c r="O61" s="198"/>
      <c r="P61" s="198"/>
      <c r="Q61" s="198"/>
      <c r="R61" s="198"/>
      <c r="S61" s="198"/>
      <c r="T61" s="198"/>
      <c r="U61" s="198"/>
      <c r="V61" s="198"/>
      <c r="W61" s="198"/>
      <c r="X61" s="198"/>
    </row>
    <row r="62" spans="1:24" ht="14.25">
      <c r="A62" s="227"/>
      <c r="B62" s="228" t="s">
        <v>787</v>
      </c>
      <c r="L62" s="227"/>
      <c r="M62" s="198"/>
      <c r="N62" s="198"/>
      <c r="O62" s="198"/>
      <c r="P62" s="198"/>
      <c r="Q62" s="198"/>
      <c r="R62" s="198"/>
      <c r="S62" s="198"/>
      <c r="T62" s="198"/>
      <c r="U62" s="198"/>
      <c r="V62" s="198"/>
      <c r="W62" s="198"/>
      <c r="X62" s="198"/>
    </row>
    <row r="63" spans="1:24" ht="14.25">
      <c r="A63" s="227"/>
      <c r="B63" s="228" t="s">
        <v>788</v>
      </c>
      <c r="L63" s="227"/>
      <c r="M63" s="198"/>
      <c r="N63" s="198"/>
      <c r="O63" s="198"/>
      <c r="P63" s="198"/>
      <c r="Q63" s="198"/>
      <c r="R63" s="198"/>
      <c r="S63" s="198"/>
      <c r="T63" s="198"/>
      <c r="U63" s="198"/>
      <c r="V63" s="198"/>
      <c r="W63" s="198"/>
      <c r="X63" s="198"/>
    </row>
    <row r="64" spans="1:24" ht="14.25">
      <c r="A64" s="227"/>
      <c r="L64" s="227"/>
      <c r="M64" s="198"/>
      <c r="N64" s="198"/>
      <c r="O64" s="198"/>
      <c r="P64" s="198"/>
      <c r="Q64" s="198"/>
      <c r="R64" s="198"/>
      <c r="S64" s="198"/>
      <c r="T64" s="198"/>
      <c r="U64" s="198"/>
      <c r="V64" s="198"/>
      <c r="W64" s="198"/>
      <c r="X64" s="198"/>
    </row>
    <row r="65" spans="1:24" ht="14.25">
      <c r="A65" s="227"/>
      <c r="B65" s="228" t="s">
        <v>789</v>
      </c>
      <c r="L65" s="227"/>
      <c r="M65" s="198"/>
      <c r="N65" s="198"/>
      <c r="O65" s="198"/>
      <c r="P65" s="198"/>
      <c r="Q65" s="198"/>
      <c r="R65" s="198"/>
      <c r="S65" s="198"/>
      <c r="T65" s="198"/>
      <c r="U65" s="198"/>
      <c r="V65" s="198"/>
      <c r="W65" s="198"/>
      <c r="X65" s="198"/>
    </row>
    <row r="66" spans="1:24" ht="14.25">
      <c r="A66" s="227"/>
      <c r="B66" s="228" t="s">
        <v>790</v>
      </c>
      <c r="L66" s="227"/>
      <c r="M66" s="198"/>
      <c r="N66" s="198"/>
      <c r="O66" s="198"/>
      <c r="P66" s="198"/>
      <c r="Q66" s="198"/>
      <c r="R66" s="198"/>
      <c r="S66" s="198"/>
      <c r="T66" s="198"/>
      <c r="U66" s="198"/>
      <c r="V66" s="198"/>
      <c r="W66" s="198"/>
      <c r="X66" s="198"/>
    </row>
    <row r="67" spans="1:24" ht="14.25">
      <c r="A67" s="227"/>
      <c r="L67" s="227"/>
      <c r="M67" s="198"/>
      <c r="N67" s="198"/>
      <c r="O67" s="198"/>
      <c r="P67" s="198"/>
      <c r="Q67" s="198"/>
      <c r="R67" s="198"/>
      <c r="S67" s="198"/>
      <c r="T67" s="198"/>
      <c r="U67" s="198"/>
      <c r="V67" s="198"/>
      <c r="W67" s="198"/>
      <c r="X67" s="198"/>
    </row>
    <row r="68" spans="1:24" ht="14.25">
      <c r="A68" s="227"/>
      <c r="B68" s="228" t="s">
        <v>791</v>
      </c>
      <c r="L68" s="227"/>
      <c r="M68" s="212"/>
      <c r="N68" s="197"/>
      <c r="O68" s="197"/>
      <c r="P68" s="197"/>
      <c r="Q68" s="197"/>
      <c r="R68" s="197"/>
      <c r="S68" s="197"/>
      <c r="T68" s="197"/>
      <c r="U68" s="197"/>
      <c r="V68" s="197"/>
      <c r="W68" s="197"/>
      <c r="X68" s="198"/>
    </row>
    <row r="69" spans="1:24" ht="14.25">
      <c r="A69" s="227"/>
      <c r="B69" s="228" t="s">
        <v>792</v>
      </c>
      <c r="L69" s="227"/>
      <c r="M69" s="198"/>
      <c r="N69" s="198"/>
      <c r="O69" s="198"/>
      <c r="P69" s="198"/>
      <c r="Q69" s="198"/>
      <c r="R69" s="198"/>
      <c r="S69" s="198"/>
      <c r="T69" s="198"/>
      <c r="U69" s="198"/>
      <c r="V69" s="198"/>
      <c r="W69" s="198"/>
      <c r="X69" s="198"/>
    </row>
    <row r="70" spans="1:24" ht="14.25">
      <c r="A70" s="227"/>
      <c r="B70" s="228" t="s">
        <v>793</v>
      </c>
      <c r="L70" s="227"/>
      <c r="M70" s="198"/>
      <c r="N70" s="198"/>
      <c r="O70" s="198"/>
      <c r="P70" s="198"/>
      <c r="Q70" s="198"/>
      <c r="R70" s="198"/>
      <c r="S70" s="198"/>
      <c r="T70" s="198"/>
      <c r="U70" s="198"/>
      <c r="V70" s="198"/>
      <c r="W70" s="198"/>
      <c r="X70" s="198"/>
    </row>
    <row r="71" spans="1:12" ht="15" thickBot="1">
      <c r="A71" s="227"/>
      <c r="B71" s="235"/>
      <c r="C71" s="235"/>
      <c r="D71" s="235"/>
      <c r="E71" s="235"/>
      <c r="F71" s="235"/>
      <c r="G71" s="235"/>
      <c r="H71" s="235"/>
      <c r="I71" s="235"/>
      <c r="J71" s="235"/>
      <c r="K71" s="235"/>
      <c r="L71" s="227"/>
    </row>
    <row r="72" spans="1:12" ht="14.25">
      <c r="A72" s="227"/>
      <c r="B72" s="210" t="s">
        <v>761</v>
      </c>
      <c r="C72" s="232"/>
      <c r="D72" s="232"/>
      <c r="E72" s="232"/>
      <c r="F72" s="232"/>
      <c r="G72" s="232"/>
      <c r="H72" s="232"/>
      <c r="I72" s="232"/>
      <c r="J72" s="232"/>
      <c r="K72" s="233"/>
      <c r="L72" s="248"/>
    </row>
    <row r="73" spans="1:12" ht="14.25">
      <c r="A73" s="227"/>
      <c r="B73" s="244"/>
      <c r="C73" s="235" t="s">
        <v>769</v>
      </c>
      <c r="D73" s="235"/>
      <c r="E73" s="235"/>
      <c r="F73" s="235"/>
      <c r="G73" s="235"/>
      <c r="H73" s="235"/>
      <c r="I73" s="235"/>
      <c r="J73" s="235"/>
      <c r="K73" s="238"/>
      <c r="L73" s="248"/>
    </row>
    <row r="74" spans="1:12" ht="14.25">
      <c r="A74" s="227"/>
      <c r="B74" s="244" t="s">
        <v>794</v>
      </c>
      <c r="C74" s="876">
        <v>133685008</v>
      </c>
      <c r="D74" s="876"/>
      <c r="E74" s="236" t="s">
        <v>768</v>
      </c>
      <c r="F74" s="236">
        <v>1000</v>
      </c>
      <c r="G74" s="236" t="s">
        <v>767</v>
      </c>
      <c r="H74" s="249">
        <f>C74/F74</f>
        <v>133685.008</v>
      </c>
      <c r="I74" s="235" t="s">
        <v>795</v>
      </c>
      <c r="J74" s="235"/>
      <c r="K74" s="238"/>
      <c r="L74" s="248"/>
    </row>
    <row r="75" spans="1:12" ht="14.25">
      <c r="A75" s="227"/>
      <c r="B75" s="244"/>
      <c r="C75" s="235"/>
      <c r="D75" s="235"/>
      <c r="E75" s="236"/>
      <c r="F75" s="235"/>
      <c r="G75" s="235"/>
      <c r="H75" s="235"/>
      <c r="I75" s="235"/>
      <c r="J75" s="235"/>
      <c r="K75" s="238"/>
      <c r="L75" s="248"/>
    </row>
    <row r="76" spans="1:12" ht="14.25">
      <c r="A76" s="227"/>
      <c r="B76" s="244"/>
      <c r="C76" s="235" t="s">
        <v>796</v>
      </c>
      <c r="D76" s="235"/>
      <c r="E76" s="236"/>
      <c r="F76" s="235" t="s">
        <v>795</v>
      </c>
      <c r="G76" s="235"/>
      <c r="H76" s="235"/>
      <c r="I76" s="235"/>
      <c r="J76" s="235"/>
      <c r="K76" s="238"/>
      <c r="L76" s="248"/>
    </row>
    <row r="77" spans="1:12" ht="14.25">
      <c r="A77" s="227"/>
      <c r="B77" s="244" t="s">
        <v>799</v>
      </c>
      <c r="C77" s="876">
        <v>5000</v>
      </c>
      <c r="D77" s="876"/>
      <c r="E77" s="236" t="s">
        <v>768</v>
      </c>
      <c r="F77" s="249">
        <f>H74</f>
        <v>133685.008</v>
      </c>
      <c r="G77" s="236" t="s">
        <v>767</v>
      </c>
      <c r="H77" s="246">
        <f>C77/F77</f>
        <v>0.03740135169083432</v>
      </c>
      <c r="I77" s="235" t="s">
        <v>797</v>
      </c>
      <c r="J77" s="235"/>
      <c r="K77" s="238"/>
      <c r="L77" s="248"/>
    </row>
    <row r="78" spans="1:12" ht="14.25">
      <c r="A78" s="227"/>
      <c r="B78" s="244"/>
      <c r="C78" s="235"/>
      <c r="D78" s="235"/>
      <c r="E78" s="236"/>
      <c r="F78" s="235"/>
      <c r="G78" s="235"/>
      <c r="H78" s="235"/>
      <c r="I78" s="235"/>
      <c r="J78" s="235"/>
      <c r="K78" s="238"/>
      <c r="L78" s="248"/>
    </row>
    <row r="79" spans="1:12" ht="14.25">
      <c r="A79" s="227"/>
      <c r="B79" s="250"/>
      <c r="C79" s="251" t="s">
        <v>798</v>
      </c>
      <c r="D79" s="251"/>
      <c r="E79" s="252"/>
      <c r="F79" s="251"/>
      <c r="G79" s="251"/>
      <c r="H79" s="251"/>
      <c r="I79" s="251"/>
      <c r="J79" s="251"/>
      <c r="K79" s="253"/>
      <c r="L79" s="248"/>
    </row>
    <row r="80" spans="1:12" ht="14.25">
      <c r="A80" s="227"/>
      <c r="B80" s="244" t="s">
        <v>842</v>
      </c>
      <c r="C80" s="876">
        <v>100000</v>
      </c>
      <c r="D80" s="876"/>
      <c r="E80" s="236" t="s">
        <v>140</v>
      </c>
      <c r="F80" s="236">
        <v>0.115</v>
      </c>
      <c r="G80" s="236" t="s">
        <v>767</v>
      </c>
      <c r="H80" s="249">
        <f>C80*F80</f>
        <v>11500</v>
      </c>
      <c r="I80" s="235" t="s">
        <v>800</v>
      </c>
      <c r="J80" s="235"/>
      <c r="K80" s="238"/>
      <c r="L80" s="248"/>
    </row>
    <row r="81" spans="1:12" ht="14.25">
      <c r="A81" s="227"/>
      <c r="B81" s="244"/>
      <c r="C81" s="235"/>
      <c r="D81" s="235"/>
      <c r="E81" s="236"/>
      <c r="F81" s="235"/>
      <c r="G81" s="235"/>
      <c r="H81" s="235"/>
      <c r="I81" s="235"/>
      <c r="J81" s="235"/>
      <c r="K81" s="238"/>
      <c r="L81" s="248"/>
    </row>
    <row r="82" spans="1:12" ht="14.25">
      <c r="A82" s="227"/>
      <c r="B82" s="250"/>
      <c r="C82" s="251" t="s">
        <v>801</v>
      </c>
      <c r="D82" s="251"/>
      <c r="E82" s="252"/>
      <c r="F82" s="251" t="s">
        <v>797</v>
      </c>
      <c r="G82" s="251"/>
      <c r="H82" s="251"/>
      <c r="I82" s="251"/>
      <c r="J82" s="251" t="s">
        <v>802</v>
      </c>
      <c r="K82" s="253"/>
      <c r="L82" s="248"/>
    </row>
    <row r="83" spans="1:12" ht="14.25">
      <c r="A83" s="227"/>
      <c r="B83" s="244" t="s">
        <v>843</v>
      </c>
      <c r="C83" s="874">
        <f>H80</f>
        <v>11500</v>
      </c>
      <c r="D83" s="874"/>
      <c r="E83" s="236" t="s">
        <v>140</v>
      </c>
      <c r="F83" s="246">
        <f>H77</f>
        <v>0.03740135169083432</v>
      </c>
      <c r="G83" s="236" t="s">
        <v>768</v>
      </c>
      <c r="H83" s="236">
        <v>1000</v>
      </c>
      <c r="I83" s="236" t="s">
        <v>767</v>
      </c>
      <c r="J83" s="254">
        <f>C83*F83/H83</f>
        <v>0.43011554444459466</v>
      </c>
      <c r="K83" s="238"/>
      <c r="L83" s="248"/>
    </row>
    <row r="84" spans="1:12" ht="15" thickBot="1">
      <c r="A84" s="227"/>
      <c r="B84" s="239"/>
      <c r="C84" s="255"/>
      <c r="D84" s="255"/>
      <c r="E84" s="256"/>
      <c r="F84" s="257"/>
      <c r="G84" s="256"/>
      <c r="H84" s="256"/>
      <c r="I84" s="256"/>
      <c r="J84" s="258"/>
      <c r="K84" s="241"/>
      <c r="L84" s="248"/>
    </row>
    <row r="85" spans="1:12" ht="40.5" customHeight="1">
      <c r="A85" s="227"/>
      <c r="B85" s="875" t="s">
        <v>757</v>
      </c>
      <c r="C85" s="875"/>
      <c r="D85" s="875"/>
      <c r="E85" s="875"/>
      <c r="F85" s="875"/>
      <c r="G85" s="875"/>
      <c r="H85" s="875"/>
      <c r="I85" s="875"/>
      <c r="J85" s="875"/>
      <c r="K85" s="875"/>
      <c r="L85" s="227"/>
    </row>
    <row r="86" spans="1:12" ht="14.25">
      <c r="A86" s="227"/>
      <c r="B86" s="881" t="s">
        <v>803</v>
      </c>
      <c r="C86" s="881"/>
      <c r="D86" s="881"/>
      <c r="E86" s="881"/>
      <c r="F86" s="881"/>
      <c r="G86" s="881"/>
      <c r="H86" s="881"/>
      <c r="I86" s="881"/>
      <c r="J86" s="881"/>
      <c r="K86" s="881"/>
      <c r="L86" s="227"/>
    </row>
    <row r="87" spans="1:12" ht="14.25">
      <c r="A87" s="227"/>
      <c r="B87" s="259"/>
      <c r="C87" s="259"/>
      <c r="D87" s="259"/>
      <c r="E87" s="259"/>
      <c r="F87" s="259"/>
      <c r="G87" s="259"/>
      <c r="H87" s="259"/>
      <c r="I87" s="259"/>
      <c r="J87" s="259"/>
      <c r="K87" s="259"/>
      <c r="L87" s="227"/>
    </row>
    <row r="88" spans="1:12" ht="14.25">
      <c r="A88" s="227"/>
      <c r="B88" s="881" t="s">
        <v>804</v>
      </c>
      <c r="C88" s="881"/>
      <c r="D88" s="881"/>
      <c r="E88" s="881"/>
      <c r="F88" s="881"/>
      <c r="G88" s="881"/>
      <c r="H88" s="881"/>
      <c r="I88" s="881"/>
      <c r="J88" s="881"/>
      <c r="K88" s="881"/>
      <c r="L88" s="227"/>
    </row>
    <row r="89" spans="1:12" ht="14.25">
      <c r="A89" s="227"/>
      <c r="B89" s="213"/>
      <c r="C89" s="213"/>
      <c r="D89" s="213"/>
      <c r="E89" s="213"/>
      <c r="F89" s="213"/>
      <c r="G89" s="213"/>
      <c r="H89" s="213"/>
      <c r="I89" s="213"/>
      <c r="J89" s="213"/>
      <c r="K89" s="213"/>
      <c r="L89" s="227"/>
    </row>
    <row r="90" spans="1:12" ht="45" customHeight="1">
      <c r="A90" s="227"/>
      <c r="B90" s="879" t="s">
        <v>805</v>
      </c>
      <c r="C90" s="879"/>
      <c r="D90" s="879"/>
      <c r="E90" s="879"/>
      <c r="F90" s="879"/>
      <c r="G90" s="879"/>
      <c r="H90" s="879"/>
      <c r="I90" s="879"/>
      <c r="J90" s="879"/>
      <c r="K90" s="879"/>
      <c r="L90" s="227"/>
    </row>
    <row r="91" spans="1:12" ht="15" customHeight="1" thickBot="1">
      <c r="A91" s="227"/>
      <c r="L91" s="227"/>
    </row>
    <row r="92" spans="1:12" ht="15" customHeight="1">
      <c r="A92" s="227"/>
      <c r="B92" s="214" t="s">
        <v>761</v>
      </c>
      <c r="C92" s="260"/>
      <c r="D92" s="260"/>
      <c r="E92" s="260"/>
      <c r="F92" s="260"/>
      <c r="G92" s="260"/>
      <c r="H92" s="260"/>
      <c r="I92" s="260"/>
      <c r="J92" s="260"/>
      <c r="K92" s="261"/>
      <c r="L92" s="227"/>
    </row>
    <row r="93" spans="1:12" ht="15" customHeight="1">
      <c r="A93" s="227"/>
      <c r="B93" s="262"/>
      <c r="C93" s="263" t="s">
        <v>769</v>
      </c>
      <c r="D93" s="263"/>
      <c r="E93" s="263"/>
      <c r="F93" s="263"/>
      <c r="G93" s="263"/>
      <c r="H93" s="263"/>
      <c r="I93" s="263"/>
      <c r="J93" s="263"/>
      <c r="K93" s="264"/>
      <c r="L93" s="227"/>
    </row>
    <row r="94" spans="1:12" ht="15" customHeight="1">
      <c r="A94" s="227"/>
      <c r="B94" s="262" t="s">
        <v>794</v>
      </c>
      <c r="C94" s="876">
        <v>133685008</v>
      </c>
      <c r="D94" s="876"/>
      <c r="E94" s="236" t="s">
        <v>768</v>
      </c>
      <c r="F94" s="236">
        <v>1000</v>
      </c>
      <c r="G94" s="236" t="s">
        <v>767</v>
      </c>
      <c r="H94" s="249">
        <f>C94/F94</f>
        <v>133685.008</v>
      </c>
      <c r="I94" s="263" t="s">
        <v>795</v>
      </c>
      <c r="J94" s="263"/>
      <c r="K94" s="264"/>
      <c r="L94" s="227"/>
    </row>
    <row r="95" spans="1:12" ht="15" customHeight="1">
      <c r="A95" s="227"/>
      <c r="B95" s="262"/>
      <c r="C95" s="263"/>
      <c r="D95" s="263"/>
      <c r="E95" s="236"/>
      <c r="F95" s="263"/>
      <c r="G95" s="263"/>
      <c r="H95" s="263"/>
      <c r="I95" s="263"/>
      <c r="J95" s="263"/>
      <c r="K95" s="264"/>
      <c r="L95" s="227"/>
    </row>
    <row r="96" spans="1:12" ht="15" customHeight="1">
      <c r="A96" s="227"/>
      <c r="B96" s="262"/>
      <c r="C96" s="263" t="s">
        <v>796</v>
      </c>
      <c r="D96" s="263"/>
      <c r="E96" s="236"/>
      <c r="F96" s="263" t="s">
        <v>795</v>
      </c>
      <c r="G96" s="263"/>
      <c r="H96" s="263"/>
      <c r="I96" s="263"/>
      <c r="J96" s="263"/>
      <c r="K96" s="264"/>
      <c r="L96" s="227"/>
    </row>
    <row r="97" spans="1:12" ht="15" customHeight="1">
      <c r="A97" s="227"/>
      <c r="B97" s="262" t="s">
        <v>799</v>
      </c>
      <c r="C97" s="876">
        <v>50000</v>
      </c>
      <c r="D97" s="876"/>
      <c r="E97" s="236" t="s">
        <v>768</v>
      </c>
      <c r="F97" s="249">
        <f>H94</f>
        <v>133685.008</v>
      </c>
      <c r="G97" s="236" t="s">
        <v>767</v>
      </c>
      <c r="H97" s="246">
        <f>C97/F97</f>
        <v>0.3740135169083432</v>
      </c>
      <c r="I97" s="263" t="s">
        <v>797</v>
      </c>
      <c r="J97" s="263"/>
      <c r="K97" s="264"/>
      <c r="L97" s="227"/>
    </row>
    <row r="98" spans="1:12" ht="15" customHeight="1">
      <c r="A98" s="227"/>
      <c r="B98" s="262"/>
      <c r="C98" s="263"/>
      <c r="D98" s="263"/>
      <c r="E98" s="236"/>
      <c r="F98" s="263"/>
      <c r="G98" s="263"/>
      <c r="H98" s="263"/>
      <c r="I98" s="263"/>
      <c r="J98" s="263"/>
      <c r="K98" s="264"/>
      <c r="L98" s="227"/>
    </row>
    <row r="99" spans="1:12" ht="15" customHeight="1">
      <c r="A99" s="227"/>
      <c r="B99" s="265"/>
      <c r="C99" s="266" t="s">
        <v>806</v>
      </c>
      <c r="D99" s="266"/>
      <c r="E99" s="252"/>
      <c r="F99" s="266"/>
      <c r="G99" s="266"/>
      <c r="H99" s="266"/>
      <c r="I99" s="266"/>
      <c r="J99" s="266"/>
      <c r="K99" s="267"/>
      <c r="L99" s="227"/>
    </row>
    <row r="100" spans="1:12" ht="15" customHeight="1">
      <c r="A100" s="227"/>
      <c r="B100" s="262" t="s">
        <v>842</v>
      </c>
      <c r="C100" s="876">
        <v>2500000</v>
      </c>
      <c r="D100" s="876"/>
      <c r="E100" s="236" t="s">
        <v>140</v>
      </c>
      <c r="F100" s="268">
        <v>0.3</v>
      </c>
      <c r="G100" s="236" t="s">
        <v>767</v>
      </c>
      <c r="H100" s="249">
        <f>C100*F100</f>
        <v>750000</v>
      </c>
      <c r="I100" s="263" t="s">
        <v>800</v>
      </c>
      <c r="J100" s="263"/>
      <c r="K100" s="264"/>
      <c r="L100" s="227"/>
    </row>
    <row r="101" spans="1:12" ht="15" customHeight="1">
      <c r="A101" s="227"/>
      <c r="B101" s="262"/>
      <c r="C101" s="263"/>
      <c r="D101" s="263"/>
      <c r="E101" s="236"/>
      <c r="F101" s="263"/>
      <c r="G101" s="263"/>
      <c r="H101" s="263"/>
      <c r="I101" s="263"/>
      <c r="J101" s="263"/>
      <c r="K101" s="264"/>
      <c r="L101" s="227"/>
    </row>
    <row r="102" spans="1:12" ht="15" customHeight="1">
      <c r="A102" s="227"/>
      <c r="B102" s="265"/>
      <c r="C102" s="266" t="s">
        <v>801</v>
      </c>
      <c r="D102" s="266"/>
      <c r="E102" s="252"/>
      <c r="F102" s="266" t="s">
        <v>797</v>
      </c>
      <c r="G102" s="266"/>
      <c r="H102" s="266"/>
      <c r="I102" s="266"/>
      <c r="J102" s="266" t="s">
        <v>802</v>
      </c>
      <c r="K102" s="267"/>
      <c r="L102" s="227"/>
    </row>
    <row r="103" spans="1:12" ht="15" customHeight="1">
      <c r="A103" s="227"/>
      <c r="B103" s="262" t="s">
        <v>843</v>
      </c>
      <c r="C103" s="874">
        <f>H100</f>
        <v>750000</v>
      </c>
      <c r="D103" s="874"/>
      <c r="E103" s="236" t="s">
        <v>140</v>
      </c>
      <c r="F103" s="246">
        <f>H97</f>
        <v>0.3740135169083432</v>
      </c>
      <c r="G103" s="236" t="s">
        <v>768</v>
      </c>
      <c r="H103" s="236">
        <v>1000</v>
      </c>
      <c r="I103" s="236" t="s">
        <v>767</v>
      </c>
      <c r="J103" s="254">
        <f>C103*F103/H103</f>
        <v>280.51013768125745</v>
      </c>
      <c r="K103" s="264"/>
      <c r="L103" s="227"/>
    </row>
    <row r="104" spans="1:12" ht="15" customHeight="1" thickBot="1">
      <c r="A104" s="227"/>
      <c r="B104" s="269"/>
      <c r="C104" s="255"/>
      <c r="D104" s="255"/>
      <c r="E104" s="256"/>
      <c r="F104" s="257"/>
      <c r="G104" s="256"/>
      <c r="H104" s="256"/>
      <c r="I104" s="256"/>
      <c r="J104" s="258"/>
      <c r="K104" s="270"/>
      <c r="L104" s="227"/>
    </row>
    <row r="105" spans="1:12" ht="40.5" customHeight="1">
      <c r="A105" s="227"/>
      <c r="B105" s="875" t="s">
        <v>757</v>
      </c>
      <c r="C105" s="892"/>
      <c r="D105" s="892"/>
      <c r="E105" s="892"/>
      <c r="F105" s="892"/>
      <c r="G105" s="892"/>
      <c r="H105" s="892"/>
      <c r="I105" s="892"/>
      <c r="J105" s="892"/>
      <c r="K105" s="892"/>
      <c r="L105" s="227"/>
    </row>
    <row r="106" spans="1:12" ht="15" customHeight="1">
      <c r="A106" s="227"/>
      <c r="B106" s="893" t="s">
        <v>807</v>
      </c>
      <c r="C106" s="882"/>
      <c r="D106" s="882"/>
      <c r="E106" s="882"/>
      <c r="F106" s="882"/>
      <c r="G106" s="882"/>
      <c r="H106" s="882"/>
      <c r="I106" s="882"/>
      <c r="J106" s="882"/>
      <c r="K106" s="882"/>
      <c r="L106" s="227"/>
    </row>
    <row r="107" spans="1:12" ht="15" customHeight="1">
      <c r="A107" s="227"/>
      <c r="B107" s="263"/>
      <c r="C107" s="271"/>
      <c r="D107" s="271"/>
      <c r="E107" s="236"/>
      <c r="F107" s="246"/>
      <c r="G107" s="236"/>
      <c r="H107" s="236"/>
      <c r="I107" s="236"/>
      <c r="J107" s="254"/>
      <c r="K107" s="263"/>
      <c r="L107" s="227"/>
    </row>
    <row r="108" spans="1:12" ht="15" customHeight="1">
      <c r="A108" s="227"/>
      <c r="B108" s="893" t="s">
        <v>808</v>
      </c>
      <c r="C108" s="903"/>
      <c r="D108" s="903"/>
      <c r="E108" s="903"/>
      <c r="F108" s="903"/>
      <c r="G108" s="903"/>
      <c r="H108" s="903"/>
      <c r="I108" s="903"/>
      <c r="J108" s="903"/>
      <c r="K108" s="903"/>
      <c r="L108" s="227"/>
    </row>
    <row r="109" spans="1:12" ht="15" customHeight="1">
      <c r="A109" s="227"/>
      <c r="B109" s="263"/>
      <c r="C109" s="271"/>
      <c r="D109" s="271"/>
      <c r="E109" s="236"/>
      <c r="F109" s="246"/>
      <c r="G109" s="236"/>
      <c r="H109" s="236"/>
      <c r="I109" s="236"/>
      <c r="J109" s="254"/>
      <c r="K109" s="263"/>
      <c r="L109" s="227"/>
    </row>
    <row r="110" spans="1:12" ht="59.25" customHeight="1">
      <c r="A110" s="227"/>
      <c r="B110" s="877" t="s">
        <v>809</v>
      </c>
      <c r="C110" s="878"/>
      <c r="D110" s="878"/>
      <c r="E110" s="878"/>
      <c r="F110" s="878"/>
      <c r="G110" s="878"/>
      <c r="H110" s="878"/>
      <c r="I110" s="878"/>
      <c r="J110" s="878"/>
      <c r="K110" s="878"/>
      <c r="L110" s="227"/>
    </row>
    <row r="111" spans="1:12" ht="15" thickBot="1">
      <c r="A111" s="227"/>
      <c r="B111" s="208"/>
      <c r="C111" s="208"/>
      <c r="D111" s="208"/>
      <c r="E111" s="208"/>
      <c r="F111" s="208"/>
      <c r="G111" s="208"/>
      <c r="H111" s="208"/>
      <c r="I111" s="208"/>
      <c r="J111" s="208"/>
      <c r="K111" s="208"/>
      <c r="L111" s="272"/>
    </row>
    <row r="112" spans="1:12" ht="14.25">
      <c r="A112" s="227"/>
      <c r="B112" s="210" t="s">
        <v>761</v>
      </c>
      <c r="C112" s="232"/>
      <c r="D112" s="232"/>
      <c r="E112" s="232"/>
      <c r="F112" s="232"/>
      <c r="G112" s="232"/>
      <c r="H112" s="232"/>
      <c r="I112" s="232"/>
      <c r="J112" s="232"/>
      <c r="K112" s="233"/>
      <c r="L112" s="227"/>
    </row>
    <row r="113" spans="1:12" ht="14.25">
      <c r="A113" s="227"/>
      <c r="B113" s="244"/>
      <c r="C113" s="235" t="s">
        <v>769</v>
      </c>
      <c r="D113" s="235"/>
      <c r="E113" s="235"/>
      <c r="F113" s="235"/>
      <c r="G113" s="235"/>
      <c r="H113" s="235"/>
      <c r="I113" s="235"/>
      <c r="J113" s="235"/>
      <c r="K113" s="238"/>
      <c r="L113" s="227"/>
    </row>
    <row r="114" spans="1:12" ht="14.25">
      <c r="A114" s="227"/>
      <c r="B114" s="244" t="s">
        <v>794</v>
      </c>
      <c r="C114" s="876">
        <v>133685008</v>
      </c>
      <c r="D114" s="876"/>
      <c r="E114" s="236" t="s">
        <v>768</v>
      </c>
      <c r="F114" s="236">
        <v>1000</v>
      </c>
      <c r="G114" s="236" t="s">
        <v>767</v>
      </c>
      <c r="H114" s="249">
        <f>C114/F114</f>
        <v>133685.008</v>
      </c>
      <c r="I114" s="235" t="s">
        <v>795</v>
      </c>
      <c r="J114" s="235"/>
      <c r="K114" s="238"/>
      <c r="L114" s="227"/>
    </row>
    <row r="115" spans="1:12" ht="14.25">
      <c r="A115" s="227"/>
      <c r="B115" s="244"/>
      <c r="C115" s="235"/>
      <c r="D115" s="235"/>
      <c r="E115" s="236"/>
      <c r="F115" s="235"/>
      <c r="G115" s="235"/>
      <c r="H115" s="235"/>
      <c r="I115" s="235"/>
      <c r="J115" s="235"/>
      <c r="K115" s="238"/>
      <c r="L115" s="227"/>
    </row>
    <row r="116" spans="1:12" ht="14.25">
      <c r="A116" s="227"/>
      <c r="B116" s="244"/>
      <c r="C116" s="235" t="s">
        <v>796</v>
      </c>
      <c r="D116" s="235"/>
      <c r="E116" s="236"/>
      <c r="F116" s="235" t="s">
        <v>795</v>
      </c>
      <c r="G116" s="235"/>
      <c r="H116" s="235"/>
      <c r="I116" s="235"/>
      <c r="J116" s="235"/>
      <c r="K116" s="238"/>
      <c r="L116" s="227"/>
    </row>
    <row r="117" spans="1:12" ht="14.25">
      <c r="A117" s="227"/>
      <c r="B117" s="244" t="s">
        <v>799</v>
      </c>
      <c r="C117" s="876">
        <v>50000</v>
      </c>
      <c r="D117" s="876"/>
      <c r="E117" s="236" t="s">
        <v>768</v>
      </c>
      <c r="F117" s="249">
        <f>H114</f>
        <v>133685.008</v>
      </c>
      <c r="G117" s="236" t="s">
        <v>767</v>
      </c>
      <c r="H117" s="246">
        <f>C117/F117</f>
        <v>0.3740135169083432</v>
      </c>
      <c r="I117" s="235" t="s">
        <v>797</v>
      </c>
      <c r="J117" s="235"/>
      <c r="K117" s="238"/>
      <c r="L117" s="227"/>
    </row>
    <row r="118" spans="1:12" ht="14.25">
      <c r="A118" s="227"/>
      <c r="B118" s="244"/>
      <c r="C118" s="235"/>
      <c r="D118" s="235"/>
      <c r="E118" s="236"/>
      <c r="F118" s="235"/>
      <c r="G118" s="235"/>
      <c r="H118" s="235"/>
      <c r="I118" s="235"/>
      <c r="J118" s="235"/>
      <c r="K118" s="238"/>
      <c r="L118" s="227"/>
    </row>
    <row r="119" spans="1:12" ht="14.25">
      <c r="A119" s="227"/>
      <c r="B119" s="250"/>
      <c r="C119" s="251" t="s">
        <v>806</v>
      </c>
      <c r="D119" s="251"/>
      <c r="E119" s="252"/>
      <c r="F119" s="251"/>
      <c r="G119" s="251"/>
      <c r="H119" s="251"/>
      <c r="I119" s="251"/>
      <c r="J119" s="251"/>
      <c r="K119" s="253"/>
      <c r="L119" s="227"/>
    </row>
    <row r="120" spans="1:12" ht="14.25">
      <c r="A120" s="227"/>
      <c r="B120" s="244" t="s">
        <v>842</v>
      </c>
      <c r="C120" s="876">
        <v>2500000</v>
      </c>
      <c r="D120" s="876"/>
      <c r="E120" s="236" t="s">
        <v>140</v>
      </c>
      <c r="F120" s="268">
        <v>0.25</v>
      </c>
      <c r="G120" s="236" t="s">
        <v>767</v>
      </c>
      <c r="H120" s="249">
        <f>C120*F120</f>
        <v>625000</v>
      </c>
      <c r="I120" s="235" t="s">
        <v>800</v>
      </c>
      <c r="J120" s="235"/>
      <c r="K120" s="238"/>
      <c r="L120" s="227"/>
    </row>
    <row r="121" spans="1:12" ht="14.25">
      <c r="A121" s="227"/>
      <c r="B121" s="244"/>
      <c r="C121" s="235"/>
      <c r="D121" s="235"/>
      <c r="E121" s="236"/>
      <c r="F121" s="235"/>
      <c r="G121" s="235"/>
      <c r="H121" s="235"/>
      <c r="I121" s="235"/>
      <c r="J121" s="235"/>
      <c r="K121" s="238"/>
      <c r="L121" s="227"/>
    </row>
    <row r="122" spans="1:12" ht="14.25">
      <c r="A122" s="227"/>
      <c r="B122" s="250"/>
      <c r="C122" s="251" t="s">
        <v>801</v>
      </c>
      <c r="D122" s="251"/>
      <c r="E122" s="252"/>
      <c r="F122" s="251" t="s">
        <v>797</v>
      </c>
      <c r="G122" s="251"/>
      <c r="H122" s="251"/>
      <c r="I122" s="251"/>
      <c r="J122" s="251" t="s">
        <v>802</v>
      </c>
      <c r="K122" s="253"/>
      <c r="L122" s="227"/>
    </row>
    <row r="123" spans="1:12" ht="14.25">
      <c r="A123" s="227"/>
      <c r="B123" s="244" t="s">
        <v>843</v>
      </c>
      <c r="C123" s="874">
        <f>H120</f>
        <v>625000</v>
      </c>
      <c r="D123" s="874"/>
      <c r="E123" s="236" t="s">
        <v>140</v>
      </c>
      <c r="F123" s="246">
        <f>H117</f>
        <v>0.3740135169083432</v>
      </c>
      <c r="G123" s="236" t="s">
        <v>768</v>
      </c>
      <c r="H123" s="236">
        <v>1000</v>
      </c>
      <c r="I123" s="236" t="s">
        <v>767</v>
      </c>
      <c r="J123" s="254">
        <f>C123*F123/H123</f>
        <v>233.7584480677145</v>
      </c>
      <c r="K123" s="238"/>
      <c r="L123" s="227"/>
    </row>
    <row r="124" spans="1:12" ht="15" thickBot="1">
      <c r="A124" s="227"/>
      <c r="B124" s="239"/>
      <c r="C124" s="255"/>
      <c r="D124" s="255"/>
      <c r="E124" s="256"/>
      <c r="F124" s="257"/>
      <c r="G124" s="256"/>
      <c r="H124" s="256"/>
      <c r="I124" s="256"/>
      <c r="J124" s="258"/>
      <c r="K124" s="241"/>
      <c r="L124" s="227"/>
    </row>
    <row r="125" spans="1:12" ht="40.5" customHeight="1">
      <c r="A125" s="227"/>
      <c r="B125" s="875" t="s">
        <v>757</v>
      </c>
      <c r="C125" s="875"/>
      <c r="D125" s="875"/>
      <c r="E125" s="875"/>
      <c r="F125" s="875"/>
      <c r="G125" s="875"/>
      <c r="H125" s="875"/>
      <c r="I125" s="875"/>
      <c r="J125" s="875"/>
      <c r="K125" s="875"/>
      <c r="L125" s="272"/>
    </row>
    <row r="126" spans="1:12" ht="14.25">
      <c r="A126" s="227"/>
      <c r="B126" s="881" t="s">
        <v>810</v>
      </c>
      <c r="C126" s="881"/>
      <c r="D126" s="881"/>
      <c r="E126" s="881"/>
      <c r="F126" s="881"/>
      <c r="G126" s="881"/>
      <c r="H126" s="881"/>
      <c r="I126" s="881"/>
      <c r="J126" s="881"/>
      <c r="K126" s="881"/>
      <c r="L126" s="272"/>
    </row>
    <row r="127" spans="1:12" ht="14.25">
      <c r="A127" s="227"/>
      <c r="B127" s="208"/>
      <c r="C127" s="208"/>
      <c r="D127" s="208"/>
      <c r="E127" s="208"/>
      <c r="F127" s="208"/>
      <c r="G127" s="208"/>
      <c r="H127" s="208"/>
      <c r="I127" s="208"/>
      <c r="J127" s="208"/>
      <c r="K127" s="208"/>
      <c r="L127" s="272"/>
    </row>
    <row r="128" spans="1:12" ht="14.25">
      <c r="A128" s="227"/>
      <c r="B128" s="881" t="s">
        <v>811</v>
      </c>
      <c r="C128" s="881"/>
      <c r="D128" s="881"/>
      <c r="E128" s="881"/>
      <c r="F128" s="881"/>
      <c r="G128" s="881"/>
      <c r="H128" s="881"/>
      <c r="I128" s="881"/>
      <c r="J128" s="881"/>
      <c r="K128" s="881"/>
      <c r="L128" s="272"/>
    </row>
    <row r="129" spans="1:12" ht="14.25">
      <c r="A129" s="227"/>
      <c r="B129" s="213"/>
      <c r="C129" s="213"/>
      <c r="D129" s="213"/>
      <c r="E129" s="213"/>
      <c r="F129" s="213"/>
      <c r="G129" s="213"/>
      <c r="H129" s="213"/>
      <c r="I129" s="213"/>
      <c r="J129" s="213"/>
      <c r="K129" s="213"/>
      <c r="L129" s="272"/>
    </row>
    <row r="130" spans="1:12" ht="74.25" customHeight="1">
      <c r="A130" s="227"/>
      <c r="B130" s="879" t="s">
        <v>844</v>
      </c>
      <c r="C130" s="879"/>
      <c r="D130" s="879"/>
      <c r="E130" s="879"/>
      <c r="F130" s="879"/>
      <c r="G130" s="879"/>
      <c r="H130" s="879"/>
      <c r="I130" s="879"/>
      <c r="J130" s="879"/>
      <c r="K130" s="879"/>
      <c r="L130" s="272"/>
    </row>
    <row r="131" spans="1:12" ht="15" thickBot="1">
      <c r="A131" s="227"/>
      <c r="L131" s="227"/>
    </row>
    <row r="132" spans="1:12" ht="14.25">
      <c r="A132" s="227"/>
      <c r="B132" s="210" t="s">
        <v>761</v>
      </c>
      <c r="C132" s="232"/>
      <c r="D132" s="232"/>
      <c r="E132" s="232"/>
      <c r="F132" s="232"/>
      <c r="G132" s="232"/>
      <c r="H132" s="232"/>
      <c r="I132" s="232"/>
      <c r="J132" s="232"/>
      <c r="K132" s="233"/>
      <c r="L132" s="227"/>
    </row>
    <row r="133" spans="1:12" ht="14.25">
      <c r="A133" s="227"/>
      <c r="B133" s="244"/>
      <c r="C133" s="880" t="s">
        <v>812</v>
      </c>
      <c r="D133" s="880"/>
      <c r="E133" s="235"/>
      <c r="F133" s="236" t="s">
        <v>813</v>
      </c>
      <c r="G133" s="235"/>
      <c r="H133" s="880" t="s">
        <v>800</v>
      </c>
      <c r="I133" s="880"/>
      <c r="J133" s="235"/>
      <c r="K133" s="238"/>
      <c r="L133" s="227"/>
    </row>
    <row r="134" spans="1:12" ht="14.25">
      <c r="A134" s="227"/>
      <c r="B134" s="244" t="s">
        <v>794</v>
      </c>
      <c r="C134" s="876">
        <v>100000</v>
      </c>
      <c r="D134" s="876"/>
      <c r="E134" s="236" t="s">
        <v>140</v>
      </c>
      <c r="F134" s="236">
        <v>0.115</v>
      </c>
      <c r="G134" s="236" t="s">
        <v>767</v>
      </c>
      <c r="H134" s="895">
        <f>C134*F134</f>
        <v>11500</v>
      </c>
      <c r="I134" s="895"/>
      <c r="J134" s="235"/>
      <c r="K134" s="238"/>
      <c r="L134" s="227"/>
    </row>
    <row r="135" spans="1:12" ht="14.25">
      <c r="A135" s="227"/>
      <c r="B135" s="244"/>
      <c r="C135" s="235"/>
      <c r="D135" s="235"/>
      <c r="E135" s="235"/>
      <c r="F135" s="235"/>
      <c r="G135" s="235"/>
      <c r="H135" s="235"/>
      <c r="I135" s="235"/>
      <c r="J135" s="235"/>
      <c r="K135" s="238"/>
      <c r="L135" s="227"/>
    </row>
    <row r="136" spans="1:12" ht="14.25">
      <c r="A136" s="227"/>
      <c r="B136" s="250"/>
      <c r="C136" s="897" t="s">
        <v>800</v>
      </c>
      <c r="D136" s="897"/>
      <c r="E136" s="251"/>
      <c r="F136" s="252" t="s">
        <v>814</v>
      </c>
      <c r="G136" s="252"/>
      <c r="H136" s="251"/>
      <c r="I136" s="251"/>
      <c r="J136" s="251" t="s">
        <v>815</v>
      </c>
      <c r="K136" s="253"/>
      <c r="L136" s="227"/>
    </row>
    <row r="137" spans="1:12" ht="14.25">
      <c r="A137" s="227"/>
      <c r="B137" s="244" t="s">
        <v>799</v>
      </c>
      <c r="C137" s="895">
        <f>H134</f>
        <v>11500</v>
      </c>
      <c r="D137" s="895"/>
      <c r="E137" s="236" t="s">
        <v>140</v>
      </c>
      <c r="F137" s="273">
        <v>52.869</v>
      </c>
      <c r="G137" s="236" t="s">
        <v>768</v>
      </c>
      <c r="H137" s="236">
        <v>1000</v>
      </c>
      <c r="I137" s="236" t="s">
        <v>767</v>
      </c>
      <c r="J137" s="274">
        <f>C137*F137/H137</f>
        <v>607.9935</v>
      </c>
      <c r="K137" s="238"/>
      <c r="L137" s="227"/>
    </row>
    <row r="138" spans="1:12" ht="15" thickBot="1">
      <c r="A138" s="227"/>
      <c r="B138" s="239"/>
      <c r="C138" s="275"/>
      <c r="D138" s="275"/>
      <c r="E138" s="256"/>
      <c r="F138" s="276"/>
      <c r="G138" s="256"/>
      <c r="H138" s="256"/>
      <c r="I138" s="256"/>
      <c r="J138" s="277"/>
      <c r="K138" s="241"/>
      <c r="L138" s="227"/>
    </row>
    <row r="139" spans="1:12" ht="40.5" customHeight="1">
      <c r="A139" s="227"/>
      <c r="B139" s="215" t="s">
        <v>757</v>
      </c>
      <c r="C139" s="216"/>
      <c r="D139" s="216"/>
      <c r="E139" s="217"/>
      <c r="F139" s="218"/>
      <c r="G139" s="217"/>
      <c r="H139" s="217"/>
      <c r="I139" s="217"/>
      <c r="J139" s="219"/>
      <c r="K139" s="220"/>
      <c r="L139" s="227"/>
    </row>
    <row r="140" spans="1:12" ht="14.25">
      <c r="A140" s="227"/>
      <c r="B140" s="221" t="s">
        <v>845</v>
      </c>
      <c r="C140" s="222"/>
      <c r="D140" s="222"/>
      <c r="E140" s="223"/>
      <c r="F140" s="224"/>
      <c r="G140" s="223"/>
      <c r="H140" s="223"/>
      <c r="I140" s="223"/>
      <c r="J140" s="225"/>
      <c r="K140" s="226"/>
      <c r="L140" s="227"/>
    </row>
    <row r="141" spans="1:12" ht="14.25">
      <c r="A141" s="227"/>
      <c r="B141" s="244"/>
      <c r="C141" s="249"/>
      <c r="D141" s="249"/>
      <c r="E141" s="236"/>
      <c r="F141" s="278"/>
      <c r="G141" s="236"/>
      <c r="H141" s="236"/>
      <c r="I141" s="236"/>
      <c r="J141" s="274"/>
      <c r="K141" s="238"/>
      <c r="L141" s="227"/>
    </row>
    <row r="142" spans="1:12" ht="14.25">
      <c r="A142" s="227"/>
      <c r="B142" s="221" t="s">
        <v>846</v>
      </c>
      <c r="C142" s="222"/>
      <c r="D142" s="222"/>
      <c r="E142" s="223"/>
      <c r="F142" s="224"/>
      <c r="G142" s="223"/>
      <c r="H142" s="223"/>
      <c r="I142" s="223"/>
      <c r="J142" s="225"/>
      <c r="K142" s="226"/>
      <c r="L142" s="227"/>
    </row>
    <row r="143" spans="1:12" ht="14.25">
      <c r="A143" s="227"/>
      <c r="B143" s="244"/>
      <c r="C143" s="249"/>
      <c r="D143" s="249"/>
      <c r="E143" s="236"/>
      <c r="F143" s="278"/>
      <c r="G143" s="236"/>
      <c r="H143" s="236"/>
      <c r="I143" s="236"/>
      <c r="J143" s="274"/>
      <c r="K143" s="238"/>
      <c r="L143" s="227"/>
    </row>
    <row r="144" spans="1:12" ht="76.5" customHeight="1">
      <c r="A144" s="227"/>
      <c r="B144" s="898" t="s">
        <v>847</v>
      </c>
      <c r="C144" s="899"/>
      <c r="D144" s="899"/>
      <c r="E144" s="899"/>
      <c r="F144" s="899"/>
      <c r="G144" s="899"/>
      <c r="H144" s="899"/>
      <c r="I144" s="899"/>
      <c r="J144" s="899"/>
      <c r="K144" s="900"/>
      <c r="L144" s="227"/>
    </row>
    <row r="145" spans="1:12" ht="15" thickBot="1">
      <c r="A145" s="227"/>
      <c r="B145" s="244"/>
      <c r="C145" s="249"/>
      <c r="D145" s="249"/>
      <c r="E145" s="236"/>
      <c r="F145" s="278"/>
      <c r="G145" s="236"/>
      <c r="H145" s="236"/>
      <c r="I145" s="236"/>
      <c r="J145" s="274"/>
      <c r="K145" s="238"/>
      <c r="L145" s="227"/>
    </row>
    <row r="146" spans="1:12" ht="14.25">
      <c r="A146" s="227"/>
      <c r="B146" s="210" t="s">
        <v>761</v>
      </c>
      <c r="C146" s="279"/>
      <c r="D146" s="279"/>
      <c r="E146" s="280"/>
      <c r="F146" s="281"/>
      <c r="G146" s="280"/>
      <c r="H146" s="280"/>
      <c r="I146" s="280"/>
      <c r="J146" s="282"/>
      <c r="K146" s="233"/>
      <c r="L146" s="227"/>
    </row>
    <row r="147" spans="1:12" ht="14.25">
      <c r="A147" s="227"/>
      <c r="B147" s="244"/>
      <c r="C147" s="895" t="s">
        <v>848</v>
      </c>
      <c r="D147" s="895"/>
      <c r="E147" s="236"/>
      <c r="F147" s="278" t="s">
        <v>849</v>
      </c>
      <c r="G147" s="236"/>
      <c r="H147" s="236"/>
      <c r="I147" s="236"/>
      <c r="J147" s="901" t="s">
        <v>850</v>
      </c>
      <c r="K147" s="902"/>
      <c r="L147" s="227"/>
    </row>
    <row r="148" spans="1:12" ht="14.25">
      <c r="A148" s="227"/>
      <c r="B148" s="244"/>
      <c r="C148" s="894">
        <v>52.869</v>
      </c>
      <c r="D148" s="894"/>
      <c r="E148" s="236" t="s">
        <v>140</v>
      </c>
      <c r="F148" s="283">
        <v>133685008</v>
      </c>
      <c r="G148" s="284" t="s">
        <v>768</v>
      </c>
      <c r="H148" s="236">
        <v>1000</v>
      </c>
      <c r="I148" s="236" t="s">
        <v>767</v>
      </c>
      <c r="J148" s="895">
        <f>C148*(F148/1000)</f>
        <v>7067792.687952</v>
      </c>
      <c r="K148" s="896"/>
      <c r="L148" s="227"/>
    </row>
    <row r="149" spans="1:12" ht="15" thickBot="1">
      <c r="A149" s="227"/>
      <c r="B149" s="239"/>
      <c r="C149" s="275"/>
      <c r="D149" s="275"/>
      <c r="E149" s="256"/>
      <c r="F149" s="276"/>
      <c r="G149" s="256"/>
      <c r="H149" s="256"/>
      <c r="I149" s="256"/>
      <c r="J149" s="277"/>
      <c r="K149" s="241"/>
      <c r="L149" s="227"/>
    </row>
    <row r="150" spans="1:12" ht="15" thickBot="1">
      <c r="A150" s="227"/>
      <c r="B150" s="239"/>
      <c r="C150" s="240"/>
      <c r="D150" s="240"/>
      <c r="E150" s="240"/>
      <c r="F150" s="240"/>
      <c r="G150" s="240"/>
      <c r="H150" s="240"/>
      <c r="I150" s="240"/>
      <c r="J150" s="240"/>
      <c r="K150" s="241"/>
      <c r="L150" s="227"/>
    </row>
    <row r="151" spans="1:12" ht="14.25">
      <c r="A151" s="227"/>
      <c r="B151" s="227"/>
      <c r="C151" s="227"/>
      <c r="D151" s="227"/>
      <c r="E151" s="227"/>
      <c r="F151" s="227"/>
      <c r="G151" s="227"/>
      <c r="H151" s="227"/>
      <c r="I151" s="227"/>
      <c r="J151" s="227"/>
      <c r="K151" s="227"/>
      <c r="L151" s="227"/>
    </row>
    <row r="152" spans="1:12" ht="14.25">
      <c r="A152" s="227"/>
      <c r="B152" s="227"/>
      <c r="C152" s="227"/>
      <c r="D152" s="227"/>
      <c r="E152" s="227"/>
      <c r="F152" s="227"/>
      <c r="G152" s="227"/>
      <c r="H152" s="227"/>
      <c r="I152" s="227"/>
      <c r="J152" s="227"/>
      <c r="K152" s="227"/>
      <c r="L152" s="227"/>
    </row>
    <row r="153" spans="1:12" ht="14.25">
      <c r="A153" s="227"/>
      <c r="B153" s="227"/>
      <c r="C153" s="227"/>
      <c r="D153" s="227"/>
      <c r="E153" s="227"/>
      <c r="F153" s="227"/>
      <c r="G153" s="227"/>
      <c r="H153" s="227"/>
      <c r="I153" s="227"/>
      <c r="J153" s="227"/>
      <c r="K153" s="227"/>
      <c r="L153" s="227"/>
    </row>
    <row r="154" spans="1:12" ht="14.25">
      <c r="A154" s="285"/>
      <c r="B154" s="285"/>
      <c r="C154" s="285"/>
      <c r="D154" s="285"/>
      <c r="E154" s="285"/>
      <c r="F154" s="285"/>
      <c r="G154" s="285"/>
      <c r="H154" s="285"/>
      <c r="I154" s="285"/>
      <c r="J154" s="285"/>
      <c r="K154" s="285"/>
      <c r="L154" s="285"/>
    </row>
    <row r="155" spans="1:12" ht="14.25">
      <c r="A155" s="285"/>
      <c r="B155" s="285"/>
      <c r="C155" s="285"/>
      <c r="D155" s="285"/>
      <c r="E155" s="285"/>
      <c r="F155" s="285"/>
      <c r="G155" s="285"/>
      <c r="H155" s="285"/>
      <c r="I155" s="285"/>
      <c r="J155" s="285"/>
      <c r="K155" s="285"/>
      <c r="L155" s="285"/>
    </row>
    <row r="156" spans="1:12" ht="14.25">
      <c r="A156" s="285"/>
      <c r="B156" s="285"/>
      <c r="C156" s="285"/>
      <c r="D156" s="285"/>
      <c r="E156" s="285"/>
      <c r="F156" s="285"/>
      <c r="G156" s="285"/>
      <c r="H156" s="285"/>
      <c r="I156" s="285"/>
      <c r="J156" s="285"/>
      <c r="K156" s="285"/>
      <c r="L156" s="285"/>
    </row>
    <row r="157" spans="1:12" ht="14.25">
      <c r="A157" s="285"/>
      <c r="B157" s="285"/>
      <c r="C157" s="285"/>
      <c r="D157" s="285"/>
      <c r="E157" s="285"/>
      <c r="F157" s="285"/>
      <c r="G157" s="285"/>
      <c r="H157" s="285"/>
      <c r="I157" s="285"/>
      <c r="J157" s="285"/>
      <c r="K157" s="285"/>
      <c r="L157" s="285"/>
    </row>
    <row r="158" spans="1:12" ht="14.25">
      <c r="A158" s="285"/>
      <c r="B158" s="285"/>
      <c r="C158" s="285"/>
      <c r="D158" s="285"/>
      <c r="E158" s="285"/>
      <c r="F158" s="285"/>
      <c r="G158" s="285"/>
      <c r="H158" s="285"/>
      <c r="I158" s="285"/>
      <c r="J158" s="285"/>
      <c r="K158" s="285"/>
      <c r="L158" s="285"/>
    </row>
    <row r="159" spans="1:12" ht="14.25">
      <c r="A159" s="285"/>
      <c r="B159" s="285"/>
      <c r="C159" s="285"/>
      <c r="D159" s="285"/>
      <c r="E159" s="285"/>
      <c r="F159" s="285"/>
      <c r="G159" s="285"/>
      <c r="H159" s="285"/>
      <c r="I159" s="285"/>
      <c r="J159" s="285"/>
      <c r="K159" s="285"/>
      <c r="L159" s="285"/>
    </row>
    <row r="160" spans="1:12" ht="14.25">
      <c r="A160" s="285"/>
      <c r="B160" s="285"/>
      <c r="C160" s="285"/>
      <c r="D160" s="285"/>
      <c r="E160" s="285"/>
      <c r="F160" s="285"/>
      <c r="G160" s="285"/>
      <c r="H160" s="285"/>
      <c r="I160" s="285"/>
      <c r="J160" s="285"/>
      <c r="K160" s="285"/>
      <c r="L160" s="285"/>
    </row>
    <row r="161" spans="1:12" ht="14.25">
      <c r="A161" s="285"/>
      <c r="B161" s="285"/>
      <c r="C161" s="285"/>
      <c r="D161" s="285"/>
      <c r="E161" s="285"/>
      <c r="F161" s="285"/>
      <c r="G161" s="285"/>
      <c r="H161" s="285"/>
      <c r="I161" s="285"/>
      <c r="J161" s="285"/>
      <c r="K161" s="285"/>
      <c r="L161" s="285"/>
    </row>
    <row r="162" spans="1:12" ht="14.25">
      <c r="A162" s="285"/>
      <c r="B162" s="285"/>
      <c r="C162" s="285"/>
      <c r="D162" s="285"/>
      <c r="E162" s="285"/>
      <c r="F162" s="285"/>
      <c r="G162" s="285"/>
      <c r="H162" s="285"/>
      <c r="I162" s="285"/>
      <c r="J162" s="285"/>
      <c r="K162" s="285"/>
      <c r="L162" s="285"/>
    </row>
    <row r="163" spans="1:12" ht="14.25">
      <c r="A163" s="285"/>
      <c r="B163" s="285"/>
      <c r="C163" s="285"/>
      <c r="D163" s="285"/>
      <c r="E163" s="285"/>
      <c r="F163" s="285"/>
      <c r="G163" s="285"/>
      <c r="H163" s="285"/>
      <c r="I163" s="285"/>
      <c r="J163" s="285"/>
      <c r="K163" s="285"/>
      <c r="L163" s="285"/>
    </row>
    <row r="164" spans="1:12" ht="14.25">
      <c r="A164" s="285"/>
      <c r="B164" s="285"/>
      <c r="C164" s="285"/>
      <c r="D164" s="285"/>
      <c r="E164" s="285"/>
      <c r="F164" s="285"/>
      <c r="G164" s="285"/>
      <c r="H164" s="285"/>
      <c r="I164" s="285"/>
      <c r="J164" s="285"/>
      <c r="K164" s="285"/>
      <c r="L164" s="285"/>
    </row>
    <row r="165" spans="1:12" ht="14.25">
      <c r="A165" s="285"/>
      <c r="B165" s="285"/>
      <c r="C165" s="285"/>
      <c r="D165" s="285"/>
      <c r="E165" s="285"/>
      <c r="F165" s="285"/>
      <c r="G165" s="285"/>
      <c r="H165" s="285"/>
      <c r="I165" s="285"/>
      <c r="J165" s="285"/>
      <c r="K165" s="285"/>
      <c r="L165" s="285"/>
    </row>
    <row r="166" spans="1:12" ht="14.25">
      <c r="A166" s="285"/>
      <c r="B166" s="285"/>
      <c r="C166" s="285"/>
      <c r="D166" s="285"/>
      <c r="E166" s="285"/>
      <c r="F166" s="285"/>
      <c r="G166" s="285"/>
      <c r="H166" s="285"/>
      <c r="I166" s="285"/>
      <c r="J166" s="285"/>
      <c r="K166" s="285"/>
      <c r="L166" s="285"/>
    </row>
    <row r="167" spans="1:12" ht="14.25">
      <c r="A167" s="285"/>
      <c r="B167" s="285"/>
      <c r="C167" s="285"/>
      <c r="D167" s="285"/>
      <c r="E167" s="285"/>
      <c r="F167" s="285"/>
      <c r="G167" s="285"/>
      <c r="H167" s="285"/>
      <c r="I167" s="285"/>
      <c r="J167" s="285"/>
      <c r="K167" s="285"/>
      <c r="L167" s="285"/>
    </row>
    <row r="168" spans="1:12" ht="14.25">
      <c r="A168" s="285"/>
      <c r="B168" s="285"/>
      <c r="C168" s="285"/>
      <c r="D168" s="285"/>
      <c r="E168" s="285"/>
      <c r="F168" s="285"/>
      <c r="G168" s="285"/>
      <c r="H168" s="285"/>
      <c r="I168" s="285"/>
      <c r="J168" s="285"/>
      <c r="K168" s="285"/>
      <c r="L168" s="285"/>
    </row>
    <row r="169" spans="1:12" ht="14.25">
      <c r="A169" s="285"/>
      <c r="B169" s="285"/>
      <c r="C169" s="285"/>
      <c r="D169" s="285"/>
      <c r="E169" s="285"/>
      <c r="F169" s="285"/>
      <c r="G169" s="285"/>
      <c r="H169" s="285"/>
      <c r="I169" s="285"/>
      <c r="J169" s="285"/>
      <c r="K169" s="285"/>
      <c r="L169" s="285"/>
    </row>
    <row r="170" spans="1:12" ht="14.25">
      <c r="A170" s="285"/>
      <c r="B170" s="285"/>
      <c r="C170" s="285"/>
      <c r="D170" s="285"/>
      <c r="E170" s="285"/>
      <c r="F170" s="285"/>
      <c r="G170" s="285"/>
      <c r="H170" s="285"/>
      <c r="I170" s="285"/>
      <c r="J170" s="285"/>
      <c r="K170" s="285"/>
      <c r="L170" s="285"/>
    </row>
    <row r="171" spans="1:12" ht="14.25">
      <c r="A171" s="285"/>
      <c r="B171" s="285"/>
      <c r="C171" s="285"/>
      <c r="D171" s="285"/>
      <c r="E171" s="285"/>
      <c r="F171" s="285"/>
      <c r="G171" s="285"/>
      <c r="H171" s="285"/>
      <c r="I171" s="285"/>
      <c r="J171" s="285"/>
      <c r="K171" s="285"/>
      <c r="L171" s="285"/>
    </row>
    <row r="172" spans="1:12" ht="14.25">
      <c r="A172" s="285"/>
      <c r="B172" s="285"/>
      <c r="C172" s="285"/>
      <c r="D172" s="285"/>
      <c r="E172" s="285"/>
      <c r="F172" s="285"/>
      <c r="G172" s="285"/>
      <c r="H172" s="285"/>
      <c r="I172" s="285"/>
      <c r="J172" s="285"/>
      <c r="K172" s="285"/>
      <c r="L172" s="285"/>
    </row>
    <row r="173" spans="1:12" ht="14.25">
      <c r="A173" s="285"/>
      <c r="B173" s="285"/>
      <c r="C173" s="285"/>
      <c r="D173" s="285"/>
      <c r="E173" s="285"/>
      <c r="F173" s="285"/>
      <c r="G173" s="285"/>
      <c r="H173" s="285"/>
      <c r="I173" s="285"/>
      <c r="J173" s="285"/>
      <c r="K173" s="285"/>
      <c r="L173" s="285"/>
    </row>
    <row r="174" spans="1:12" ht="14.25">
      <c r="A174" s="285"/>
      <c r="B174" s="285"/>
      <c r="C174" s="285"/>
      <c r="D174" s="285"/>
      <c r="E174" s="285"/>
      <c r="F174" s="285"/>
      <c r="G174" s="285"/>
      <c r="H174" s="285"/>
      <c r="I174" s="285"/>
      <c r="J174" s="285"/>
      <c r="K174" s="285"/>
      <c r="L174" s="285"/>
    </row>
    <row r="175" spans="1:12" ht="14.25">
      <c r="A175" s="285"/>
      <c r="B175" s="285"/>
      <c r="C175" s="285"/>
      <c r="D175" s="285"/>
      <c r="E175" s="285"/>
      <c r="F175" s="285"/>
      <c r="G175" s="285"/>
      <c r="H175" s="285"/>
      <c r="I175" s="285"/>
      <c r="J175" s="285"/>
      <c r="K175" s="285"/>
      <c r="L175" s="285"/>
    </row>
    <row r="176" spans="1:12" ht="14.25">
      <c r="A176" s="285"/>
      <c r="B176" s="285"/>
      <c r="C176" s="285"/>
      <c r="D176" s="285"/>
      <c r="E176" s="285"/>
      <c r="F176" s="285"/>
      <c r="G176" s="285"/>
      <c r="H176" s="285"/>
      <c r="I176" s="285"/>
      <c r="J176" s="285"/>
      <c r="K176" s="285"/>
      <c r="L176" s="285"/>
    </row>
    <row r="177" spans="1:12" ht="14.25">
      <c r="A177" s="285"/>
      <c r="B177" s="285"/>
      <c r="C177" s="285"/>
      <c r="D177" s="285"/>
      <c r="E177" s="285"/>
      <c r="F177" s="285"/>
      <c r="G177" s="285"/>
      <c r="H177" s="285"/>
      <c r="I177" s="285"/>
      <c r="J177" s="285"/>
      <c r="K177" s="285"/>
      <c r="L177" s="285"/>
    </row>
    <row r="178" spans="1:12" ht="14.25">
      <c r="A178" s="285"/>
      <c r="B178" s="285"/>
      <c r="C178" s="285"/>
      <c r="D178" s="285"/>
      <c r="E178" s="285"/>
      <c r="F178" s="285"/>
      <c r="G178" s="285"/>
      <c r="H178" s="285"/>
      <c r="I178" s="285"/>
      <c r="J178" s="285"/>
      <c r="K178" s="285"/>
      <c r="L178" s="285"/>
    </row>
    <row r="179" spans="1:12" ht="14.25">
      <c r="A179" s="285"/>
      <c r="B179" s="285"/>
      <c r="C179" s="285"/>
      <c r="D179" s="285"/>
      <c r="E179" s="285"/>
      <c r="F179" s="285"/>
      <c r="G179" s="285"/>
      <c r="H179" s="285"/>
      <c r="I179" s="285"/>
      <c r="J179" s="285"/>
      <c r="K179" s="285"/>
      <c r="L179" s="285"/>
    </row>
    <row r="180" spans="1:12" ht="14.25">
      <c r="A180" s="285"/>
      <c r="B180" s="285"/>
      <c r="C180" s="285"/>
      <c r="D180" s="285"/>
      <c r="E180" s="285"/>
      <c r="F180" s="285"/>
      <c r="G180" s="285"/>
      <c r="H180" s="285"/>
      <c r="I180" s="285"/>
      <c r="J180" s="285"/>
      <c r="K180" s="285"/>
      <c r="L180" s="285"/>
    </row>
    <row r="181" spans="1:12" ht="14.25">
      <c r="A181" s="285"/>
      <c r="B181" s="285"/>
      <c r="C181" s="285"/>
      <c r="D181" s="285"/>
      <c r="E181" s="285"/>
      <c r="F181" s="285"/>
      <c r="G181" s="285"/>
      <c r="H181" s="285"/>
      <c r="I181" s="285"/>
      <c r="J181" s="285"/>
      <c r="K181" s="285"/>
      <c r="L181" s="285"/>
    </row>
    <row r="182" spans="1:12" ht="14.25">
      <c r="A182" s="285"/>
      <c r="B182" s="285"/>
      <c r="C182" s="285"/>
      <c r="D182" s="285"/>
      <c r="E182" s="285"/>
      <c r="F182" s="285"/>
      <c r="G182" s="285"/>
      <c r="H182" s="285"/>
      <c r="I182" s="285"/>
      <c r="J182" s="285"/>
      <c r="K182" s="285"/>
      <c r="L182" s="285"/>
    </row>
    <row r="183" spans="1:12" ht="14.25">
      <c r="A183" s="285"/>
      <c r="B183" s="285"/>
      <c r="C183" s="285"/>
      <c r="D183" s="285"/>
      <c r="E183" s="285"/>
      <c r="F183" s="285"/>
      <c r="G183" s="285"/>
      <c r="H183" s="285"/>
      <c r="I183" s="285"/>
      <c r="J183" s="285"/>
      <c r="K183" s="285"/>
      <c r="L183" s="285"/>
    </row>
    <row r="184" spans="1:12" ht="14.25">
      <c r="A184" s="285"/>
      <c r="B184" s="285"/>
      <c r="C184" s="285"/>
      <c r="D184" s="285"/>
      <c r="E184" s="285"/>
      <c r="F184" s="285"/>
      <c r="G184" s="285"/>
      <c r="H184" s="285"/>
      <c r="I184" s="285"/>
      <c r="J184" s="285"/>
      <c r="K184" s="285"/>
      <c r="L184" s="285"/>
    </row>
    <row r="185" spans="1:12" ht="14.25">
      <c r="A185" s="285"/>
      <c r="B185" s="285"/>
      <c r="C185" s="285"/>
      <c r="D185" s="285"/>
      <c r="E185" s="285"/>
      <c r="F185" s="285"/>
      <c r="G185" s="285"/>
      <c r="H185" s="285"/>
      <c r="I185" s="285"/>
      <c r="J185" s="285"/>
      <c r="K185" s="285"/>
      <c r="L185" s="285"/>
    </row>
    <row r="186" spans="1:12" ht="14.25">
      <c r="A186" s="285"/>
      <c r="B186" s="285"/>
      <c r="C186" s="285"/>
      <c r="D186" s="285"/>
      <c r="E186" s="285"/>
      <c r="F186" s="285"/>
      <c r="G186" s="285"/>
      <c r="H186" s="285"/>
      <c r="I186" s="285"/>
      <c r="J186" s="285"/>
      <c r="K186" s="285"/>
      <c r="L186" s="285"/>
    </row>
    <row r="187" spans="1:12" ht="14.25">
      <c r="A187" s="285"/>
      <c r="B187" s="285"/>
      <c r="C187" s="285"/>
      <c r="D187" s="285"/>
      <c r="E187" s="285"/>
      <c r="F187" s="285"/>
      <c r="G187" s="285"/>
      <c r="H187" s="285"/>
      <c r="I187" s="285"/>
      <c r="J187" s="285"/>
      <c r="K187" s="285"/>
      <c r="L187" s="285"/>
    </row>
    <row r="188" spans="1:12" ht="14.25">
      <c r="A188" s="285"/>
      <c r="B188" s="285"/>
      <c r="C188" s="285"/>
      <c r="D188" s="285"/>
      <c r="E188" s="285"/>
      <c r="F188" s="285"/>
      <c r="G188" s="285"/>
      <c r="H188" s="285"/>
      <c r="I188" s="285"/>
      <c r="J188" s="285"/>
      <c r="K188" s="285"/>
      <c r="L188" s="285"/>
    </row>
    <row r="189" spans="1:12" ht="14.25">
      <c r="A189" s="285"/>
      <c r="B189" s="285"/>
      <c r="C189" s="285"/>
      <c r="D189" s="285"/>
      <c r="E189" s="285"/>
      <c r="F189" s="285"/>
      <c r="G189" s="285"/>
      <c r="H189" s="285"/>
      <c r="I189" s="285"/>
      <c r="J189" s="285"/>
      <c r="K189" s="285"/>
      <c r="L189" s="285"/>
    </row>
    <row r="190" spans="1:12" ht="14.25">
      <c r="A190" s="285"/>
      <c r="B190" s="285"/>
      <c r="C190" s="285"/>
      <c r="D190" s="285"/>
      <c r="E190" s="285"/>
      <c r="F190" s="285"/>
      <c r="G190" s="285"/>
      <c r="H190" s="285"/>
      <c r="I190" s="285"/>
      <c r="J190" s="285"/>
      <c r="K190" s="285"/>
      <c r="L190" s="285"/>
    </row>
    <row r="191" spans="1:12" ht="14.25">
      <c r="A191" s="285"/>
      <c r="B191" s="285"/>
      <c r="C191" s="285"/>
      <c r="D191" s="285"/>
      <c r="E191" s="285"/>
      <c r="F191" s="285"/>
      <c r="G191" s="285"/>
      <c r="H191" s="285"/>
      <c r="I191" s="285"/>
      <c r="J191" s="285"/>
      <c r="K191" s="285"/>
      <c r="L191" s="285"/>
    </row>
    <row r="192" spans="1:12" ht="14.25">
      <c r="A192" s="285"/>
      <c r="B192" s="285"/>
      <c r="C192" s="285"/>
      <c r="D192" s="285"/>
      <c r="E192" s="285"/>
      <c r="F192" s="285"/>
      <c r="G192" s="285"/>
      <c r="H192" s="285"/>
      <c r="I192" s="285"/>
      <c r="J192" s="285"/>
      <c r="K192" s="285"/>
      <c r="L192" s="285"/>
    </row>
    <row r="193" spans="1:12" ht="14.25">
      <c r="A193" s="285"/>
      <c r="B193" s="285"/>
      <c r="C193" s="285"/>
      <c r="D193" s="285"/>
      <c r="E193" s="285"/>
      <c r="F193" s="285"/>
      <c r="G193" s="285"/>
      <c r="H193" s="285"/>
      <c r="I193" s="285"/>
      <c r="J193" s="285"/>
      <c r="K193" s="285"/>
      <c r="L193" s="285"/>
    </row>
    <row r="194" spans="1:12" ht="14.25">
      <c r="A194" s="285"/>
      <c r="B194" s="285"/>
      <c r="C194" s="285"/>
      <c r="D194" s="285"/>
      <c r="E194" s="285"/>
      <c r="F194" s="285"/>
      <c r="G194" s="285"/>
      <c r="H194" s="285"/>
      <c r="I194" s="285"/>
      <c r="J194" s="285"/>
      <c r="K194" s="285"/>
      <c r="L194" s="285"/>
    </row>
    <row r="195" spans="1:12" ht="14.25">
      <c r="A195" s="285"/>
      <c r="B195" s="285"/>
      <c r="C195" s="285"/>
      <c r="D195" s="285"/>
      <c r="E195" s="285"/>
      <c r="F195" s="285"/>
      <c r="G195" s="285"/>
      <c r="H195" s="285"/>
      <c r="I195" s="285"/>
      <c r="J195" s="285"/>
      <c r="K195" s="285"/>
      <c r="L195" s="285"/>
    </row>
    <row r="196" spans="1:12" ht="14.25">
      <c r="A196" s="285"/>
      <c r="B196" s="285"/>
      <c r="C196" s="285"/>
      <c r="D196" s="285"/>
      <c r="E196" s="285"/>
      <c r="F196" s="285"/>
      <c r="G196" s="285"/>
      <c r="H196" s="285"/>
      <c r="I196" s="285"/>
      <c r="J196" s="285"/>
      <c r="K196" s="285"/>
      <c r="L196" s="285"/>
    </row>
    <row r="197" spans="1:12" ht="14.25">
      <c r="A197" s="285"/>
      <c r="B197" s="285"/>
      <c r="C197" s="285"/>
      <c r="D197" s="285"/>
      <c r="E197" s="285"/>
      <c r="F197" s="285"/>
      <c r="G197" s="285"/>
      <c r="H197" s="285"/>
      <c r="I197" s="285"/>
      <c r="J197" s="285"/>
      <c r="K197" s="285"/>
      <c r="L197" s="285"/>
    </row>
    <row r="198" spans="1:12" ht="14.25">
      <c r="A198" s="285"/>
      <c r="B198" s="285"/>
      <c r="C198" s="285"/>
      <c r="D198" s="285"/>
      <c r="E198" s="285"/>
      <c r="F198" s="285"/>
      <c r="G198" s="285"/>
      <c r="H198" s="285"/>
      <c r="I198" s="285"/>
      <c r="J198" s="285"/>
      <c r="K198" s="285"/>
      <c r="L198" s="285"/>
    </row>
    <row r="199" spans="1:12" ht="14.25">
      <c r="A199" s="285"/>
      <c r="B199" s="285"/>
      <c r="C199" s="285"/>
      <c r="D199" s="285"/>
      <c r="E199" s="285"/>
      <c r="F199" s="285"/>
      <c r="G199" s="285"/>
      <c r="H199" s="285"/>
      <c r="I199" s="285"/>
      <c r="J199" s="285"/>
      <c r="K199" s="285"/>
      <c r="L199" s="285"/>
    </row>
    <row r="200" spans="1:12" ht="14.25">
      <c r="A200" s="285"/>
      <c r="B200" s="285"/>
      <c r="C200" s="285"/>
      <c r="D200" s="285"/>
      <c r="E200" s="285"/>
      <c r="F200" s="285"/>
      <c r="G200" s="285"/>
      <c r="H200" s="285"/>
      <c r="I200" s="285"/>
      <c r="J200" s="285"/>
      <c r="K200" s="285"/>
      <c r="L200" s="285"/>
    </row>
    <row r="201" spans="1:12" ht="14.25">
      <c r="A201" s="285"/>
      <c r="B201" s="285"/>
      <c r="C201" s="285"/>
      <c r="D201" s="285"/>
      <c r="E201" s="285"/>
      <c r="F201" s="285"/>
      <c r="G201" s="285"/>
      <c r="H201" s="285"/>
      <c r="I201" s="285"/>
      <c r="J201" s="285"/>
      <c r="K201" s="285"/>
      <c r="L201" s="285"/>
    </row>
    <row r="202" spans="1:12" ht="14.25">
      <c r="A202" s="285"/>
      <c r="B202" s="285"/>
      <c r="C202" s="285"/>
      <c r="D202" s="285"/>
      <c r="E202" s="285"/>
      <c r="F202" s="285"/>
      <c r="G202" s="285"/>
      <c r="H202" s="285"/>
      <c r="I202" s="285"/>
      <c r="J202" s="285"/>
      <c r="K202" s="285"/>
      <c r="L202" s="285"/>
    </row>
    <row r="203" spans="1:12" ht="14.25">
      <c r="A203" s="285"/>
      <c r="B203" s="285"/>
      <c r="C203" s="285"/>
      <c r="D203" s="285"/>
      <c r="E203" s="285"/>
      <c r="F203" s="285"/>
      <c r="G203" s="285"/>
      <c r="H203" s="285"/>
      <c r="I203" s="285"/>
      <c r="J203" s="285"/>
      <c r="K203" s="285"/>
      <c r="L203" s="285"/>
    </row>
    <row r="204" spans="1:12" ht="14.25">
      <c r="A204" s="285"/>
      <c r="B204" s="285"/>
      <c r="C204" s="285"/>
      <c r="D204" s="285"/>
      <c r="E204" s="285"/>
      <c r="F204" s="285"/>
      <c r="G204" s="285"/>
      <c r="H204" s="285"/>
      <c r="I204" s="285"/>
      <c r="J204" s="285"/>
      <c r="K204" s="285"/>
      <c r="L204" s="285"/>
    </row>
    <row r="205" spans="1:12" ht="14.25">
      <c r="A205" s="285"/>
      <c r="B205" s="285"/>
      <c r="C205" s="285"/>
      <c r="D205" s="285"/>
      <c r="E205" s="285"/>
      <c r="F205" s="285"/>
      <c r="G205" s="285"/>
      <c r="H205" s="285"/>
      <c r="I205" s="285"/>
      <c r="J205" s="285"/>
      <c r="K205" s="285"/>
      <c r="L205" s="285"/>
    </row>
    <row r="206" spans="1:12" ht="14.25">
      <c r="A206" s="285"/>
      <c r="B206" s="285"/>
      <c r="C206" s="285"/>
      <c r="D206" s="285"/>
      <c r="E206" s="285"/>
      <c r="F206" s="285"/>
      <c r="G206" s="285"/>
      <c r="H206" s="285"/>
      <c r="I206" s="285"/>
      <c r="J206" s="285"/>
      <c r="K206" s="285"/>
      <c r="L206" s="285"/>
    </row>
    <row r="207" spans="1:12" ht="14.25">
      <c r="A207" s="285"/>
      <c r="B207" s="285"/>
      <c r="C207" s="285"/>
      <c r="D207" s="285"/>
      <c r="E207" s="285"/>
      <c r="F207" s="285"/>
      <c r="G207" s="285"/>
      <c r="H207" s="285"/>
      <c r="I207" s="285"/>
      <c r="J207" s="285"/>
      <c r="K207" s="285"/>
      <c r="L207" s="285"/>
    </row>
    <row r="208" spans="1:12" ht="14.25">
      <c r="A208" s="285"/>
      <c r="B208" s="285"/>
      <c r="C208" s="285"/>
      <c r="D208" s="285"/>
      <c r="E208" s="285"/>
      <c r="F208" s="285"/>
      <c r="G208" s="285"/>
      <c r="H208" s="285"/>
      <c r="I208" s="285"/>
      <c r="J208" s="285"/>
      <c r="K208" s="285"/>
      <c r="L208" s="285"/>
    </row>
    <row r="209" spans="1:12" ht="14.25">
      <c r="A209" s="285"/>
      <c r="B209" s="285"/>
      <c r="C209" s="285"/>
      <c r="D209" s="285"/>
      <c r="E209" s="285"/>
      <c r="F209" s="285"/>
      <c r="G209" s="285"/>
      <c r="H209" s="285"/>
      <c r="I209" s="285"/>
      <c r="J209" s="285"/>
      <c r="K209" s="285"/>
      <c r="L209" s="285"/>
    </row>
    <row r="210" spans="1:12" ht="14.25">
      <c r="A210" s="285"/>
      <c r="B210" s="285"/>
      <c r="C210" s="285"/>
      <c r="D210" s="285"/>
      <c r="E210" s="285"/>
      <c r="F210" s="285"/>
      <c r="G210" s="285"/>
      <c r="H210" s="285"/>
      <c r="I210" s="285"/>
      <c r="J210" s="285"/>
      <c r="K210" s="285"/>
      <c r="L210" s="285"/>
    </row>
    <row r="211" spans="1:12" ht="14.25">
      <c r="A211" s="285"/>
      <c r="B211" s="285"/>
      <c r="C211" s="285"/>
      <c r="D211" s="285"/>
      <c r="E211" s="285"/>
      <c r="F211" s="285"/>
      <c r="G211" s="285"/>
      <c r="H211" s="285"/>
      <c r="I211" s="285"/>
      <c r="J211" s="285"/>
      <c r="K211" s="285"/>
      <c r="L211" s="285"/>
    </row>
    <row r="212" spans="1:12" ht="14.25">
      <c r="A212" s="285"/>
      <c r="B212" s="285"/>
      <c r="C212" s="285"/>
      <c r="D212" s="285"/>
      <c r="E212" s="285"/>
      <c r="F212" s="285"/>
      <c r="G212" s="285"/>
      <c r="H212" s="285"/>
      <c r="I212" s="285"/>
      <c r="J212" s="285"/>
      <c r="K212" s="285"/>
      <c r="L212" s="285"/>
    </row>
    <row r="213" spans="1:12" ht="14.25">
      <c r="A213" s="285"/>
      <c r="B213" s="285"/>
      <c r="C213" s="285"/>
      <c r="D213" s="285"/>
      <c r="E213" s="285"/>
      <c r="F213" s="285"/>
      <c r="G213" s="285"/>
      <c r="H213" s="285"/>
      <c r="I213" s="285"/>
      <c r="J213" s="285"/>
      <c r="K213" s="285"/>
      <c r="L213" s="285"/>
    </row>
    <row r="214" spans="1:12" ht="14.25">
      <c r="A214" s="285"/>
      <c r="B214" s="285"/>
      <c r="C214" s="285"/>
      <c r="D214" s="285"/>
      <c r="E214" s="285"/>
      <c r="F214" s="285"/>
      <c r="G214" s="285"/>
      <c r="H214" s="285"/>
      <c r="I214" s="285"/>
      <c r="J214" s="285"/>
      <c r="K214" s="285"/>
      <c r="L214" s="285"/>
    </row>
    <row r="215" spans="1:12" ht="14.25">
      <c r="A215" s="285"/>
      <c r="B215" s="285"/>
      <c r="C215" s="285"/>
      <c r="D215" s="285"/>
      <c r="E215" s="285"/>
      <c r="F215" s="285"/>
      <c r="G215" s="285"/>
      <c r="H215" s="285"/>
      <c r="I215" s="285"/>
      <c r="J215" s="285"/>
      <c r="K215" s="285"/>
      <c r="L215" s="285"/>
    </row>
    <row r="216" spans="1:12" ht="14.25">
      <c r="A216" s="285"/>
      <c r="B216" s="285"/>
      <c r="C216" s="285"/>
      <c r="D216" s="285"/>
      <c r="E216" s="285"/>
      <c r="F216" s="285"/>
      <c r="G216" s="285"/>
      <c r="H216" s="285"/>
      <c r="I216" s="285"/>
      <c r="J216" s="285"/>
      <c r="K216" s="285"/>
      <c r="L216" s="285"/>
    </row>
    <row r="217" spans="1:12" ht="14.25">
      <c r="A217" s="285"/>
      <c r="B217" s="285"/>
      <c r="C217" s="285"/>
      <c r="D217" s="285"/>
      <c r="E217" s="285"/>
      <c r="F217" s="285"/>
      <c r="G217" s="285"/>
      <c r="H217" s="285"/>
      <c r="I217" s="285"/>
      <c r="J217" s="285"/>
      <c r="K217" s="285"/>
      <c r="L217" s="285"/>
    </row>
    <row r="218" spans="1:12" ht="14.25">
      <c r="A218" s="285"/>
      <c r="B218" s="285"/>
      <c r="C218" s="285"/>
      <c r="D218" s="285"/>
      <c r="E218" s="285"/>
      <c r="F218" s="285"/>
      <c r="G218" s="285"/>
      <c r="H218" s="285"/>
      <c r="I218" s="285"/>
      <c r="J218" s="285"/>
      <c r="K218" s="285"/>
      <c r="L218" s="285"/>
    </row>
    <row r="219" spans="1:12" ht="14.25">
      <c r="A219" s="285"/>
      <c r="B219" s="285"/>
      <c r="C219" s="285"/>
      <c r="D219" s="285"/>
      <c r="E219" s="285"/>
      <c r="F219" s="285"/>
      <c r="G219" s="285"/>
      <c r="H219" s="285"/>
      <c r="I219" s="285"/>
      <c r="J219" s="285"/>
      <c r="K219" s="285"/>
      <c r="L219" s="285"/>
    </row>
    <row r="220" spans="1:12" ht="14.25">
      <c r="A220" s="285"/>
      <c r="B220" s="285"/>
      <c r="C220" s="285"/>
      <c r="D220" s="285"/>
      <c r="E220" s="285"/>
      <c r="F220" s="285"/>
      <c r="G220" s="285"/>
      <c r="H220" s="285"/>
      <c r="I220" s="285"/>
      <c r="J220" s="285"/>
      <c r="K220" s="285"/>
      <c r="L220" s="285"/>
    </row>
    <row r="221" spans="1:12" ht="14.25">
      <c r="A221" s="285"/>
      <c r="B221" s="285"/>
      <c r="C221" s="285"/>
      <c r="D221" s="285"/>
      <c r="E221" s="285"/>
      <c r="F221" s="285"/>
      <c r="G221" s="285"/>
      <c r="H221" s="285"/>
      <c r="I221" s="285"/>
      <c r="J221" s="285"/>
      <c r="K221" s="285"/>
      <c r="L221" s="285"/>
    </row>
    <row r="222" spans="1:12" ht="14.25">
      <c r="A222" s="285"/>
      <c r="B222" s="285"/>
      <c r="C222" s="285"/>
      <c r="D222" s="285"/>
      <c r="E222" s="285"/>
      <c r="F222" s="285"/>
      <c r="G222" s="285"/>
      <c r="H222" s="285"/>
      <c r="I222" s="285"/>
      <c r="J222" s="285"/>
      <c r="K222" s="285"/>
      <c r="L222" s="285"/>
    </row>
    <row r="223" spans="1:12" ht="14.25">
      <c r="A223" s="285"/>
      <c r="B223" s="285"/>
      <c r="C223" s="285"/>
      <c r="D223" s="285"/>
      <c r="E223" s="285"/>
      <c r="F223" s="285"/>
      <c r="G223" s="285"/>
      <c r="H223" s="285"/>
      <c r="I223" s="285"/>
      <c r="J223" s="285"/>
      <c r="K223" s="285"/>
      <c r="L223" s="285"/>
    </row>
    <row r="224" spans="1:12" ht="14.25">
      <c r="A224" s="285"/>
      <c r="B224" s="285"/>
      <c r="C224" s="285"/>
      <c r="D224" s="285"/>
      <c r="E224" s="285"/>
      <c r="F224" s="285"/>
      <c r="G224" s="285"/>
      <c r="H224" s="285"/>
      <c r="I224" s="285"/>
      <c r="J224" s="285"/>
      <c r="K224" s="285"/>
      <c r="L224" s="285"/>
    </row>
    <row r="225" spans="1:12" ht="14.25">
      <c r="A225" s="285"/>
      <c r="B225" s="285"/>
      <c r="C225" s="285"/>
      <c r="D225" s="285"/>
      <c r="E225" s="285"/>
      <c r="F225" s="285"/>
      <c r="G225" s="285"/>
      <c r="H225" s="285"/>
      <c r="I225" s="285"/>
      <c r="J225" s="285"/>
      <c r="K225" s="285"/>
      <c r="L225" s="285"/>
    </row>
    <row r="226" spans="1:12" ht="14.25">
      <c r="A226" s="285"/>
      <c r="B226" s="285"/>
      <c r="C226" s="285"/>
      <c r="D226" s="285"/>
      <c r="E226" s="285"/>
      <c r="F226" s="285"/>
      <c r="G226" s="285"/>
      <c r="H226" s="285"/>
      <c r="I226" s="285"/>
      <c r="J226" s="285"/>
      <c r="K226" s="285"/>
      <c r="L226" s="285"/>
    </row>
    <row r="227" spans="1:12" ht="14.25">
      <c r="A227" s="285"/>
      <c r="B227" s="285"/>
      <c r="C227" s="285"/>
      <c r="D227" s="285"/>
      <c r="E227" s="285"/>
      <c r="F227" s="285"/>
      <c r="G227" s="285"/>
      <c r="H227" s="285"/>
      <c r="I227" s="285"/>
      <c r="J227" s="285"/>
      <c r="K227" s="285"/>
      <c r="L227" s="285"/>
    </row>
    <row r="228" spans="1:12" ht="14.25">
      <c r="A228" s="285"/>
      <c r="B228" s="285"/>
      <c r="C228" s="285"/>
      <c r="D228" s="285"/>
      <c r="E228" s="285"/>
      <c r="F228" s="285"/>
      <c r="G228" s="285"/>
      <c r="H228" s="285"/>
      <c r="I228" s="285"/>
      <c r="J228" s="285"/>
      <c r="K228" s="285"/>
      <c r="L228" s="285"/>
    </row>
    <row r="229" spans="1:12" ht="14.25">
      <c r="A229" s="285"/>
      <c r="B229" s="285"/>
      <c r="C229" s="285"/>
      <c r="D229" s="285"/>
      <c r="E229" s="285"/>
      <c r="F229" s="285"/>
      <c r="G229" s="285"/>
      <c r="H229" s="285"/>
      <c r="I229" s="285"/>
      <c r="J229" s="285"/>
      <c r="K229" s="285"/>
      <c r="L229" s="285"/>
    </row>
    <row r="230" spans="1:12" ht="14.25">
      <c r="A230" s="285"/>
      <c r="B230" s="285"/>
      <c r="C230" s="285"/>
      <c r="D230" s="285"/>
      <c r="E230" s="285"/>
      <c r="F230" s="285"/>
      <c r="G230" s="285"/>
      <c r="H230" s="285"/>
      <c r="I230" s="285"/>
      <c r="J230" s="285"/>
      <c r="K230" s="285"/>
      <c r="L230" s="285"/>
    </row>
    <row r="231" spans="1:12" ht="14.25">
      <c r="A231" s="285"/>
      <c r="B231" s="285"/>
      <c r="C231" s="285"/>
      <c r="D231" s="285"/>
      <c r="E231" s="285"/>
      <c r="F231" s="285"/>
      <c r="G231" s="285"/>
      <c r="H231" s="285"/>
      <c r="I231" s="285"/>
      <c r="J231" s="285"/>
      <c r="K231" s="285"/>
      <c r="L231" s="285"/>
    </row>
    <row r="232" spans="1:12" ht="14.25">
      <c r="A232" s="285"/>
      <c r="B232" s="285"/>
      <c r="C232" s="285"/>
      <c r="D232" s="285"/>
      <c r="E232" s="285"/>
      <c r="F232" s="285"/>
      <c r="G232" s="285"/>
      <c r="H232" s="285"/>
      <c r="I232" s="285"/>
      <c r="J232" s="285"/>
      <c r="K232" s="285"/>
      <c r="L232" s="285"/>
    </row>
    <row r="233" spans="1:12" ht="14.25">
      <c r="A233" s="285"/>
      <c r="B233" s="285"/>
      <c r="C233" s="285"/>
      <c r="D233" s="285"/>
      <c r="E233" s="285"/>
      <c r="F233" s="285"/>
      <c r="G233" s="285"/>
      <c r="H233" s="285"/>
      <c r="I233" s="285"/>
      <c r="J233" s="285"/>
      <c r="K233" s="285"/>
      <c r="L233" s="285"/>
    </row>
    <row r="234" spans="1:12" ht="14.25">
      <c r="A234" s="285"/>
      <c r="B234" s="285"/>
      <c r="C234" s="285"/>
      <c r="D234" s="285"/>
      <c r="E234" s="285"/>
      <c r="F234" s="285"/>
      <c r="G234" s="285"/>
      <c r="H234" s="285"/>
      <c r="I234" s="285"/>
      <c r="J234" s="285"/>
      <c r="K234" s="285"/>
      <c r="L234" s="285"/>
    </row>
    <row r="235" spans="1:12" ht="14.25">
      <c r="A235" s="285"/>
      <c r="B235" s="285"/>
      <c r="C235" s="285"/>
      <c r="D235" s="285"/>
      <c r="E235" s="285"/>
      <c r="F235" s="285"/>
      <c r="G235" s="285"/>
      <c r="H235" s="285"/>
      <c r="I235" s="285"/>
      <c r="J235" s="285"/>
      <c r="K235" s="285"/>
      <c r="L235" s="285"/>
    </row>
    <row r="236" spans="1:12" ht="14.25">
      <c r="A236" s="285"/>
      <c r="B236" s="285"/>
      <c r="C236" s="285"/>
      <c r="D236" s="285"/>
      <c r="E236" s="285"/>
      <c r="F236" s="285"/>
      <c r="G236" s="285"/>
      <c r="H236" s="285"/>
      <c r="I236" s="285"/>
      <c r="J236" s="285"/>
      <c r="K236" s="285"/>
      <c r="L236" s="285"/>
    </row>
    <row r="237" spans="1:12" ht="14.25">
      <c r="A237" s="285"/>
      <c r="B237" s="285"/>
      <c r="C237" s="285"/>
      <c r="D237" s="285"/>
      <c r="E237" s="285"/>
      <c r="F237" s="285"/>
      <c r="G237" s="285"/>
      <c r="H237" s="285"/>
      <c r="I237" s="285"/>
      <c r="J237" s="285"/>
      <c r="K237" s="285"/>
      <c r="L237" s="285"/>
    </row>
    <row r="238" spans="1:12" ht="14.25">
      <c r="A238" s="285"/>
      <c r="B238" s="285"/>
      <c r="C238" s="285"/>
      <c r="D238" s="285"/>
      <c r="E238" s="285"/>
      <c r="F238" s="285"/>
      <c r="G238" s="285"/>
      <c r="H238" s="285"/>
      <c r="I238" s="285"/>
      <c r="J238" s="285"/>
      <c r="K238" s="285"/>
      <c r="L238" s="285"/>
    </row>
    <row r="239" spans="1:12" ht="14.25">
      <c r="A239" s="285"/>
      <c r="B239" s="285"/>
      <c r="C239" s="285"/>
      <c r="D239" s="285"/>
      <c r="E239" s="285"/>
      <c r="F239" s="285"/>
      <c r="G239" s="285"/>
      <c r="H239" s="285"/>
      <c r="I239" s="285"/>
      <c r="J239" s="285"/>
      <c r="K239" s="285"/>
      <c r="L239" s="285"/>
    </row>
    <row r="240" spans="1:12" ht="14.25">
      <c r="A240" s="285"/>
      <c r="B240" s="285"/>
      <c r="C240" s="285"/>
      <c r="D240" s="285"/>
      <c r="E240" s="285"/>
      <c r="F240" s="285"/>
      <c r="G240" s="285"/>
      <c r="H240" s="285"/>
      <c r="I240" s="285"/>
      <c r="J240" s="285"/>
      <c r="K240" s="285"/>
      <c r="L240" s="285"/>
    </row>
    <row r="241" spans="1:12" ht="14.25">
      <c r="A241" s="285"/>
      <c r="B241" s="285"/>
      <c r="C241" s="285"/>
      <c r="D241" s="285"/>
      <c r="E241" s="285"/>
      <c r="F241" s="285"/>
      <c r="G241" s="285"/>
      <c r="H241" s="285"/>
      <c r="I241" s="285"/>
      <c r="J241" s="285"/>
      <c r="K241" s="285"/>
      <c r="L241" s="285"/>
    </row>
    <row r="242" spans="1:12" ht="14.25">
      <c r="A242" s="285"/>
      <c r="B242" s="285"/>
      <c r="C242" s="285"/>
      <c r="D242" s="285"/>
      <c r="E242" s="285"/>
      <c r="F242" s="285"/>
      <c r="G242" s="285"/>
      <c r="H242" s="285"/>
      <c r="I242" s="285"/>
      <c r="J242" s="285"/>
      <c r="K242" s="285"/>
      <c r="L242" s="285"/>
    </row>
    <row r="243" spans="1:12" ht="14.25">
      <c r="A243" s="285"/>
      <c r="B243" s="285"/>
      <c r="C243" s="285"/>
      <c r="D243" s="285"/>
      <c r="E243" s="285"/>
      <c r="F243" s="285"/>
      <c r="G243" s="285"/>
      <c r="H243" s="285"/>
      <c r="I243" s="285"/>
      <c r="J243" s="285"/>
      <c r="K243" s="285"/>
      <c r="L243" s="285"/>
    </row>
    <row r="244" spans="1:12" ht="14.25">
      <c r="A244" s="285"/>
      <c r="B244" s="285"/>
      <c r="C244" s="285"/>
      <c r="D244" s="285"/>
      <c r="E244" s="285"/>
      <c r="F244" s="285"/>
      <c r="G244" s="285"/>
      <c r="H244" s="285"/>
      <c r="I244" s="285"/>
      <c r="J244" s="285"/>
      <c r="K244" s="285"/>
      <c r="L244" s="285"/>
    </row>
    <row r="245" spans="1:12" ht="14.25">
      <c r="A245" s="285"/>
      <c r="B245" s="285"/>
      <c r="C245" s="285"/>
      <c r="D245" s="285"/>
      <c r="E245" s="285"/>
      <c r="F245" s="285"/>
      <c r="G245" s="285"/>
      <c r="H245" s="285"/>
      <c r="I245" s="285"/>
      <c r="J245" s="285"/>
      <c r="K245" s="285"/>
      <c r="L245" s="285"/>
    </row>
    <row r="246" spans="1:12" ht="14.25">
      <c r="A246" s="285"/>
      <c r="B246" s="285"/>
      <c r="C246" s="285"/>
      <c r="D246" s="285"/>
      <c r="E246" s="285"/>
      <c r="F246" s="285"/>
      <c r="G246" s="285"/>
      <c r="H246" s="285"/>
      <c r="I246" s="285"/>
      <c r="J246" s="285"/>
      <c r="K246" s="285"/>
      <c r="L246" s="285"/>
    </row>
    <row r="247" spans="1:12" ht="14.25">
      <c r="A247" s="285"/>
      <c r="B247" s="285"/>
      <c r="C247" s="285"/>
      <c r="D247" s="285"/>
      <c r="E247" s="285"/>
      <c r="F247" s="285"/>
      <c r="G247" s="285"/>
      <c r="H247" s="285"/>
      <c r="I247" s="285"/>
      <c r="J247" s="285"/>
      <c r="K247" s="285"/>
      <c r="L247" s="285"/>
    </row>
    <row r="248" spans="1:12" ht="14.25">
      <c r="A248" s="285"/>
      <c r="B248" s="285"/>
      <c r="C248" s="285"/>
      <c r="D248" s="285"/>
      <c r="E248" s="285"/>
      <c r="F248" s="285"/>
      <c r="G248" s="285"/>
      <c r="H248" s="285"/>
      <c r="I248" s="285"/>
      <c r="J248" s="285"/>
      <c r="K248" s="285"/>
      <c r="L248" s="285"/>
    </row>
    <row r="249" spans="1:12" ht="14.25">
      <c r="A249" s="285"/>
      <c r="B249" s="285"/>
      <c r="C249" s="285"/>
      <c r="D249" s="285"/>
      <c r="E249" s="285"/>
      <c r="F249" s="285"/>
      <c r="G249" s="285"/>
      <c r="H249" s="285"/>
      <c r="I249" s="285"/>
      <c r="J249" s="285"/>
      <c r="K249" s="285"/>
      <c r="L249" s="285"/>
    </row>
    <row r="250" spans="1:12" ht="14.25">
      <c r="A250" s="285"/>
      <c r="B250" s="285"/>
      <c r="C250" s="285"/>
      <c r="D250" s="285"/>
      <c r="E250" s="285"/>
      <c r="F250" s="285"/>
      <c r="G250" s="285"/>
      <c r="H250" s="285"/>
      <c r="I250" s="285"/>
      <c r="J250" s="285"/>
      <c r="K250" s="285"/>
      <c r="L250" s="285"/>
    </row>
    <row r="251" spans="1:12" ht="14.25">
      <c r="A251" s="285"/>
      <c r="B251" s="285"/>
      <c r="C251" s="285"/>
      <c r="D251" s="285"/>
      <c r="E251" s="285"/>
      <c r="F251" s="285"/>
      <c r="G251" s="285"/>
      <c r="H251" s="285"/>
      <c r="I251" s="285"/>
      <c r="J251" s="285"/>
      <c r="K251" s="285"/>
      <c r="L251" s="285"/>
    </row>
    <row r="252" spans="1:12" ht="14.25">
      <c r="A252" s="285"/>
      <c r="B252" s="285"/>
      <c r="C252" s="285"/>
      <c r="D252" s="285"/>
      <c r="E252" s="285"/>
      <c r="F252" s="285"/>
      <c r="G252" s="285"/>
      <c r="H252" s="285"/>
      <c r="I252" s="285"/>
      <c r="J252" s="285"/>
      <c r="K252" s="285"/>
      <c r="L252" s="285"/>
    </row>
    <row r="253" spans="1:12" ht="14.25">
      <c r="A253" s="285"/>
      <c r="B253" s="285"/>
      <c r="C253" s="285"/>
      <c r="D253" s="285"/>
      <c r="E253" s="285"/>
      <c r="F253" s="285"/>
      <c r="G253" s="285"/>
      <c r="H253" s="285"/>
      <c r="I253" s="285"/>
      <c r="J253" s="285"/>
      <c r="K253" s="285"/>
      <c r="L253" s="285"/>
    </row>
    <row r="254" spans="1:12" ht="14.25">
      <c r="A254" s="285"/>
      <c r="B254" s="285"/>
      <c r="C254" s="285"/>
      <c r="D254" s="285"/>
      <c r="E254" s="285"/>
      <c r="F254" s="285"/>
      <c r="G254" s="285"/>
      <c r="H254" s="285"/>
      <c r="I254" s="285"/>
      <c r="J254" s="285"/>
      <c r="K254" s="285"/>
      <c r="L254" s="285"/>
    </row>
    <row r="255" spans="1:12" ht="14.25">
      <c r="A255" s="285"/>
      <c r="B255" s="285"/>
      <c r="C255" s="285"/>
      <c r="D255" s="285"/>
      <c r="E255" s="285"/>
      <c r="F255" s="285"/>
      <c r="G255" s="285"/>
      <c r="H255" s="285"/>
      <c r="I255" s="285"/>
      <c r="J255" s="285"/>
      <c r="K255" s="285"/>
      <c r="L255" s="285"/>
    </row>
    <row r="256" spans="1:12" ht="14.25">
      <c r="A256" s="285"/>
      <c r="B256" s="285"/>
      <c r="C256" s="285"/>
      <c r="D256" s="285"/>
      <c r="E256" s="285"/>
      <c r="F256" s="285"/>
      <c r="G256" s="285"/>
      <c r="H256" s="285"/>
      <c r="I256" s="285"/>
      <c r="J256" s="285"/>
      <c r="K256" s="285"/>
      <c r="L256" s="285"/>
    </row>
    <row r="257" spans="1:12" ht="14.25">
      <c r="A257" s="285"/>
      <c r="B257" s="285"/>
      <c r="C257" s="285"/>
      <c r="D257" s="285"/>
      <c r="E257" s="285"/>
      <c r="F257" s="285"/>
      <c r="G257" s="285"/>
      <c r="H257" s="285"/>
      <c r="I257" s="285"/>
      <c r="J257" s="285"/>
      <c r="K257" s="285"/>
      <c r="L257" s="285"/>
    </row>
    <row r="258" spans="1:12" ht="14.25">
      <c r="A258" s="285"/>
      <c r="B258" s="285"/>
      <c r="C258" s="285"/>
      <c r="D258" s="285"/>
      <c r="E258" s="285"/>
      <c r="F258" s="285"/>
      <c r="G258" s="285"/>
      <c r="H258" s="285"/>
      <c r="I258" s="285"/>
      <c r="J258" s="285"/>
      <c r="K258" s="285"/>
      <c r="L258" s="285"/>
    </row>
    <row r="259" spans="1:12" ht="14.25">
      <c r="A259" s="285"/>
      <c r="B259" s="285"/>
      <c r="C259" s="285"/>
      <c r="D259" s="285"/>
      <c r="E259" s="285"/>
      <c r="F259" s="285"/>
      <c r="G259" s="285"/>
      <c r="H259" s="285"/>
      <c r="I259" s="285"/>
      <c r="J259" s="285"/>
      <c r="K259" s="285"/>
      <c r="L259" s="285"/>
    </row>
    <row r="260" spans="1:12" ht="14.25">
      <c r="A260" s="285"/>
      <c r="B260" s="285"/>
      <c r="C260" s="285"/>
      <c r="D260" s="285"/>
      <c r="E260" s="285"/>
      <c r="F260" s="285"/>
      <c r="G260" s="285"/>
      <c r="H260" s="285"/>
      <c r="I260" s="285"/>
      <c r="J260" s="285"/>
      <c r="K260" s="285"/>
      <c r="L260" s="285"/>
    </row>
    <row r="261" spans="1:12" ht="14.25">
      <c r="A261" s="285"/>
      <c r="B261" s="285"/>
      <c r="C261" s="285"/>
      <c r="D261" s="285"/>
      <c r="E261" s="285"/>
      <c r="F261" s="285"/>
      <c r="G261" s="285"/>
      <c r="H261" s="285"/>
      <c r="I261" s="285"/>
      <c r="J261" s="285"/>
      <c r="K261" s="285"/>
      <c r="L261" s="285"/>
    </row>
    <row r="262" spans="1:12" ht="14.25">
      <c r="A262" s="285"/>
      <c r="B262" s="285"/>
      <c r="C262" s="285"/>
      <c r="D262" s="285"/>
      <c r="E262" s="285"/>
      <c r="F262" s="285"/>
      <c r="G262" s="285"/>
      <c r="H262" s="285"/>
      <c r="I262" s="285"/>
      <c r="J262" s="285"/>
      <c r="K262" s="285"/>
      <c r="L262" s="285"/>
    </row>
    <row r="263" spans="1:12" ht="14.25">
      <c r="A263" s="285"/>
      <c r="B263" s="285"/>
      <c r="C263" s="285"/>
      <c r="D263" s="285"/>
      <c r="E263" s="285"/>
      <c r="F263" s="285"/>
      <c r="G263" s="285"/>
      <c r="H263" s="285"/>
      <c r="I263" s="285"/>
      <c r="J263" s="285"/>
      <c r="K263" s="285"/>
      <c r="L263" s="285"/>
    </row>
    <row r="264" spans="1:12" ht="14.25">
      <c r="A264" s="285"/>
      <c r="B264" s="285"/>
      <c r="C264" s="285"/>
      <c r="D264" s="285"/>
      <c r="E264" s="285"/>
      <c r="F264" s="285"/>
      <c r="G264" s="285"/>
      <c r="H264" s="285"/>
      <c r="I264" s="285"/>
      <c r="J264" s="285"/>
      <c r="K264" s="285"/>
      <c r="L264" s="285"/>
    </row>
    <row r="265" spans="1:12" ht="14.25">
      <c r="A265" s="285"/>
      <c r="B265" s="285"/>
      <c r="C265" s="285"/>
      <c r="D265" s="285"/>
      <c r="E265" s="285"/>
      <c r="F265" s="285"/>
      <c r="G265" s="285"/>
      <c r="H265" s="285"/>
      <c r="I265" s="285"/>
      <c r="J265" s="285"/>
      <c r="K265" s="285"/>
      <c r="L265" s="285"/>
    </row>
    <row r="266" spans="1:12" ht="14.25">
      <c r="A266" s="285"/>
      <c r="B266" s="285"/>
      <c r="C266" s="285"/>
      <c r="D266" s="285"/>
      <c r="E266" s="285"/>
      <c r="F266" s="285"/>
      <c r="G266" s="285"/>
      <c r="H266" s="285"/>
      <c r="I266" s="285"/>
      <c r="J266" s="285"/>
      <c r="K266" s="285"/>
      <c r="L266" s="285"/>
    </row>
    <row r="267" spans="1:12" ht="14.25">
      <c r="A267" s="285"/>
      <c r="B267" s="285"/>
      <c r="C267" s="285"/>
      <c r="D267" s="285"/>
      <c r="E267" s="285"/>
      <c r="F267" s="285"/>
      <c r="G267" s="285"/>
      <c r="H267" s="285"/>
      <c r="I267" s="285"/>
      <c r="J267" s="285"/>
      <c r="K267" s="285"/>
      <c r="L267" s="285"/>
    </row>
    <row r="268" spans="1:12" ht="14.25">
      <c r="A268" s="285"/>
      <c r="B268" s="285"/>
      <c r="C268" s="285"/>
      <c r="D268" s="285"/>
      <c r="E268" s="285"/>
      <c r="F268" s="285"/>
      <c r="G268" s="285"/>
      <c r="H268" s="285"/>
      <c r="I268" s="285"/>
      <c r="J268" s="285"/>
      <c r="K268" s="285"/>
      <c r="L268" s="285"/>
    </row>
    <row r="269" spans="1:12" ht="14.25">
      <c r="A269" s="285"/>
      <c r="B269" s="285"/>
      <c r="C269" s="285"/>
      <c r="D269" s="285"/>
      <c r="E269" s="285"/>
      <c r="F269" s="285"/>
      <c r="G269" s="285"/>
      <c r="H269" s="285"/>
      <c r="I269" s="285"/>
      <c r="J269" s="285"/>
      <c r="K269" s="285"/>
      <c r="L269" s="285"/>
    </row>
    <row r="270" spans="1:12" ht="14.25">
      <c r="A270" s="285"/>
      <c r="B270" s="285"/>
      <c r="C270" s="285"/>
      <c r="D270" s="285"/>
      <c r="E270" s="285"/>
      <c r="F270" s="285"/>
      <c r="G270" s="285"/>
      <c r="H270" s="285"/>
      <c r="I270" s="285"/>
      <c r="J270" s="285"/>
      <c r="K270" s="285"/>
      <c r="L270" s="285"/>
    </row>
    <row r="271" spans="1:12" ht="14.25">
      <c r="A271" s="285"/>
      <c r="B271" s="285"/>
      <c r="C271" s="285"/>
      <c r="D271" s="285"/>
      <c r="E271" s="285"/>
      <c r="F271" s="285"/>
      <c r="G271" s="285"/>
      <c r="H271" s="285"/>
      <c r="I271" s="285"/>
      <c r="J271" s="285"/>
      <c r="K271" s="285"/>
      <c r="L271" s="285"/>
    </row>
    <row r="272" spans="1:12" ht="14.25">
      <c r="A272" s="285"/>
      <c r="B272" s="285"/>
      <c r="C272" s="285"/>
      <c r="D272" s="285"/>
      <c r="E272" s="285"/>
      <c r="F272" s="285"/>
      <c r="G272" s="285"/>
      <c r="H272" s="285"/>
      <c r="I272" s="285"/>
      <c r="J272" s="285"/>
      <c r="K272" s="285"/>
      <c r="L272" s="285"/>
    </row>
    <row r="273" spans="1:12" ht="14.25">
      <c r="A273" s="285"/>
      <c r="B273" s="285"/>
      <c r="C273" s="285"/>
      <c r="D273" s="285"/>
      <c r="E273" s="285"/>
      <c r="F273" s="285"/>
      <c r="G273" s="285"/>
      <c r="H273" s="285"/>
      <c r="I273" s="285"/>
      <c r="J273" s="285"/>
      <c r="K273" s="285"/>
      <c r="L273" s="285"/>
    </row>
    <row r="274" spans="1:12" ht="14.25">
      <c r="A274" s="285"/>
      <c r="B274" s="285"/>
      <c r="C274" s="285"/>
      <c r="D274" s="285"/>
      <c r="E274" s="285"/>
      <c r="F274" s="285"/>
      <c r="G274" s="285"/>
      <c r="H274" s="285"/>
      <c r="I274" s="285"/>
      <c r="J274" s="285"/>
      <c r="K274" s="285"/>
      <c r="L274" s="285"/>
    </row>
    <row r="275" spans="1:12" ht="14.25">
      <c r="A275" s="285"/>
      <c r="B275" s="285"/>
      <c r="C275" s="285"/>
      <c r="D275" s="285"/>
      <c r="E275" s="285"/>
      <c r="F275" s="285"/>
      <c r="G275" s="285"/>
      <c r="H275" s="285"/>
      <c r="I275" s="285"/>
      <c r="J275" s="285"/>
      <c r="K275" s="285"/>
      <c r="L275" s="285"/>
    </row>
    <row r="276" spans="1:12" ht="14.25">
      <c r="A276" s="285"/>
      <c r="B276" s="285"/>
      <c r="C276" s="285"/>
      <c r="D276" s="285"/>
      <c r="E276" s="285"/>
      <c r="F276" s="285"/>
      <c r="G276" s="285"/>
      <c r="H276" s="285"/>
      <c r="I276" s="285"/>
      <c r="J276" s="285"/>
      <c r="K276" s="285"/>
      <c r="L276" s="285"/>
    </row>
    <row r="277" spans="1:12" ht="14.25">
      <c r="A277" s="285"/>
      <c r="B277" s="285"/>
      <c r="C277" s="285"/>
      <c r="D277" s="285"/>
      <c r="E277" s="285"/>
      <c r="F277" s="285"/>
      <c r="G277" s="285"/>
      <c r="H277" s="285"/>
      <c r="I277" s="285"/>
      <c r="J277" s="285"/>
      <c r="K277" s="285"/>
      <c r="L277" s="285"/>
    </row>
    <row r="278" spans="1:12" ht="14.25">
      <c r="A278" s="285"/>
      <c r="B278" s="285"/>
      <c r="C278" s="285"/>
      <c r="D278" s="285"/>
      <c r="E278" s="285"/>
      <c r="F278" s="285"/>
      <c r="G278" s="285"/>
      <c r="H278" s="285"/>
      <c r="I278" s="285"/>
      <c r="J278" s="285"/>
      <c r="K278" s="285"/>
      <c r="L278" s="285"/>
    </row>
    <row r="279" spans="1:12" ht="14.25">
      <c r="A279" s="285"/>
      <c r="B279" s="285"/>
      <c r="C279" s="285"/>
      <c r="D279" s="285"/>
      <c r="E279" s="285"/>
      <c r="F279" s="285"/>
      <c r="G279" s="285"/>
      <c r="H279" s="285"/>
      <c r="I279" s="285"/>
      <c r="J279" s="285"/>
      <c r="K279" s="285"/>
      <c r="L279" s="285"/>
    </row>
    <row r="280" spans="1:12" ht="14.25">
      <c r="A280" s="285"/>
      <c r="B280" s="285"/>
      <c r="C280" s="285"/>
      <c r="D280" s="285"/>
      <c r="E280" s="285"/>
      <c r="F280" s="285"/>
      <c r="G280" s="285"/>
      <c r="H280" s="285"/>
      <c r="I280" s="285"/>
      <c r="J280" s="285"/>
      <c r="K280" s="285"/>
      <c r="L280" s="285"/>
    </row>
    <row r="281" spans="1:12" ht="14.25">
      <c r="A281" s="285"/>
      <c r="B281" s="285"/>
      <c r="C281" s="285"/>
      <c r="D281" s="285"/>
      <c r="E281" s="285"/>
      <c r="F281" s="285"/>
      <c r="G281" s="285"/>
      <c r="H281" s="285"/>
      <c r="I281" s="285"/>
      <c r="J281" s="285"/>
      <c r="K281" s="285"/>
      <c r="L281" s="285"/>
    </row>
    <row r="282" spans="1:12" ht="14.25">
      <c r="A282" s="285"/>
      <c r="B282" s="285"/>
      <c r="C282" s="285"/>
      <c r="D282" s="285"/>
      <c r="E282" s="285"/>
      <c r="F282" s="285"/>
      <c r="G282" s="285"/>
      <c r="H282" s="285"/>
      <c r="I282" s="285"/>
      <c r="J282" s="285"/>
      <c r="K282" s="285"/>
      <c r="L282" s="285"/>
    </row>
    <row r="283" spans="1:12" ht="14.25">
      <c r="A283" s="285"/>
      <c r="B283" s="285"/>
      <c r="C283" s="285"/>
      <c r="D283" s="285"/>
      <c r="E283" s="285"/>
      <c r="F283" s="285"/>
      <c r="G283" s="285"/>
      <c r="H283" s="285"/>
      <c r="I283" s="285"/>
      <c r="J283" s="285"/>
      <c r="K283" s="285"/>
      <c r="L283" s="285"/>
    </row>
    <row r="284" spans="1:12" ht="14.25">
      <c r="A284" s="285"/>
      <c r="B284" s="285"/>
      <c r="C284" s="285"/>
      <c r="D284" s="285"/>
      <c r="E284" s="285"/>
      <c r="F284" s="285"/>
      <c r="G284" s="285"/>
      <c r="H284" s="285"/>
      <c r="I284" s="285"/>
      <c r="J284" s="285"/>
      <c r="K284" s="285"/>
      <c r="L284" s="285"/>
    </row>
    <row r="285" spans="1:12" ht="14.25">
      <c r="A285" s="285"/>
      <c r="B285" s="285"/>
      <c r="C285" s="285"/>
      <c r="D285" s="285"/>
      <c r="E285" s="285"/>
      <c r="F285" s="285"/>
      <c r="G285" s="285"/>
      <c r="H285" s="285"/>
      <c r="I285" s="285"/>
      <c r="J285" s="285"/>
      <c r="K285" s="285"/>
      <c r="L285" s="285"/>
    </row>
    <row r="286" spans="1:12" ht="14.25">
      <c r="A286" s="285"/>
      <c r="B286" s="285"/>
      <c r="C286" s="285"/>
      <c r="D286" s="285"/>
      <c r="E286" s="285"/>
      <c r="F286" s="285"/>
      <c r="G286" s="285"/>
      <c r="H286" s="285"/>
      <c r="I286" s="285"/>
      <c r="J286" s="285"/>
      <c r="K286" s="285"/>
      <c r="L286" s="285"/>
    </row>
    <row r="287" spans="1:12" ht="14.25">
      <c r="A287" s="285"/>
      <c r="B287" s="285"/>
      <c r="C287" s="285"/>
      <c r="D287" s="285"/>
      <c r="E287" s="285"/>
      <c r="F287" s="285"/>
      <c r="G287" s="285"/>
      <c r="H287" s="285"/>
      <c r="I287" s="285"/>
      <c r="J287" s="285"/>
      <c r="K287" s="285"/>
      <c r="L287" s="285"/>
    </row>
    <row r="288" spans="1:12" ht="14.25">
      <c r="A288" s="285"/>
      <c r="B288" s="285"/>
      <c r="C288" s="285"/>
      <c r="D288" s="285"/>
      <c r="E288" s="285"/>
      <c r="F288" s="285"/>
      <c r="G288" s="285"/>
      <c r="H288" s="285"/>
      <c r="I288" s="285"/>
      <c r="J288" s="285"/>
      <c r="K288" s="285"/>
      <c r="L288" s="285"/>
    </row>
    <row r="289" spans="1:12" ht="14.25">
      <c r="A289" s="285"/>
      <c r="B289" s="285"/>
      <c r="C289" s="285"/>
      <c r="D289" s="285"/>
      <c r="E289" s="285"/>
      <c r="F289" s="285"/>
      <c r="G289" s="285"/>
      <c r="H289" s="285"/>
      <c r="I289" s="285"/>
      <c r="J289" s="285"/>
      <c r="K289" s="285"/>
      <c r="L289" s="285"/>
    </row>
    <row r="290" spans="1:12" ht="14.25">
      <c r="A290" s="285"/>
      <c r="B290" s="285"/>
      <c r="C290" s="285"/>
      <c r="D290" s="285"/>
      <c r="E290" s="285"/>
      <c r="F290" s="285"/>
      <c r="G290" s="285"/>
      <c r="H290" s="285"/>
      <c r="I290" s="285"/>
      <c r="J290" s="285"/>
      <c r="K290" s="285"/>
      <c r="L290" s="285"/>
    </row>
    <row r="291" spans="1:12" ht="14.25">
      <c r="A291" s="285"/>
      <c r="B291" s="285"/>
      <c r="C291" s="285"/>
      <c r="D291" s="285"/>
      <c r="E291" s="285"/>
      <c r="F291" s="285"/>
      <c r="G291" s="285"/>
      <c r="H291" s="285"/>
      <c r="I291" s="285"/>
      <c r="J291" s="285"/>
      <c r="K291" s="285"/>
      <c r="L291" s="285"/>
    </row>
    <row r="292" spans="1:12" ht="14.25">
      <c r="A292" s="285"/>
      <c r="B292" s="285"/>
      <c r="C292" s="285"/>
      <c r="D292" s="285"/>
      <c r="E292" s="285"/>
      <c r="F292" s="285"/>
      <c r="G292" s="285"/>
      <c r="H292" s="285"/>
      <c r="I292" s="285"/>
      <c r="J292" s="285"/>
      <c r="K292" s="285"/>
      <c r="L292" s="285"/>
    </row>
    <row r="293" spans="1:12" ht="14.25">
      <c r="A293" s="285"/>
      <c r="B293" s="285"/>
      <c r="C293" s="285"/>
      <c r="D293" s="285"/>
      <c r="E293" s="285"/>
      <c r="F293" s="285"/>
      <c r="G293" s="285"/>
      <c r="H293" s="285"/>
      <c r="I293" s="285"/>
      <c r="J293" s="285"/>
      <c r="K293" s="285"/>
      <c r="L293" s="285"/>
    </row>
    <row r="294" spans="1:12" ht="14.25">
      <c r="A294" s="285"/>
      <c r="B294" s="285"/>
      <c r="C294" s="285"/>
      <c r="D294" s="285"/>
      <c r="E294" s="285"/>
      <c r="F294" s="285"/>
      <c r="G294" s="285"/>
      <c r="H294" s="285"/>
      <c r="I294" s="285"/>
      <c r="J294" s="285"/>
      <c r="K294" s="285"/>
      <c r="L294" s="285"/>
    </row>
    <row r="295" spans="1:12" ht="14.25">
      <c r="A295" s="285"/>
      <c r="B295" s="285"/>
      <c r="C295" s="285"/>
      <c r="D295" s="285"/>
      <c r="E295" s="285"/>
      <c r="F295" s="285"/>
      <c r="G295" s="285"/>
      <c r="H295" s="285"/>
      <c r="I295" s="285"/>
      <c r="J295" s="285"/>
      <c r="K295" s="285"/>
      <c r="L295" s="285"/>
    </row>
    <row r="296" spans="1:12" ht="14.25">
      <c r="A296" s="285"/>
      <c r="B296" s="285"/>
      <c r="C296" s="285"/>
      <c r="D296" s="285"/>
      <c r="E296" s="285"/>
      <c r="F296" s="285"/>
      <c r="G296" s="285"/>
      <c r="H296" s="285"/>
      <c r="I296" s="285"/>
      <c r="J296" s="285"/>
      <c r="K296" s="285"/>
      <c r="L296" s="285"/>
    </row>
    <row r="297" spans="1:12" ht="14.25">
      <c r="A297" s="285"/>
      <c r="B297" s="285"/>
      <c r="C297" s="285"/>
      <c r="D297" s="285"/>
      <c r="E297" s="285"/>
      <c r="F297" s="285"/>
      <c r="G297" s="285"/>
      <c r="H297" s="285"/>
      <c r="I297" s="285"/>
      <c r="J297" s="285"/>
      <c r="K297" s="285"/>
      <c r="L297" s="285"/>
    </row>
    <row r="298" spans="1:12" ht="14.25">
      <c r="A298" s="285"/>
      <c r="B298" s="285"/>
      <c r="C298" s="285"/>
      <c r="D298" s="285"/>
      <c r="E298" s="285"/>
      <c r="F298" s="285"/>
      <c r="G298" s="285"/>
      <c r="H298" s="285"/>
      <c r="I298" s="285"/>
      <c r="J298" s="285"/>
      <c r="K298" s="285"/>
      <c r="L298" s="285"/>
    </row>
    <row r="299" spans="1:12" ht="14.25">
      <c r="A299" s="285"/>
      <c r="B299" s="285"/>
      <c r="C299" s="285"/>
      <c r="D299" s="285"/>
      <c r="E299" s="285"/>
      <c r="F299" s="285"/>
      <c r="G299" s="285"/>
      <c r="H299" s="285"/>
      <c r="I299" s="285"/>
      <c r="J299" s="285"/>
      <c r="K299" s="285"/>
      <c r="L299" s="285"/>
    </row>
    <row r="300" spans="1:12" ht="14.25">
      <c r="A300" s="285"/>
      <c r="B300" s="285"/>
      <c r="C300" s="285"/>
      <c r="D300" s="285"/>
      <c r="E300" s="285"/>
      <c r="F300" s="285"/>
      <c r="G300" s="285"/>
      <c r="H300" s="285"/>
      <c r="I300" s="285"/>
      <c r="J300" s="285"/>
      <c r="K300" s="285"/>
      <c r="L300" s="285"/>
    </row>
    <row r="301" spans="1:12" ht="14.25">
      <c r="A301" s="285"/>
      <c r="B301" s="285"/>
      <c r="C301" s="285"/>
      <c r="D301" s="285"/>
      <c r="E301" s="285"/>
      <c r="F301" s="285"/>
      <c r="G301" s="285"/>
      <c r="H301" s="285"/>
      <c r="I301" s="285"/>
      <c r="J301" s="285"/>
      <c r="K301" s="285"/>
      <c r="L301" s="285"/>
    </row>
    <row r="302" spans="1:12" ht="14.25">
      <c r="A302" s="285"/>
      <c r="B302" s="285"/>
      <c r="C302" s="285"/>
      <c r="D302" s="285"/>
      <c r="E302" s="285"/>
      <c r="F302" s="285"/>
      <c r="G302" s="285"/>
      <c r="H302" s="285"/>
      <c r="I302" s="285"/>
      <c r="J302" s="285"/>
      <c r="K302" s="285"/>
      <c r="L302" s="285"/>
    </row>
    <row r="303" spans="1:12" ht="14.25">
      <c r="A303" s="285"/>
      <c r="B303" s="285"/>
      <c r="C303" s="285"/>
      <c r="D303" s="285"/>
      <c r="E303" s="285"/>
      <c r="F303" s="285"/>
      <c r="G303" s="285"/>
      <c r="H303" s="285"/>
      <c r="I303" s="285"/>
      <c r="J303" s="285"/>
      <c r="K303" s="285"/>
      <c r="L303" s="285"/>
    </row>
    <row r="304" spans="1:12" ht="14.25">
      <c r="A304" s="285"/>
      <c r="B304" s="285"/>
      <c r="C304" s="285"/>
      <c r="D304" s="285"/>
      <c r="E304" s="285"/>
      <c r="F304" s="285"/>
      <c r="G304" s="285"/>
      <c r="H304" s="285"/>
      <c r="I304" s="285"/>
      <c r="J304" s="285"/>
      <c r="K304" s="285"/>
      <c r="L304" s="285"/>
    </row>
    <row r="305" spans="1:12" ht="14.25">
      <c r="A305" s="285"/>
      <c r="B305" s="285"/>
      <c r="C305" s="285"/>
      <c r="D305" s="285"/>
      <c r="E305" s="285"/>
      <c r="F305" s="285"/>
      <c r="G305" s="285"/>
      <c r="H305" s="285"/>
      <c r="I305" s="285"/>
      <c r="J305" s="285"/>
      <c r="K305" s="285"/>
      <c r="L305" s="285"/>
    </row>
    <row r="306" spans="1:12" ht="14.25">
      <c r="A306" s="285"/>
      <c r="B306" s="285"/>
      <c r="C306" s="285"/>
      <c r="D306" s="285"/>
      <c r="E306" s="285"/>
      <c r="F306" s="285"/>
      <c r="G306" s="285"/>
      <c r="H306" s="285"/>
      <c r="I306" s="285"/>
      <c r="J306" s="285"/>
      <c r="K306" s="285"/>
      <c r="L306" s="285"/>
    </row>
    <row r="307" spans="1:12" ht="14.25">
      <c r="A307" s="285"/>
      <c r="B307" s="285"/>
      <c r="C307" s="285"/>
      <c r="D307" s="285"/>
      <c r="E307" s="285"/>
      <c r="F307" s="285"/>
      <c r="G307" s="285"/>
      <c r="H307" s="285"/>
      <c r="I307" s="285"/>
      <c r="J307" s="285"/>
      <c r="K307" s="285"/>
      <c r="L307" s="285"/>
    </row>
    <row r="308" spans="1:12" ht="14.25">
      <c r="A308" s="285"/>
      <c r="B308" s="285"/>
      <c r="C308" s="285"/>
      <c r="D308" s="285"/>
      <c r="E308" s="285"/>
      <c r="F308" s="285"/>
      <c r="G308" s="285"/>
      <c r="H308" s="285"/>
      <c r="I308" s="285"/>
      <c r="J308" s="285"/>
      <c r="K308" s="285"/>
      <c r="L308" s="285"/>
    </row>
    <row r="309" spans="1:12" ht="14.25">
      <c r="A309" s="285"/>
      <c r="B309" s="285"/>
      <c r="C309" s="285"/>
      <c r="D309" s="285"/>
      <c r="E309" s="285"/>
      <c r="F309" s="285"/>
      <c r="G309" s="285"/>
      <c r="H309" s="285"/>
      <c r="I309" s="285"/>
      <c r="J309" s="285"/>
      <c r="K309" s="285"/>
      <c r="L309" s="285"/>
    </row>
    <row r="310" spans="1:12" ht="14.25">
      <c r="A310" s="285"/>
      <c r="B310" s="285"/>
      <c r="C310" s="285"/>
      <c r="D310" s="285"/>
      <c r="E310" s="285"/>
      <c r="F310" s="285"/>
      <c r="G310" s="285"/>
      <c r="H310" s="285"/>
      <c r="I310" s="285"/>
      <c r="J310" s="285"/>
      <c r="K310" s="285"/>
      <c r="L310" s="285"/>
    </row>
    <row r="311" spans="1:12" ht="14.25">
      <c r="A311" s="285"/>
      <c r="B311" s="285"/>
      <c r="C311" s="285"/>
      <c r="D311" s="285"/>
      <c r="E311" s="285"/>
      <c r="F311" s="285"/>
      <c r="G311" s="285"/>
      <c r="H311" s="285"/>
      <c r="I311" s="285"/>
      <c r="J311" s="285"/>
      <c r="K311" s="285"/>
      <c r="L311" s="285"/>
    </row>
    <row r="312" spans="1:12" ht="14.25">
      <c r="A312" s="285"/>
      <c r="B312" s="285"/>
      <c r="C312" s="285"/>
      <c r="D312" s="285"/>
      <c r="E312" s="285"/>
      <c r="F312" s="285"/>
      <c r="G312" s="285"/>
      <c r="H312" s="285"/>
      <c r="I312" s="285"/>
      <c r="J312" s="285"/>
      <c r="K312" s="285"/>
      <c r="L312" s="285"/>
    </row>
    <row r="313" spans="1:12" ht="14.25">
      <c r="A313" s="285"/>
      <c r="B313" s="285"/>
      <c r="C313" s="285"/>
      <c r="D313" s="285"/>
      <c r="E313" s="285"/>
      <c r="F313" s="285"/>
      <c r="G313" s="285"/>
      <c r="H313" s="285"/>
      <c r="I313" s="285"/>
      <c r="J313" s="285"/>
      <c r="K313" s="285"/>
      <c r="L313" s="285"/>
    </row>
    <row r="314" spans="1:12" ht="14.25">
      <c r="A314" s="285"/>
      <c r="B314" s="285"/>
      <c r="C314" s="285"/>
      <c r="D314" s="285"/>
      <c r="E314" s="285"/>
      <c r="F314" s="285"/>
      <c r="G314" s="285"/>
      <c r="H314" s="285"/>
      <c r="I314" s="285"/>
      <c r="J314" s="285"/>
      <c r="K314" s="285"/>
      <c r="L314" s="285"/>
    </row>
    <row r="315" spans="1:12" ht="14.25">
      <c r="A315" s="285"/>
      <c r="B315" s="285"/>
      <c r="C315" s="285"/>
      <c r="D315" s="285"/>
      <c r="E315" s="285"/>
      <c r="F315" s="285"/>
      <c r="G315" s="285"/>
      <c r="H315" s="285"/>
      <c r="I315" s="285"/>
      <c r="J315" s="285"/>
      <c r="K315" s="285"/>
      <c r="L315" s="285"/>
    </row>
    <row r="316" spans="1:12" ht="14.25">
      <c r="A316" s="285"/>
      <c r="B316" s="285"/>
      <c r="C316" s="285"/>
      <c r="D316" s="285"/>
      <c r="E316" s="285"/>
      <c r="F316" s="285"/>
      <c r="G316" s="285"/>
      <c r="H316" s="285"/>
      <c r="I316" s="285"/>
      <c r="J316" s="285"/>
      <c r="K316" s="285"/>
      <c r="L316" s="285"/>
    </row>
    <row r="317" spans="1:12" ht="14.25">
      <c r="A317" s="285"/>
      <c r="B317" s="285"/>
      <c r="C317" s="285"/>
      <c r="D317" s="285"/>
      <c r="E317" s="285"/>
      <c r="F317" s="285"/>
      <c r="G317" s="285"/>
      <c r="H317" s="285"/>
      <c r="I317" s="285"/>
      <c r="J317" s="285"/>
      <c r="K317" s="285"/>
      <c r="L317" s="285"/>
    </row>
    <row r="318" spans="1:12" ht="14.25">
      <c r="A318" s="285"/>
      <c r="B318" s="285"/>
      <c r="C318" s="285"/>
      <c r="D318" s="285"/>
      <c r="E318" s="285"/>
      <c r="F318" s="285"/>
      <c r="G318" s="285"/>
      <c r="H318" s="285"/>
      <c r="I318" s="285"/>
      <c r="J318" s="285"/>
      <c r="K318" s="285"/>
      <c r="L318" s="285"/>
    </row>
    <row r="319" spans="1:12" ht="14.25">
      <c r="A319" s="285"/>
      <c r="B319" s="285"/>
      <c r="C319" s="285"/>
      <c r="D319" s="285"/>
      <c r="E319" s="285"/>
      <c r="F319" s="285"/>
      <c r="G319" s="285"/>
      <c r="H319" s="285"/>
      <c r="I319" s="285"/>
      <c r="J319" s="285"/>
      <c r="K319" s="285"/>
      <c r="L319" s="285"/>
    </row>
    <row r="320" spans="1:12" ht="14.25">
      <c r="A320" s="285"/>
      <c r="B320" s="285"/>
      <c r="C320" s="285"/>
      <c r="D320" s="285"/>
      <c r="E320" s="285"/>
      <c r="F320" s="285"/>
      <c r="G320" s="285"/>
      <c r="H320" s="285"/>
      <c r="I320" s="285"/>
      <c r="J320" s="285"/>
      <c r="K320" s="285"/>
      <c r="L320" s="285"/>
    </row>
    <row r="321" spans="1:12" ht="14.25">
      <c r="A321" s="285"/>
      <c r="B321" s="285"/>
      <c r="C321" s="285"/>
      <c r="D321" s="285"/>
      <c r="E321" s="285"/>
      <c r="F321" s="285"/>
      <c r="G321" s="285"/>
      <c r="H321" s="285"/>
      <c r="I321" s="285"/>
      <c r="J321" s="285"/>
      <c r="K321" s="285"/>
      <c r="L321" s="285"/>
    </row>
    <row r="322" spans="1:12" ht="14.25">
      <c r="A322" s="285"/>
      <c r="B322" s="285"/>
      <c r="C322" s="285"/>
      <c r="D322" s="285"/>
      <c r="E322" s="285"/>
      <c r="F322" s="285"/>
      <c r="G322" s="285"/>
      <c r="H322" s="285"/>
      <c r="I322" s="285"/>
      <c r="J322" s="285"/>
      <c r="K322" s="285"/>
      <c r="L322" s="285"/>
    </row>
    <row r="323" spans="1:12" ht="14.25">
      <c r="A323" s="285"/>
      <c r="B323" s="285"/>
      <c r="C323" s="285"/>
      <c r="D323" s="285"/>
      <c r="E323" s="285"/>
      <c r="F323" s="285"/>
      <c r="G323" s="285"/>
      <c r="H323" s="285"/>
      <c r="I323" s="285"/>
      <c r="J323" s="285"/>
      <c r="K323" s="285"/>
      <c r="L323" s="285"/>
    </row>
    <row r="324" spans="1:12" ht="14.25">
      <c r="A324" s="285"/>
      <c r="B324" s="285"/>
      <c r="C324" s="285"/>
      <c r="D324" s="285"/>
      <c r="E324" s="285"/>
      <c r="F324" s="285"/>
      <c r="G324" s="285"/>
      <c r="H324" s="285"/>
      <c r="I324" s="285"/>
      <c r="J324" s="285"/>
      <c r="K324" s="285"/>
      <c r="L324" s="285"/>
    </row>
    <row r="325" spans="1:12" ht="14.25">
      <c r="A325" s="285"/>
      <c r="B325" s="285"/>
      <c r="C325" s="285"/>
      <c r="D325" s="285"/>
      <c r="E325" s="285"/>
      <c r="F325" s="285"/>
      <c r="G325" s="285"/>
      <c r="H325" s="285"/>
      <c r="I325" s="285"/>
      <c r="J325" s="285"/>
      <c r="K325" s="285"/>
      <c r="L325" s="285"/>
    </row>
    <row r="326" spans="1:12" ht="14.25">
      <c r="A326" s="285"/>
      <c r="B326" s="285"/>
      <c r="C326" s="285"/>
      <c r="D326" s="285"/>
      <c r="E326" s="285"/>
      <c r="F326" s="285"/>
      <c r="G326" s="285"/>
      <c r="H326" s="285"/>
      <c r="I326" s="285"/>
      <c r="J326" s="285"/>
      <c r="K326" s="285"/>
      <c r="L326" s="285"/>
    </row>
    <row r="327" spans="1:12" ht="14.25">
      <c r="A327" s="285"/>
      <c r="B327" s="285"/>
      <c r="C327" s="285"/>
      <c r="D327" s="285"/>
      <c r="E327" s="285"/>
      <c r="F327" s="285"/>
      <c r="G327" s="285"/>
      <c r="H327" s="285"/>
      <c r="I327" s="285"/>
      <c r="J327" s="285"/>
      <c r="K327" s="285"/>
      <c r="L327" s="285"/>
    </row>
    <row r="328" spans="1:12" ht="14.25">
      <c r="A328" s="285"/>
      <c r="B328" s="285"/>
      <c r="C328" s="285"/>
      <c r="D328" s="285"/>
      <c r="E328" s="285"/>
      <c r="F328" s="285"/>
      <c r="G328" s="285"/>
      <c r="H328" s="285"/>
      <c r="I328" s="285"/>
      <c r="J328" s="285"/>
      <c r="K328" s="285"/>
      <c r="L328" s="285"/>
    </row>
    <row r="329" spans="1:12" ht="14.25">
      <c r="A329" s="285"/>
      <c r="B329" s="285"/>
      <c r="C329" s="285"/>
      <c r="D329" s="285"/>
      <c r="E329" s="285"/>
      <c r="F329" s="285"/>
      <c r="G329" s="285"/>
      <c r="H329" s="285"/>
      <c r="I329" s="285"/>
      <c r="J329" s="285"/>
      <c r="K329" s="285"/>
      <c r="L329" s="285"/>
    </row>
    <row r="330" spans="1:12" ht="14.25">
      <c r="A330" s="285"/>
      <c r="B330" s="285"/>
      <c r="C330" s="285"/>
      <c r="D330" s="285"/>
      <c r="E330" s="285"/>
      <c r="F330" s="285"/>
      <c r="G330" s="285"/>
      <c r="H330" s="285"/>
      <c r="I330" s="285"/>
      <c r="J330" s="285"/>
      <c r="K330" s="285"/>
      <c r="L330" s="285"/>
    </row>
    <row r="331" spans="1:12" ht="14.25">
      <c r="A331" s="285"/>
      <c r="B331" s="285"/>
      <c r="C331" s="285"/>
      <c r="D331" s="285"/>
      <c r="E331" s="285"/>
      <c r="F331" s="285"/>
      <c r="G331" s="285"/>
      <c r="H331" s="285"/>
      <c r="I331" s="285"/>
      <c r="J331" s="285"/>
      <c r="K331" s="285"/>
      <c r="L331" s="285"/>
    </row>
    <row r="332" spans="1:12" ht="14.25">
      <c r="A332" s="285"/>
      <c r="B332" s="285"/>
      <c r="C332" s="285"/>
      <c r="D332" s="285"/>
      <c r="E332" s="285"/>
      <c r="F332" s="285"/>
      <c r="G332" s="285"/>
      <c r="H332" s="285"/>
      <c r="I332" s="285"/>
      <c r="J332" s="285"/>
      <c r="K332" s="285"/>
      <c r="L332" s="285"/>
    </row>
    <row r="333" spans="1:12" ht="14.25">
      <c r="A333" s="285"/>
      <c r="B333" s="285"/>
      <c r="C333" s="285"/>
      <c r="D333" s="285"/>
      <c r="E333" s="285"/>
      <c r="F333" s="285"/>
      <c r="G333" s="285"/>
      <c r="H333" s="285"/>
      <c r="I333" s="285"/>
      <c r="J333" s="285"/>
      <c r="K333" s="285"/>
      <c r="L333" s="285"/>
    </row>
    <row r="334" spans="1:12" ht="14.25">
      <c r="A334" s="285"/>
      <c r="B334" s="285"/>
      <c r="C334" s="285"/>
      <c r="D334" s="285"/>
      <c r="E334" s="285"/>
      <c r="F334" s="285"/>
      <c r="G334" s="285"/>
      <c r="H334" s="285"/>
      <c r="I334" s="285"/>
      <c r="J334" s="285"/>
      <c r="K334" s="285"/>
      <c r="L334" s="285"/>
    </row>
    <row r="335" spans="1:12" ht="14.25">
      <c r="A335" s="285"/>
      <c r="B335" s="285"/>
      <c r="C335" s="285"/>
      <c r="D335" s="285"/>
      <c r="E335" s="285"/>
      <c r="F335" s="285"/>
      <c r="G335" s="285"/>
      <c r="H335" s="285"/>
      <c r="I335" s="285"/>
      <c r="J335" s="285"/>
      <c r="K335" s="285"/>
      <c r="L335" s="285"/>
    </row>
    <row r="336" spans="1:12" ht="14.25">
      <c r="A336" s="285"/>
      <c r="B336" s="285"/>
      <c r="C336" s="285"/>
      <c r="D336" s="285"/>
      <c r="E336" s="285"/>
      <c r="F336" s="285"/>
      <c r="G336" s="285"/>
      <c r="H336" s="285"/>
      <c r="I336" s="285"/>
      <c r="J336" s="285"/>
      <c r="K336" s="285"/>
      <c r="L336" s="285"/>
    </row>
    <row r="337" spans="1:12" ht="14.25">
      <c r="A337" s="285"/>
      <c r="B337" s="285"/>
      <c r="C337" s="285"/>
      <c r="D337" s="285"/>
      <c r="E337" s="285"/>
      <c r="F337" s="285"/>
      <c r="G337" s="285"/>
      <c r="H337" s="285"/>
      <c r="I337" s="285"/>
      <c r="J337" s="285"/>
      <c r="K337" s="285"/>
      <c r="L337" s="285"/>
    </row>
    <row r="338" spans="1:12" ht="14.25">
      <c r="A338" s="285"/>
      <c r="B338" s="285"/>
      <c r="C338" s="285"/>
      <c r="D338" s="285"/>
      <c r="E338" s="285"/>
      <c r="F338" s="285"/>
      <c r="G338" s="285"/>
      <c r="H338" s="285"/>
      <c r="I338" s="285"/>
      <c r="J338" s="285"/>
      <c r="K338" s="285"/>
      <c r="L338" s="285"/>
    </row>
    <row r="339" spans="1:12" ht="14.25">
      <c r="A339" s="285"/>
      <c r="B339" s="285"/>
      <c r="C339" s="285"/>
      <c r="D339" s="285"/>
      <c r="E339" s="285"/>
      <c r="F339" s="285"/>
      <c r="G339" s="285"/>
      <c r="H339" s="285"/>
      <c r="I339" s="285"/>
      <c r="J339" s="285"/>
      <c r="K339" s="285"/>
      <c r="L339" s="285"/>
    </row>
    <row r="340" spans="1:12" ht="14.25">
      <c r="A340" s="285"/>
      <c r="B340" s="285"/>
      <c r="C340" s="285"/>
      <c r="D340" s="285"/>
      <c r="E340" s="285"/>
      <c r="F340" s="285"/>
      <c r="G340" s="285"/>
      <c r="H340" s="285"/>
      <c r="I340" s="285"/>
      <c r="J340" s="285"/>
      <c r="K340" s="285"/>
      <c r="L340" s="285"/>
    </row>
    <row r="341" spans="1:12" ht="14.25">
      <c r="A341" s="285"/>
      <c r="B341" s="285"/>
      <c r="C341" s="285"/>
      <c r="D341" s="285"/>
      <c r="E341" s="285"/>
      <c r="F341" s="285"/>
      <c r="G341" s="285"/>
      <c r="H341" s="285"/>
      <c r="I341" s="285"/>
      <c r="J341" s="285"/>
      <c r="K341" s="285"/>
      <c r="L341" s="285"/>
    </row>
    <row r="342" spans="1:12" ht="14.25">
      <c r="A342" s="285"/>
      <c r="B342" s="285"/>
      <c r="C342" s="285"/>
      <c r="D342" s="285"/>
      <c r="E342" s="285"/>
      <c r="F342" s="285"/>
      <c r="G342" s="285"/>
      <c r="H342" s="285"/>
      <c r="I342" s="285"/>
      <c r="J342" s="285"/>
      <c r="K342" s="285"/>
      <c r="L342" s="285"/>
    </row>
    <row r="343" spans="1:12" ht="14.25">
      <c r="A343" s="285"/>
      <c r="B343" s="285"/>
      <c r="C343" s="285"/>
      <c r="D343" s="285"/>
      <c r="E343" s="285"/>
      <c r="F343" s="285"/>
      <c r="G343" s="285"/>
      <c r="H343" s="285"/>
      <c r="I343" s="285"/>
      <c r="J343" s="285"/>
      <c r="K343" s="285"/>
      <c r="L343" s="285"/>
    </row>
    <row r="344" spans="1:12" ht="14.25">
      <c r="A344" s="285"/>
      <c r="B344" s="285"/>
      <c r="C344" s="285"/>
      <c r="D344" s="285"/>
      <c r="E344" s="285"/>
      <c r="F344" s="285"/>
      <c r="G344" s="285"/>
      <c r="H344" s="285"/>
      <c r="I344" s="285"/>
      <c r="J344" s="285"/>
      <c r="K344" s="285"/>
      <c r="L344" s="285"/>
    </row>
    <row r="345" spans="1:12" ht="14.25">
      <c r="A345" s="285"/>
      <c r="B345" s="285"/>
      <c r="C345" s="285"/>
      <c r="D345" s="285"/>
      <c r="E345" s="285"/>
      <c r="F345" s="285"/>
      <c r="G345" s="285"/>
      <c r="H345" s="285"/>
      <c r="I345" s="285"/>
      <c r="J345" s="285"/>
      <c r="K345" s="285"/>
      <c r="L345" s="285"/>
    </row>
    <row r="346" spans="1:12" ht="14.25">
      <c r="A346" s="285"/>
      <c r="B346" s="285"/>
      <c r="C346" s="285"/>
      <c r="D346" s="285"/>
      <c r="E346" s="285"/>
      <c r="F346" s="285"/>
      <c r="G346" s="285"/>
      <c r="H346" s="285"/>
      <c r="I346" s="285"/>
      <c r="J346" s="285"/>
      <c r="K346" s="285"/>
      <c r="L346" s="285"/>
    </row>
    <row r="347" spans="1:12" ht="14.25">
      <c r="A347" s="285"/>
      <c r="B347" s="285"/>
      <c r="C347" s="285"/>
      <c r="D347" s="285"/>
      <c r="E347" s="285"/>
      <c r="F347" s="285"/>
      <c r="G347" s="285"/>
      <c r="H347" s="285"/>
      <c r="I347" s="285"/>
      <c r="J347" s="285"/>
      <c r="K347" s="285"/>
      <c r="L347" s="285"/>
    </row>
    <row r="348" spans="1:12" ht="14.25">
      <c r="A348" s="285"/>
      <c r="B348" s="285"/>
      <c r="C348" s="285"/>
      <c r="D348" s="285"/>
      <c r="E348" s="285"/>
      <c r="F348" s="285"/>
      <c r="G348" s="285"/>
      <c r="H348" s="285"/>
      <c r="I348" s="285"/>
      <c r="J348" s="285"/>
      <c r="K348" s="285"/>
      <c r="L348" s="285"/>
    </row>
    <row r="349" spans="1:12" ht="14.25">
      <c r="A349" s="285"/>
      <c r="B349" s="285"/>
      <c r="C349" s="285"/>
      <c r="D349" s="285"/>
      <c r="E349" s="285"/>
      <c r="F349" s="285"/>
      <c r="G349" s="285"/>
      <c r="H349" s="285"/>
      <c r="I349" s="285"/>
      <c r="J349" s="285"/>
      <c r="K349" s="285"/>
      <c r="L349" s="285"/>
    </row>
    <row r="350" spans="1:12" ht="14.25">
      <c r="A350" s="285"/>
      <c r="B350" s="285"/>
      <c r="C350" s="285"/>
      <c r="D350" s="285"/>
      <c r="E350" s="285"/>
      <c r="F350" s="285"/>
      <c r="G350" s="285"/>
      <c r="H350" s="285"/>
      <c r="I350" s="285"/>
      <c r="J350" s="285"/>
      <c r="K350" s="285"/>
      <c r="L350" s="285"/>
    </row>
    <row r="351" spans="1:12" ht="14.25">
      <c r="A351" s="285"/>
      <c r="B351" s="285"/>
      <c r="C351" s="285"/>
      <c r="D351" s="285"/>
      <c r="E351" s="285"/>
      <c r="F351" s="285"/>
      <c r="G351" s="285"/>
      <c r="H351" s="285"/>
      <c r="I351" s="285"/>
      <c r="J351" s="285"/>
      <c r="K351" s="285"/>
      <c r="L351" s="285"/>
    </row>
    <row r="352" spans="1:12" ht="14.25">
      <c r="A352" s="285"/>
      <c r="B352" s="285"/>
      <c r="C352" s="285"/>
      <c r="D352" s="285"/>
      <c r="E352" s="285"/>
      <c r="F352" s="285"/>
      <c r="G352" s="285"/>
      <c r="H352" s="285"/>
      <c r="I352" s="285"/>
      <c r="J352" s="285"/>
      <c r="K352" s="285"/>
      <c r="L352" s="285"/>
    </row>
    <row r="353" spans="1:12" ht="14.25">
      <c r="A353" s="285"/>
      <c r="B353" s="285"/>
      <c r="C353" s="285"/>
      <c r="D353" s="285"/>
      <c r="E353" s="285"/>
      <c r="F353" s="285"/>
      <c r="G353" s="285"/>
      <c r="H353" s="285"/>
      <c r="I353" s="285"/>
      <c r="J353" s="285"/>
      <c r="K353" s="285"/>
      <c r="L353" s="285"/>
    </row>
    <row r="354" spans="1:12" ht="14.25">
      <c r="A354" s="285"/>
      <c r="B354" s="285"/>
      <c r="C354" s="285"/>
      <c r="D354" s="285"/>
      <c r="E354" s="285"/>
      <c r="F354" s="285"/>
      <c r="G354" s="285"/>
      <c r="H354" s="285"/>
      <c r="I354" s="285"/>
      <c r="J354" s="285"/>
      <c r="K354" s="285"/>
      <c r="L354" s="285"/>
    </row>
  </sheetData>
  <sheetProtection sheet="1" objects="1" scenarios="1"/>
  <mergeCells count="5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90:K90"/>
    <mergeCell ref="C94:D94"/>
    <mergeCell ref="C97:D97"/>
    <mergeCell ref="C100:D100"/>
    <mergeCell ref="B105:K105"/>
    <mergeCell ref="B106:K106"/>
    <mergeCell ref="C117:D117"/>
    <mergeCell ref="B125:K125"/>
    <mergeCell ref="B52:K52"/>
    <mergeCell ref="B53:K53"/>
    <mergeCell ref="B58:K58"/>
    <mergeCell ref="C74:D74"/>
    <mergeCell ref="C77:D77"/>
    <mergeCell ref="C80:D80"/>
    <mergeCell ref="B55:K55"/>
    <mergeCell ref="B57:K57"/>
    <mergeCell ref="B86:K86"/>
    <mergeCell ref="B88:K88"/>
    <mergeCell ref="B30:K30"/>
    <mergeCell ref="B31:K31"/>
    <mergeCell ref="B33:K33"/>
    <mergeCell ref="B35:K35"/>
    <mergeCell ref="C41:D41"/>
    <mergeCell ref="B48:C48"/>
    <mergeCell ref="G50:H50"/>
    <mergeCell ref="I51:K51"/>
    <mergeCell ref="B6:K6"/>
    <mergeCell ref="B7:K7"/>
    <mergeCell ref="B8:K8"/>
    <mergeCell ref="B10:K10"/>
    <mergeCell ref="B12:K12"/>
    <mergeCell ref="C25:D25"/>
    <mergeCell ref="F23:G23"/>
    <mergeCell ref="C83:D83"/>
    <mergeCell ref="B85:K85"/>
    <mergeCell ref="C134:D134"/>
    <mergeCell ref="B110:K110"/>
    <mergeCell ref="C120:D120"/>
    <mergeCell ref="C123:D123"/>
    <mergeCell ref="B130:K130"/>
    <mergeCell ref="C133:D133"/>
    <mergeCell ref="H133:I133"/>
    <mergeCell ref="C114:D114"/>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203" t="s">
        <v>735</v>
      </c>
    </row>
    <row r="3" ht="31.5">
      <c r="A3" s="204" t="s">
        <v>736</v>
      </c>
    </row>
    <row r="4" ht="15.75">
      <c r="A4" s="205" t="s">
        <v>737</v>
      </c>
    </row>
    <row r="7" ht="31.5">
      <c r="A7" s="204" t="s">
        <v>738</v>
      </c>
    </row>
    <row r="8" ht="15.75">
      <c r="A8" s="205" t="s">
        <v>739</v>
      </c>
    </row>
    <row r="11" ht="15.75">
      <c r="A11" s="202" t="s">
        <v>740</v>
      </c>
    </row>
    <row r="12" ht="15.75">
      <c r="A12" s="205" t="s">
        <v>741</v>
      </c>
    </row>
    <row r="15" ht="15.75">
      <c r="A15" s="202" t="s">
        <v>742</v>
      </c>
    </row>
    <row r="16" ht="15.75">
      <c r="A16" s="205" t="s">
        <v>743</v>
      </c>
    </row>
    <row r="19" ht="15.75">
      <c r="A19" s="202" t="s">
        <v>744</v>
      </c>
    </row>
    <row r="20" ht="15.75">
      <c r="A20" s="205" t="s">
        <v>745</v>
      </c>
    </row>
    <row r="23" ht="15.75">
      <c r="A23" s="202" t="s">
        <v>746</v>
      </c>
    </row>
    <row r="24" ht="15.75">
      <c r="A24" s="205" t="s">
        <v>747</v>
      </c>
    </row>
    <row r="27" ht="15.75">
      <c r="A27" s="202" t="s">
        <v>748</v>
      </c>
    </row>
    <row r="28" ht="15.75">
      <c r="A28" s="205" t="s">
        <v>749</v>
      </c>
    </row>
    <row r="31" ht="15.75">
      <c r="A31" s="202" t="s">
        <v>750</v>
      </c>
    </row>
    <row r="32" ht="15.75">
      <c r="A32" s="205" t="s">
        <v>751</v>
      </c>
    </row>
    <row r="35" ht="15.75">
      <c r="A35" s="202" t="s">
        <v>752</v>
      </c>
    </row>
    <row r="36" ht="15.75">
      <c r="A36" s="205" t="s">
        <v>753</v>
      </c>
    </row>
    <row r="39" ht="15.75">
      <c r="A39" s="202" t="s">
        <v>754</v>
      </c>
    </row>
    <row r="40" ht="15.75">
      <c r="A40" s="205" t="s">
        <v>755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8.xml><?xml version="1.0" encoding="utf-8"?>
<worksheet xmlns="http://schemas.openxmlformats.org/spreadsheetml/2006/main" xmlns:r="http://schemas.openxmlformats.org/officeDocument/2006/relationships">
  <dimension ref="A1:A134"/>
  <sheetViews>
    <sheetView zoomScalePageLayoutView="0" workbookViewId="0" topLeftCell="A1">
      <selection activeCell="C10" sqref="C10"/>
    </sheetView>
  </sheetViews>
  <sheetFormatPr defaultColWidth="8.796875" defaultRowHeight="15"/>
  <cols>
    <col min="1" max="1" width="80.09765625" style="27" customWidth="1"/>
    <col min="2" max="16384" width="8.8984375" style="27" customWidth="1"/>
  </cols>
  <sheetData>
    <row r="1" ht="15.75">
      <c r="A1" s="168" t="s">
        <v>853</v>
      </c>
    </row>
    <row r="2" ht="15.75">
      <c r="A2" s="201" t="s">
        <v>854</v>
      </c>
    </row>
    <row r="4" ht="15.75">
      <c r="A4" s="168" t="s">
        <v>712</v>
      </c>
    </row>
    <row r="5" ht="15.75">
      <c r="A5" s="201" t="s">
        <v>713</v>
      </c>
    </row>
    <row r="6" ht="15.75">
      <c r="A6" s="201" t="s">
        <v>714</v>
      </c>
    </row>
    <row r="7" ht="15.75">
      <c r="A7" s="200" t="s">
        <v>715</v>
      </c>
    </row>
    <row r="8" ht="15.75">
      <c r="A8" s="201" t="s">
        <v>716</v>
      </c>
    </row>
    <row r="9" ht="15.75">
      <c r="A9" s="201" t="s">
        <v>717</v>
      </c>
    </row>
    <row r="10" ht="15.75">
      <c r="A10" s="201" t="s">
        <v>718</v>
      </c>
    </row>
    <row r="11" ht="15.75">
      <c r="A11" s="201" t="s">
        <v>719</v>
      </c>
    </row>
    <row r="12" ht="15.75">
      <c r="A12" s="201" t="s">
        <v>720</v>
      </c>
    </row>
    <row r="13" ht="15.75">
      <c r="A13" s="201" t="s">
        <v>721</v>
      </c>
    </row>
    <row r="14" ht="15.75">
      <c r="A14" s="201" t="s">
        <v>722</v>
      </c>
    </row>
    <row r="15" ht="15.75">
      <c r="A15" s="201" t="s">
        <v>723</v>
      </c>
    </row>
    <row r="16" ht="15.75">
      <c r="A16" s="201" t="s">
        <v>724</v>
      </c>
    </row>
    <row r="17" ht="15.75">
      <c r="A17" s="201" t="s">
        <v>725</v>
      </c>
    </row>
    <row r="18" ht="15.75">
      <c r="A18" s="201" t="s">
        <v>726</v>
      </c>
    </row>
    <row r="19" ht="15.75">
      <c r="A19" s="201" t="s">
        <v>727</v>
      </c>
    </row>
    <row r="20" ht="15.75">
      <c r="A20" s="201" t="s">
        <v>728</v>
      </c>
    </row>
    <row r="21" ht="15.75">
      <c r="A21" s="201" t="s">
        <v>729</v>
      </c>
    </row>
    <row r="22" ht="15.75">
      <c r="A22" s="201" t="s">
        <v>730</v>
      </c>
    </row>
    <row r="23" ht="15.75">
      <c r="A23" s="201" t="s">
        <v>731</v>
      </c>
    </row>
    <row r="24" ht="15.75">
      <c r="A24" s="201" t="s">
        <v>732</v>
      </c>
    </row>
    <row r="25" ht="15.75">
      <c r="A25" s="200" t="s">
        <v>733</v>
      </c>
    </row>
    <row r="26" ht="15.75">
      <c r="A26" s="27" t="s">
        <v>734</v>
      </c>
    </row>
    <row r="32" ht="15.75">
      <c r="A32" s="168" t="s">
        <v>694</v>
      </c>
    </row>
    <row r="33" ht="15.75">
      <c r="A33" s="27" t="s">
        <v>695</v>
      </c>
    </row>
    <row r="35" ht="15.75">
      <c r="A35" s="168" t="s">
        <v>688</v>
      </c>
    </row>
    <row r="36" ht="15.75">
      <c r="A36" s="27" t="s">
        <v>689</v>
      </c>
    </row>
    <row r="37" ht="15.75">
      <c r="A37" s="27" t="s">
        <v>690</v>
      </c>
    </row>
    <row r="38" ht="15.75">
      <c r="A38" s="27" t="s">
        <v>691</v>
      </c>
    </row>
    <row r="40" ht="15.75">
      <c r="A40" s="181" t="s">
        <v>678</v>
      </c>
    </row>
    <row r="41" ht="15.75">
      <c r="A41" s="27" t="s">
        <v>687</v>
      </c>
    </row>
    <row r="43" ht="15.75">
      <c r="A43" s="168" t="s">
        <v>442</v>
      </c>
    </row>
    <row r="44" ht="15.75">
      <c r="A44" s="169" t="s">
        <v>443</v>
      </c>
    </row>
    <row r="45" ht="15.75">
      <c r="A45" s="169" t="s">
        <v>444</v>
      </c>
    </row>
    <row r="46" ht="15.75">
      <c r="A46" s="169" t="s">
        <v>445</v>
      </c>
    </row>
    <row r="47" ht="15.75">
      <c r="A47" s="27" t="s">
        <v>446</v>
      </c>
    </row>
    <row r="49" ht="15.75">
      <c r="A49" s="149" t="s">
        <v>376</v>
      </c>
    </row>
    <row r="50" ht="15.75">
      <c r="A50" s="27" t="s">
        <v>377</v>
      </c>
    </row>
    <row r="51" ht="15.75">
      <c r="A51" s="27" t="s">
        <v>378</v>
      </c>
    </row>
    <row r="52" ht="15.75">
      <c r="A52" s="27" t="s">
        <v>379</v>
      </c>
    </row>
    <row r="53" ht="15.75">
      <c r="A53" s="27" t="s">
        <v>411</v>
      </c>
    </row>
    <row r="54" ht="15.75">
      <c r="A54" s="27" t="s">
        <v>410</v>
      </c>
    </row>
    <row r="55" ht="15.75">
      <c r="A55" s="27" t="s">
        <v>412</v>
      </c>
    </row>
    <row r="56" ht="15.75">
      <c r="A56" s="27" t="s">
        <v>414</v>
      </c>
    </row>
    <row r="57" ht="22.5" customHeight="1">
      <c r="A57" s="30" t="s">
        <v>413</v>
      </c>
    </row>
    <row r="58" ht="22.5" customHeight="1">
      <c r="A58" s="30" t="s">
        <v>428</v>
      </c>
    </row>
    <row r="59" ht="22.5" customHeight="1">
      <c r="A59" s="157" t="s">
        <v>432</v>
      </c>
    </row>
    <row r="61" ht="15.75">
      <c r="A61" s="149" t="s">
        <v>371</v>
      </c>
    </row>
    <row r="62" ht="15.75">
      <c r="A62" s="27" t="s">
        <v>372</v>
      </c>
    </row>
    <row r="63" ht="15.75">
      <c r="A63" s="27" t="s">
        <v>373</v>
      </c>
    </row>
    <row r="65" ht="15.75">
      <c r="A65" s="149" t="s">
        <v>113</v>
      </c>
    </row>
    <row r="66" ht="15.75">
      <c r="A66" s="27" t="s">
        <v>93</v>
      </c>
    </row>
    <row r="67" ht="15.75">
      <c r="A67" s="27" t="s">
        <v>94</v>
      </c>
    </row>
    <row r="68" ht="15.75">
      <c r="A68" s="27" t="s">
        <v>95</v>
      </c>
    </row>
    <row r="69" ht="15.75">
      <c r="A69" s="27" t="s">
        <v>96</v>
      </c>
    </row>
    <row r="70" ht="15.75">
      <c r="A70" s="27" t="s">
        <v>97</v>
      </c>
    </row>
    <row r="71" ht="15.75">
      <c r="A71" s="27" t="s">
        <v>98</v>
      </c>
    </row>
    <row r="72" ht="31.5">
      <c r="A72" s="30" t="s">
        <v>99</v>
      </c>
    </row>
    <row r="73" ht="31.5">
      <c r="A73" s="30" t="s">
        <v>100</v>
      </c>
    </row>
    <row r="74" ht="15.75">
      <c r="A74" s="30" t="s">
        <v>101</v>
      </c>
    </row>
    <row r="75" ht="15.75">
      <c r="A75" s="30" t="s">
        <v>102</v>
      </c>
    </row>
    <row r="76" ht="31.5">
      <c r="A76" s="30" t="s">
        <v>103</v>
      </c>
    </row>
    <row r="77" ht="15.75">
      <c r="A77" s="27" t="s">
        <v>104</v>
      </c>
    </row>
    <row r="78" ht="31.5">
      <c r="A78" s="30" t="s">
        <v>105</v>
      </c>
    </row>
    <row r="79" ht="15.75">
      <c r="A79" s="27" t="s">
        <v>106</v>
      </c>
    </row>
    <row r="80" ht="15.75">
      <c r="A80" s="27" t="s">
        <v>107</v>
      </c>
    </row>
    <row r="81" ht="15.75">
      <c r="A81" s="27" t="s">
        <v>108</v>
      </c>
    </row>
    <row r="82" ht="15.75">
      <c r="A82" s="27" t="s">
        <v>109</v>
      </c>
    </row>
    <row r="83" ht="31.5">
      <c r="A83" s="30" t="s">
        <v>110</v>
      </c>
    </row>
    <row r="84" ht="15.75">
      <c r="A84" s="27" t="s">
        <v>111</v>
      </c>
    </row>
    <row r="87" ht="15.75">
      <c r="A87" s="149" t="s">
        <v>87</v>
      </c>
    </row>
    <row r="88" ht="15.75">
      <c r="A88" s="27" t="s">
        <v>90</v>
      </c>
    </row>
    <row r="89" ht="15.75">
      <c r="A89" s="27" t="s">
        <v>88</v>
      </c>
    </row>
    <row r="90" ht="15.75">
      <c r="A90" s="27" t="s">
        <v>89</v>
      </c>
    </row>
    <row r="91" ht="15.75">
      <c r="A91" s="27" t="s">
        <v>380</v>
      </c>
    </row>
    <row r="93" ht="15.75">
      <c r="A93" s="149" t="s">
        <v>83</v>
      </c>
    </row>
    <row r="94" ht="31.5">
      <c r="A94" s="30" t="s">
        <v>84</v>
      </c>
    </row>
    <row r="95" ht="15.75">
      <c r="A95" s="27" t="s">
        <v>85</v>
      </c>
    </row>
    <row r="96" ht="15.75">
      <c r="A96" s="27" t="s">
        <v>86</v>
      </c>
    </row>
    <row r="99" ht="15.75">
      <c r="A99" s="149" t="s">
        <v>24</v>
      </c>
    </row>
    <row r="100" ht="47.25">
      <c r="A100" s="30" t="s">
        <v>381</v>
      </c>
    </row>
    <row r="101" ht="15.75">
      <c r="A101" s="27" t="s">
        <v>25</v>
      </c>
    </row>
    <row r="102" ht="15.75">
      <c r="A102" s="27" t="s">
        <v>31</v>
      </c>
    </row>
    <row r="103" ht="15.75">
      <c r="A103" s="27" t="s">
        <v>382</v>
      </c>
    </row>
    <row r="104" ht="15.75">
      <c r="A104" s="27" t="s">
        <v>26</v>
      </c>
    </row>
    <row r="105" ht="15.75">
      <c r="A105" s="27" t="s">
        <v>27</v>
      </c>
    </row>
    <row r="106" ht="15.75">
      <c r="A106" s="27" t="s">
        <v>32</v>
      </c>
    </row>
    <row r="107" ht="15.75">
      <c r="A107" s="30" t="s">
        <v>48</v>
      </c>
    </row>
    <row r="108" ht="31.5">
      <c r="A108" s="30" t="s">
        <v>118</v>
      </c>
    </row>
    <row r="109" ht="15.75">
      <c r="A109" s="27" t="s">
        <v>33</v>
      </c>
    </row>
    <row r="110" ht="15.75">
      <c r="A110" s="27" t="s">
        <v>34</v>
      </c>
    </row>
    <row r="111" ht="15.75">
      <c r="A111" s="27" t="s">
        <v>383</v>
      </c>
    </row>
    <row r="112" ht="15.75">
      <c r="A112" s="27" t="s">
        <v>47</v>
      </c>
    </row>
    <row r="113" ht="15.75">
      <c r="A113" s="27" t="s">
        <v>384</v>
      </c>
    </row>
    <row r="114" ht="31.5">
      <c r="A114" s="30" t="s">
        <v>385</v>
      </c>
    </row>
    <row r="115" ht="15.75">
      <c r="A115" s="27" t="s">
        <v>35</v>
      </c>
    </row>
    <row r="116" ht="15.75">
      <c r="A116" s="27" t="s">
        <v>36</v>
      </c>
    </row>
    <row r="117" ht="31.5">
      <c r="A117" s="30" t="s">
        <v>37</v>
      </c>
    </row>
    <row r="118" ht="15.75">
      <c r="A118" s="27" t="s">
        <v>386</v>
      </c>
    </row>
    <row r="119" ht="15.75">
      <c r="A119" s="27" t="s">
        <v>39</v>
      </c>
    </row>
    <row r="120" ht="15.75">
      <c r="A120" s="27" t="s">
        <v>38</v>
      </c>
    </row>
    <row r="121" ht="15.75">
      <c r="A121" s="27" t="s">
        <v>44</v>
      </c>
    </row>
    <row r="122" ht="15.75">
      <c r="A122" s="27" t="s">
        <v>50</v>
      </c>
    </row>
    <row r="123" ht="15.75">
      <c r="A123" s="27" t="s">
        <v>51</v>
      </c>
    </row>
    <row r="124" ht="15.75">
      <c r="A124" s="27" t="s">
        <v>54</v>
      </c>
    </row>
    <row r="125" ht="15.75">
      <c r="A125" s="27" t="s">
        <v>387</v>
      </c>
    </row>
    <row r="126" ht="15.75">
      <c r="A126" s="27" t="s">
        <v>115</v>
      </c>
    </row>
    <row r="127" ht="15.75">
      <c r="A127" s="27" t="s">
        <v>388</v>
      </c>
    </row>
    <row r="128" ht="15.75">
      <c r="A128" s="27" t="s">
        <v>56</v>
      </c>
    </row>
    <row r="129" ht="15.75">
      <c r="A129" s="27" t="s">
        <v>61</v>
      </c>
    </row>
    <row r="130" ht="15.75">
      <c r="A130" s="27" t="s">
        <v>62</v>
      </c>
    </row>
    <row r="131" ht="15.75">
      <c r="A131" s="27" t="s">
        <v>116</v>
      </c>
    </row>
    <row r="132" ht="15.75">
      <c r="A132" s="27" t="s">
        <v>117</v>
      </c>
    </row>
    <row r="133" ht="15.75">
      <c r="A133" s="27" t="s">
        <v>82</v>
      </c>
    </row>
    <row r="134" ht="15.75">
      <c r="A134" s="27" t="s">
        <v>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5" sqref="E15:F15"/>
    </sheetView>
  </sheetViews>
  <sheetFormatPr defaultColWidth="8.796875" defaultRowHeight="15"/>
  <cols>
    <col min="1" max="2" width="17.796875" style="460" customWidth="1"/>
    <col min="3" max="6" width="12.796875" style="460" customWidth="1"/>
    <col min="7" max="16384" width="8.8984375" style="460" customWidth="1"/>
  </cols>
  <sheetData>
    <row r="1" spans="1:6" ht="14.25">
      <c r="A1" s="512"/>
      <c r="B1" s="453"/>
      <c r="C1" s="453"/>
      <c r="D1" s="453"/>
      <c r="E1" s="515"/>
      <c r="F1" s="453"/>
    </row>
    <row r="2" spans="1:6" ht="14.25">
      <c r="A2" s="717" t="str">
        <f>inputPrYr!C2</f>
        <v>Wyandotte County</v>
      </c>
      <c r="B2" s="717"/>
      <c r="C2" s="453"/>
      <c r="D2" s="453"/>
      <c r="E2" s="515"/>
      <c r="F2" s="453">
        <f>inputPrYr!C4</f>
        <v>2012</v>
      </c>
    </row>
    <row r="3" spans="1:6" ht="14.25">
      <c r="A3" s="512"/>
      <c r="B3" s="717"/>
      <c r="C3" s="453"/>
      <c r="D3" s="453"/>
      <c r="E3" s="515"/>
      <c r="F3" s="453"/>
    </row>
    <row r="4" spans="1:6" ht="14.25">
      <c r="A4" s="512"/>
      <c r="B4" s="453"/>
      <c r="C4" s="453"/>
      <c r="D4" s="453"/>
      <c r="E4" s="515"/>
      <c r="F4" s="453"/>
    </row>
    <row r="5" spans="1:6" ht="15" customHeight="1">
      <c r="A5" s="800" t="s">
        <v>308</v>
      </c>
      <c r="B5" s="800"/>
      <c r="C5" s="800"/>
      <c r="D5" s="800"/>
      <c r="E5" s="800"/>
      <c r="F5" s="800"/>
    </row>
    <row r="6" spans="1:6" ht="14.25" customHeight="1">
      <c r="A6" s="590"/>
      <c r="B6" s="718"/>
      <c r="C6" s="718"/>
      <c r="D6" s="718"/>
      <c r="E6" s="718"/>
      <c r="F6" s="718"/>
    </row>
    <row r="7" spans="1:6" ht="15" customHeight="1">
      <c r="A7" s="719" t="s">
        <v>683</v>
      </c>
      <c r="B7" s="719" t="s">
        <v>684</v>
      </c>
      <c r="C7" s="720" t="s">
        <v>218</v>
      </c>
      <c r="D7" s="720" t="s">
        <v>329</v>
      </c>
      <c r="E7" s="720" t="s">
        <v>330</v>
      </c>
      <c r="F7" s="720" t="s">
        <v>364</v>
      </c>
    </row>
    <row r="8" spans="1:6" ht="15" customHeight="1">
      <c r="A8" s="721" t="s">
        <v>685</v>
      </c>
      <c r="B8" s="721" t="s">
        <v>686</v>
      </c>
      <c r="C8" s="722" t="s">
        <v>363</v>
      </c>
      <c r="D8" s="722" t="s">
        <v>363</v>
      </c>
      <c r="E8" s="722" t="s">
        <v>363</v>
      </c>
      <c r="F8" s="722" t="s">
        <v>365</v>
      </c>
    </row>
    <row r="9" spans="1:6" s="726" customFormat="1" ht="15" customHeight="1" thickBot="1">
      <c r="A9" s="723" t="s">
        <v>361</v>
      </c>
      <c r="B9" s="724" t="s">
        <v>362</v>
      </c>
      <c r="C9" s="725">
        <f>F2-2</f>
        <v>2010</v>
      </c>
      <c r="D9" s="725">
        <f>F2-1</f>
        <v>2011</v>
      </c>
      <c r="E9" s="725">
        <f>F2</f>
        <v>2012</v>
      </c>
      <c r="F9" s="724" t="s">
        <v>122</v>
      </c>
    </row>
    <row r="10" spans="1:6" ht="15" customHeight="1" thickTop="1">
      <c r="A10" s="621" t="s">
        <v>1026</v>
      </c>
      <c r="B10" s="621" t="s">
        <v>1025</v>
      </c>
      <c r="C10" s="622">
        <v>250000</v>
      </c>
      <c r="D10" s="622">
        <v>250000</v>
      </c>
      <c r="E10" s="622">
        <v>0</v>
      </c>
      <c r="F10" s="623" t="s">
        <v>865</v>
      </c>
    </row>
    <row r="11" spans="1:6" ht="15" customHeight="1">
      <c r="A11" s="624" t="s">
        <v>207</v>
      </c>
      <c r="B11" s="621" t="s">
        <v>1025</v>
      </c>
      <c r="C11" s="625">
        <v>0</v>
      </c>
      <c r="D11" s="625">
        <v>25000</v>
      </c>
      <c r="E11" s="625">
        <v>0</v>
      </c>
      <c r="F11" s="626" t="s">
        <v>1027</v>
      </c>
    </row>
    <row r="12" spans="1:6" ht="15" customHeight="1">
      <c r="A12" s="624" t="s">
        <v>1028</v>
      </c>
      <c r="B12" s="621" t="s">
        <v>1025</v>
      </c>
      <c r="C12" s="625">
        <v>200000</v>
      </c>
      <c r="D12" s="625">
        <v>12262</v>
      </c>
      <c r="E12" s="625">
        <v>0</v>
      </c>
      <c r="F12" s="627" t="s">
        <v>867</v>
      </c>
    </row>
    <row r="13" spans="1:6" ht="15" customHeight="1">
      <c r="A13" s="624" t="s">
        <v>1029</v>
      </c>
      <c r="B13" s="621" t="s">
        <v>1025</v>
      </c>
      <c r="C13" s="625">
        <v>216874</v>
      </c>
      <c r="D13" s="625">
        <v>0</v>
      </c>
      <c r="E13" s="625">
        <v>0</v>
      </c>
      <c r="F13" s="627" t="s">
        <v>1030</v>
      </c>
    </row>
    <row r="14" spans="1:6" ht="15" customHeight="1">
      <c r="A14" s="624" t="s">
        <v>1031</v>
      </c>
      <c r="B14" s="621" t="s">
        <v>1025</v>
      </c>
      <c r="C14" s="625">
        <v>0</v>
      </c>
      <c r="D14" s="625">
        <v>0</v>
      </c>
      <c r="E14" s="625">
        <v>200000</v>
      </c>
      <c r="F14" s="627" t="s">
        <v>1057</v>
      </c>
    </row>
    <row r="15" spans="1:6" ht="15" customHeight="1">
      <c r="A15" s="624"/>
      <c r="B15" s="621"/>
      <c r="C15" s="625"/>
      <c r="D15" s="625"/>
      <c r="E15" s="625"/>
      <c r="F15" s="627"/>
    </row>
    <row r="16" spans="1:6" ht="15" customHeight="1">
      <c r="A16" s="624"/>
      <c r="B16" s="621"/>
      <c r="C16" s="625"/>
      <c r="D16" s="625"/>
      <c r="E16" s="625"/>
      <c r="F16" s="627"/>
    </row>
    <row r="17" spans="1:6" ht="15" customHeight="1">
      <c r="A17" s="475"/>
      <c r="B17" s="475"/>
      <c r="C17" s="475"/>
      <c r="D17" s="475"/>
      <c r="E17" s="475"/>
      <c r="F17" s="475"/>
    </row>
    <row r="18" spans="1:6" ht="15" customHeight="1">
      <c r="A18" s="475"/>
      <c r="B18" s="475"/>
      <c r="C18" s="475"/>
      <c r="D18" s="475"/>
      <c r="E18" s="475"/>
      <c r="F18" s="475"/>
    </row>
    <row r="19" spans="1:6" ht="15" customHeight="1">
      <c r="A19" s="475"/>
      <c r="B19" s="475"/>
      <c r="C19" s="475"/>
      <c r="D19" s="475"/>
      <c r="E19" s="475"/>
      <c r="F19" s="475"/>
    </row>
    <row r="20" spans="1:6" ht="15" customHeight="1">
      <c r="A20" s="475"/>
      <c r="B20" s="475"/>
      <c r="C20" s="475"/>
      <c r="D20" s="475"/>
      <c r="E20" s="475"/>
      <c r="F20" s="475"/>
    </row>
    <row r="21" spans="1:6" ht="15" customHeight="1">
      <c r="A21" s="475"/>
      <c r="B21" s="475"/>
      <c r="C21" s="475"/>
      <c r="D21" s="475"/>
      <c r="E21" s="475"/>
      <c r="F21" s="475"/>
    </row>
    <row r="22" spans="1:6" ht="15" customHeight="1">
      <c r="A22" s="475"/>
      <c r="B22" s="475"/>
      <c r="C22" s="475"/>
      <c r="D22" s="475"/>
      <c r="E22" s="475"/>
      <c r="F22" s="475"/>
    </row>
    <row r="23" spans="1:6" ht="15" customHeight="1">
      <c r="A23" s="475"/>
      <c r="B23" s="475"/>
      <c r="C23" s="475"/>
      <c r="D23" s="475"/>
      <c r="E23" s="475"/>
      <c r="F23" s="475"/>
    </row>
    <row r="24" spans="1:6" ht="15" customHeight="1">
      <c r="A24" s="475"/>
      <c r="B24" s="475"/>
      <c r="C24" s="475"/>
      <c r="D24" s="475"/>
      <c r="E24" s="475"/>
      <c r="F24" s="475"/>
    </row>
    <row r="25" spans="1:6" ht="15" customHeight="1">
      <c r="A25" s="475"/>
      <c r="B25" s="475"/>
      <c r="C25" s="475"/>
      <c r="D25" s="475"/>
      <c r="E25" s="475"/>
      <c r="F25" s="475"/>
    </row>
    <row r="26" spans="1:6" ht="15" customHeight="1">
      <c r="A26" s="475"/>
      <c r="B26" s="475"/>
      <c r="C26" s="475"/>
      <c r="D26" s="475"/>
      <c r="E26" s="475"/>
      <c r="F26" s="475"/>
    </row>
    <row r="27" spans="1:6" ht="14.25">
      <c r="A27" s="497"/>
      <c r="B27" s="687" t="s">
        <v>124</v>
      </c>
      <c r="C27" s="561">
        <f>SUM(C10:C26)</f>
        <v>666874</v>
      </c>
      <c r="D27" s="561">
        <f>SUM(D10:D26)</f>
        <v>287262</v>
      </c>
      <c r="E27" s="561">
        <f>SUM(E10:E26)</f>
        <v>200000</v>
      </c>
      <c r="F27" s="497"/>
    </row>
    <row r="28" spans="1:6" ht="14.25">
      <c r="A28" s="497"/>
      <c r="B28" s="627" t="s">
        <v>1056</v>
      </c>
      <c r="C28" s="561">
        <v>216874</v>
      </c>
      <c r="D28" s="561">
        <v>0</v>
      </c>
      <c r="E28" s="561">
        <v>0</v>
      </c>
      <c r="F28" s="497"/>
    </row>
    <row r="29" spans="1:6" ht="14.25">
      <c r="A29" s="497"/>
      <c r="B29" s="687" t="s">
        <v>366</v>
      </c>
      <c r="C29" s="561">
        <f>SUM(C27-C28)</f>
        <v>450000</v>
      </c>
      <c r="D29" s="561">
        <f>SUM(D27-D28)</f>
        <v>287262</v>
      </c>
      <c r="E29" s="561">
        <f>SUM(E27-E28)</f>
        <v>200000</v>
      </c>
      <c r="F29" s="497"/>
    </row>
    <row r="30" spans="1:6" ht="14.25">
      <c r="A30" s="497"/>
      <c r="B30" s="497"/>
      <c r="C30" s="497"/>
      <c r="D30" s="497"/>
      <c r="E30" s="497"/>
      <c r="F30" s="497"/>
    </row>
    <row r="31" spans="1:6" ht="14.25">
      <c r="A31" s="497"/>
      <c r="B31" s="497"/>
      <c r="C31" s="497"/>
      <c r="D31" s="497"/>
      <c r="E31" s="497"/>
      <c r="F31" s="497"/>
    </row>
    <row r="32" spans="1:6" ht="14.25">
      <c r="A32" s="727" t="s">
        <v>682</v>
      </c>
      <c r="B32" s="716" t="str">
        <f>CONCATENATE("Adjustments are required only if the transfer is being made in ",D9," and/or ",E9," from a non-budgeted fund.")</f>
        <v>Adjustments are required only if the transfer is being made in 2011 and/or 2012 from a non-budgeted fund.</v>
      </c>
      <c r="C32" s="497"/>
      <c r="D32" s="497"/>
      <c r="E32" s="497"/>
      <c r="F32" s="497"/>
    </row>
  </sheetData>
  <sheetProtection/>
  <mergeCells count="1">
    <mergeCell ref="A5:F5"/>
  </mergeCells>
  <printOptions/>
  <pageMargins left="0.5" right="0.5" top="0.72" bottom="0.23" header="0.5" footer="0"/>
  <pageSetup blackAndWhite="1" fitToHeight="1" fitToWidth="1" horizontalDpi="120" verticalDpi="120" orientation="portrait" scale="78" r:id="rId1"/>
  <headerFooter alignWithMargins="0">
    <oddHeader>&amp;RState of Kansas
County
</oddHeader>
    <oddFooter>&amp;C&amp;"Arial,Regular"&amp;11WY -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2"/>
  <sheetViews>
    <sheetView zoomScale="75" zoomScaleNormal="75" zoomScalePageLayoutView="0" workbookViewId="0" topLeftCell="A1">
      <selection activeCell="A1" sqref="A1:IV16384"/>
    </sheetView>
  </sheetViews>
  <sheetFormatPr defaultColWidth="8.796875" defaultRowHeight="15"/>
  <cols>
    <col min="1" max="1" width="23" style="460" customWidth="1"/>
    <col min="2" max="2" width="9.3984375" style="460" customWidth="1"/>
    <col min="3" max="3" width="9.796875" style="460" customWidth="1"/>
    <col min="4" max="4" width="8.796875" style="460" customWidth="1"/>
    <col min="5" max="5" width="12.796875" style="460" customWidth="1"/>
    <col min="6" max="6" width="14" style="460" customWidth="1"/>
    <col min="7" max="12" width="9.796875" style="460" customWidth="1"/>
    <col min="13" max="16384" width="8.8984375" style="460" customWidth="1"/>
  </cols>
  <sheetData>
    <row r="1" spans="1:12" ht="14.25">
      <c r="A1" s="512" t="str">
        <f>inputPrYr!$C$2</f>
        <v>Wyandotte County</v>
      </c>
      <c r="B1" s="453"/>
      <c r="C1" s="453"/>
      <c r="D1" s="453"/>
      <c r="E1" s="453"/>
      <c r="F1" s="453"/>
      <c r="G1" s="453"/>
      <c r="H1" s="453"/>
      <c r="I1" s="453"/>
      <c r="J1" s="453"/>
      <c r="K1" s="453"/>
      <c r="L1" s="728">
        <f>inputPrYr!$C$4</f>
        <v>2012</v>
      </c>
    </row>
    <row r="2" spans="1:12" ht="14.25">
      <c r="A2" s="512"/>
      <c r="B2" s="453"/>
      <c r="C2" s="453"/>
      <c r="D2" s="453"/>
      <c r="E2" s="453"/>
      <c r="F2" s="453"/>
      <c r="G2" s="453"/>
      <c r="H2" s="453"/>
      <c r="I2" s="453"/>
      <c r="J2" s="453"/>
      <c r="K2" s="453"/>
      <c r="L2" s="515"/>
    </row>
    <row r="3" spans="1:12" ht="15">
      <c r="A3" s="658" t="s">
        <v>265</v>
      </c>
      <c r="B3" s="458"/>
      <c r="C3" s="458"/>
      <c r="D3" s="458"/>
      <c r="E3" s="458"/>
      <c r="F3" s="458"/>
      <c r="G3" s="458"/>
      <c r="H3" s="458"/>
      <c r="I3" s="458"/>
      <c r="J3" s="458"/>
      <c r="K3" s="458"/>
      <c r="L3" s="458"/>
    </row>
    <row r="4" spans="1:12" ht="14.25">
      <c r="A4" s="453"/>
      <c r="B4" s="660"/>
      <c r="C4" s="660"/>
      <c r="D4" s="660"/>
      <c r="E4" s="660"/>
      <c r="F4" s="660"/>
      <c r="G4" s="660"/>
      <c r="H4" s="660"/>
      <c r="I4" s="660"/>
      <c r="J4" s="660"/>
      <c r="K4" s="660"/>
      <c r="L4" s="660"/>
    </row>
    <row r="5" spans="1:12" ht="14.25">
      <c r="A5" s="453"/>
      <c r="B5" s="663" t="s">
        <v>232</v>
      </c>
      <c r="C5" s="663" t="s">
        <v>232</v>
      </c>
      <c r="D5" s="663" t="s">
        <v>247</v>
      </c>
      <c r="E5" s="663"/>
      <c r="F5" s="663" t="s">
        <v>367</v>
      </c>
      <c r="G5" s="453"/>
      <c r="H5" s="453"/>
      <c r="I5" s="729" t="s">
        <v>233</v>
      </c>
      <c r="J5" s="730"/>
      <c r="K5" s="729" t="s">
        <v>233</v>
      </c>
      <c r="L5" s="730"/>
    </row>
    <row r="6" spans="1:12" ht="14.25">
      <c r="A6" s="453"/>
      <c r="B6" s="664" t="s">
        <v>234</v>
      </c>
      <c r="C6" s="664" t="s">
        <v>368</v>
      </c>
      <c r="D6" s="664" t="s">
        <v>235</v>
      </c>
      <c r="E6" s="664" t="s">
        <v>144</v>
      </c>
      <c r="F6" s="664" t="s">
        <v>309</v>
      </c>
      <c r="G6" s="808" t="s">
        <v>236</v>
      </c>
      <c r="H6" s="809"/>
      <c r="I6" s="810">
        <f>L1-1</f>
        <v>2011</v>
      </c>
      <c r="J6" s="811"/>
      <c r="K6" s="810">
        <f>L1</f>
        <v>2012</v>
      </c>
      <c r="L6" s="811"/>
    </row>
    <row r="7" spans="1:12" ht="14.25">
      <c r="A7" s="732" t="s">
        <v>237</v>
      </c>
      <c r="B7" s="470" t="s">
        <v>238</v>
      </c>
      <c r="C7" s="470" t="s">
        <v>369</v>
      </c>
      <c r="D7" s="470" t="s">
        <v>166</v>
      </c>
      <c r="E7" s="470" t="s">
        <v>239</v>
      </c>
      <c r="F7" s="731" t="str">
        <f>CONCATENATE("Jan 1,",L1-1,"")</f>
        <v>Jan 1,2011</v>
      </c>
      <c r="G7" s="687" t="s">
        <v>247</v>
      </c>
      <c r="H7" s="687" t="s">
        <v>248</v>
      </c>
      <c r="I7" s="687" t="s">
        <v>247</v>
      </c>
      <c r="J7" s="687" t="s">
        <v>248</v>
      </c>
      <c r="K7" s="687" t="s">
        <v>247</v>
      </c>
      <c r="L7" s="687" t="s">
        <v>248</v>
      </c>
    </row>
    <row r="8" spans="1:12" ht="14.25">
      <c r="A8" s="732" t="s">
        <v>240</v>
      </c>
      <c r="B8" s="474"/>
      <c r="C8" s="474"/>
      <c r="D8" s="733"/>
      <c r="E8" s="525"/>
      <c r="F8" s="525"/>
      <c r="G8" s="474"/>
      <c r="H8" s="474"/>
      <c r="I8" s="525"/>
      <c r="J8" s="525"/>
      <c r="K8" s="525"/>
      <c r="L8" s="525"/>
    </row>
    <row r="9" spans="1:12" s="740" customFormat="1" ht="14.25">
      <c r="A9" s="734" t="s">
        <v>999</v>
      </c>
      <c r="B9" s="735">
        <v>40598</v>
      </c>
      <c r="C9" s="735">
        <v>42583</v>
      </c>
      <c r="D9" s="736">
        <v>2.17</v>
      </c>
      <c r="E9" s="737">
        <v>645000</v>
      </c>
      <c r="F9" s="738">
        <v>0</v>
      </c>
      <c r="G9" s="739" t="s">
        <v>1000</v>
      </c>
      <c r="H9" s="739" t="s">
        <v>1001</v>
      </c>
      <c r="I9" s="738">
        <v>0</v>
      </c>
      <c r="J9" s="738">
        <v>0</v>
      </c>
      <c r="K9" s="738">
        <v>16371.67</v>
      </c>
      <c r="L9" s="738">
        <v>120000</v>
      </c>
    </row>
    <row r="10" spans="1:12" s="740" customFormat="1" ht="14.25">
      <c r="A10" s="734"/>
      <c r="B10" s="735"/>
      <c r="C10" s="735"/>
      <c r="D10" s="736"/>
      <c r="E10" s="737"/>
      <c r="F10" s="738"/>
      <c r="G10" s="739"/>
      <c r="H10" s="739"/>
      <c r="I10" s="738"/>
      <c r="J10" s="738"/>
      <c r="K10" s="738"/>
      <c r="L10" s="738"/>
    </row>
    <row r="11" spans="1:12" s="740" customFormat="1" ht="14.25">
      <c r="A11" s="734"/>
      <c r="B11" s="735"/>
      <c r="C11" s="735"/>
      <c r="D11" s="736"/>
      <c r="E11" s="737"/>
      <c r="F11" s="738"/>
      <c r="G11" s="739"/>
      <c r="H11" s="739"/>
      <c r="I11" s="738"/>
      <c r="J11" s="738"/>
      <c r="K11" s="738"/>
      <c r="L11" s="738"/>
    </row>
    <row r="12" spans="1:12" s="740" customFormat="1" ht="14.25">
      <c r="A12" s="734"/>
      <c r="B12" s="735"/>
      <c r="C12" s="735"/>
      <c r="D12" s="736"/>
      <c r="E12" s="737"/>
      <c r="F12" s="738"/>
      <c r="G12" s="739"/>
      <c r="H12" s="739"/>
      <c r="I12" s="738"/>
      <c r="J12" s="738"/>
      <c r="K12" s="738"/>
      <c r="L12" s="738"/>
    </row>
    <row r="13" spans="1:12" s="740" customFormat="1" ht="14.25">
      <c r="A13" s="734"/>
      <c r="B13" s="735"/>
      <c r="C13" s="735"/>
      <c r="D13" s="736"/>
      <c r="E13" s="737"/>
      <c r="F13" s="738"/>
      <c r="G13" s="739"/>
      <c r="H13" s="739"/>
      <c r="I13" s="738"/>
      <c r="J13" s="738"/>
      <c r="K13" s="738"/>
      <c r="L13" s="738"/>
    </row>
    <row r="14" spans="1:12" s="740" customFormat="1" ht="14.25">
      <c r="A14" s="734"/>
      <c r="B14" s="735"/>
      <c r="C14" s="735"/>
      <c r="D14" s="736"/>
      <c r="E14" s="737"/>
      <c r="F14" s="738"/>
      <c r="G14" s="739"/>
      <c r="H14" s="739"/>
      <c r="I14" s="738"/>
      <c r="J14" s="738"/>
      <c r="K14" s="738"/>
      <c r="L14" s="738"/>
    </row>
    <row r="15" spans="1:12" s="740" customFormat="1" ht="14.25">
      <c r="A15" s="734"/>
      <c r="B15" s="735"/>
      <c r="C15" s="735"/>
      <c r="D15" s="736"/>
      <c r="E15" s="737"/>
      <c r="F15" s="738"/>
      <c r="G15" s="739"/>
      <c r="H15" s="739"/>
      <c r="I15" s="738"/>
      <c r="J15" s="738"/>
      <c r="K15" s="738"/>
      <c r="L15" s="738"/>
    </row>
    <row r="16" spans="1:12" s="740" customFormat="1" ht="14.25">
      <c r="A16" s="734"/>
      <c r="B16" s="735"/>
      <c r="C16" s="735"/>
      <c r="D16" s="736"/>
      <c r="E16" s="737"/>
      <c r="F16" s="738"/>
      <c r="G16" s="739"/>
      <c r="H16" s="739"/>
      <c r="I16" s="738"/>
      <c r="J16" s="738"/>
      <c r="K16" s="738"/>
      <c r="L16" s="738"/>
    </row>
    <row r="17" spans="1:12" s="740" customFormat="1" ht="14.25">
      <c r="A17" s="734"/>
      <c r="B17" s="735"/>
      <c r="C17" s="735"/>
      <c r="D17" s="736"/>
      <c r="E17" s="737"/>
      <c r="F17" s="738"/>
      <c r="G17" s="739"/>
      <c r="H17" s="739"/>
      <c r="I17" s="738"/>
      <c r="J17" s="738"/>
      <c r="K17" s="738"/>
      <c r="L17" s="738"/>
    </row>
    <row r="18" spans="1:12" s="740" customFormat="1" ht="14.25">
      <c r="A18" s="734"/>
      <c r="B18" s="735"/>
      <c r="C18" s="735"/>
      <c r="D18" s="736"/>
      <c r="E18" s="737"/>
      <c r="F18" s="738"/>
      <c r="G18" s="739"/>
      <c r="H18" s="739"/>
      <c r="I18" s="738"/>
      <c r="J18" s="738"/>
      <c r="K18" s="738"/>
      <c r="L18" s="738"/>
    </row>
    <row r="19" spans="1:12" ht="15">
      <c r="A19" s="741" t="s">
        <v>241</v>
      </c>
      <c r="B19" s="742"/>
      <c r="C19" s="742"/>
      <c r="D19" s="743"/>
      <c r="E19" s="744">
        <f>SUM(E9:E18)</f>
        <v>645000</v>
      </c>
      <c r="F19" s="745">
        <f>SUM(F9:F18)</f>
        <v>0</v>
      </c>
      <c r="G19" s="746"/>
      <c r="H19" s="746"/>
      <c r="I19" s="745">
        <f>SUM(I9:I18)</f>
        <v>0</v>
      </c>
      <c r="J19" s="745">
        <f>SUM(J9:J18)</f>
        <v>0</v>
      </c>
      <c r="K19" s="745">
        <f>SUM(K9:K18)</f>
        <v>16371.67</v>
      </c>
      <c r="L19" s="745">
        <f>SUM(L9:L18)</f>
        <v>120000</v>
      </c>
    </row>
    <row r="20" spans="1:12" ht="14.25">
      <c r="A20" s="687" t="s">
        <v>242</v>
      </c>
      <c r="B20" s="747"/>
      <c r="C20" s="747"/>
      <c r="D20" s="748"/>
      <c r="E20" s="537"/>
      <c r="F20" s="537"/>
      <c r="G20" s="749"/>
      <c r="H20" s="749"/>
      <c r="I20" s="537"/>
      <c r="J20" s="537"/>
      <c r="K20" s="537"/>
      <c r="L20" s="537"/>
    </row>
    <row r="21" spans="1:12" s="740" customFormat="1" ht="14.25">
      <c r="A21" s="750"/>
      <c r="B21" s="735"/>
      <c r="C21" s="735"/>
      <c r="D21" s="736"/>
      <c r="E21" s="737"/>
      <c r="F21" s="738"/>
      <c r="G21" s="739"/>
      <c r="H21" s="739"/>
      <c r="I21" s="738"/>
      <c r="J21" s="738"/>
      <c r="K21" s="738"/>
      <c r="L21" s="738"/>
    </row>
    <row r="22" spans="1:12" s="740" customFormat="1" ht="14.25">
      <c r="A22" s="750"/>
      <c r="B22" s="735"/>
      <c r="C22" s="735"/>
      <c r="D22" s="736"/>
      <c r="E22" s="737"/>
      <c r="F22" s="738"/>
      <c r="G22" s="739"/>
      <c r="H22" s="739"/>
      <c r="I22" s="738"/>
      <c r="J22" s="738"/>
      <c r="K22" s="738"/>
      <c r="L22" s="738"/>
    </row>
    <row r="23" spans="1:12" s="740" customFormat="1" ht="14.25">
      <c r="A23" s="750"/>
      <c r="B23" s="735"/>
      <c r="C23" s="735"/>
      <c r="D23" s="736"/>
      <c r="E23" s="737"/>
      <c r="F23" s="738"/>
      <c r="G23" s="739"/>
      <c r="H23" s="739"/>
      <c r="I23" s="738"/>
      <c r="J23" s="738"/>
      <c r="K23" s="738"/>
      <c r="L23" s="738"/>
    </row>
    <row r="24" spans="1:12" s="740" customFormat="1" ht="14.25">
      <c r="A24" s="750"/>
      <c r="B24" s="735"/>
      <c r="C24" s="735"/>
      <c r="D24" s="736"/>
      <c r="E24" s="737"/>
      <c r="F24" s="738"/>
      <c r="G24" s="739"/>
      <c r="H24" s="739"/>
      <c r="I24" s="738"/>
      <c r="J24" s="738"/>
      <c r="K24" s="738"/>
      <c r="L24" s="738"/>
    </row>
    <row r="25" spans="1:12" s="740" customFormat="1" ht="14.25">
      <c r="A25" s="750"/>
      <c r="B25" s="735"/>
      <c r="C25" s="735"/>
      <c r="D25" s="736"/>
      <c r="E25" s="737"/>
      <c r="F25" s="738"/>
      <c r="G25" s="739"/>
      <c r="H25" s="739"/>
      <c r="I25" s="738"/>
      <c r="J25" s="738"/>
      <c r="K25" s="738"/>
      <c r="L25" s="738"/>
    </row>
    <row r="26" spans="1:12" s="740" customFormat="1" ht="14.25">
      <c r="A26" s="750"/>
      <c r="B26" s="735"/>
      <c r="C26" s="735"/>
      <c r="D26" s="736"/>
      <c r="E26" s="737"/>
      <c r="F26" s="738"/>
      <c r="G26" s="739"/>
      <c r="H26" s="739"/>
      <c r="I26" s="738"/>
      <c r="J26" s="738"/>
      <c r="K26" s="738"/>
      <c r="L26" s="738"/>
    </row>
    <row r="27" spans="1:12" ht="15">
      <c r="A27" s="741" t="s">
        <v>243</v>
      </c>
      <c r="B27" s="742"/>
      <c r="C27" s="742"/>
      <c r="D27" s="751"/>
      <c r="E27" s="744"/>
      <c r="F27" s="752">
        <f>SUM(F21:F26)</f>
        <v>0</v>
      </c>
      <c r="G27" s="746"/>
      <c r="H27" s="746"/>
      <c r="I27" s="752">
        <f>SUM(I21:I26)</f>
        <v>0</v>
      </c>
      <c r="J27" s="752">
        <f>SUM(J21:J26)</f>
        <v>0</v>
      </c>
      <c r="K27" s="745">
        <f>SUM(K21:K26)</f>
        <v>0</v>
      </c>
      <c r="L27" s="752">
        <f>SUM(L21:L26)</f>
        <v>0</v>
      </c>
    </row>
    <row r="28" spans="1:12" ht="14.25">
      <c r="A28" s="687" t="s">
        <v>244</v>
      </c>
      <c r="B28" s="747"/>
      <c r="C28" s="747"/>
      <c r="D28" s="748"/>
      <c r="E28" s="537"/>
      <c r="F28" s="753"/>
      <c r="G28" s="749"/>
      <c r="H28" s="749"/>
      <c r="I28" s="537"/>
      <c r="J28" s="537"/>
      <c r="K28" s="537"/>
      <c r="L28" s="537"/>
    </row>
    <row r="29" spans="1:12" s="740" customFormat="1" ht="14.25">
      <c r="A29" s="750" t="s">
        <v>1002</v>
      </c>
      <c r="B29" s="735">
        <v>40452</v>
      </c>
      <c r="C29" s="735">
        <v>41122</v>
      </c>
      <c r="D29" s="736"/>
      <c r="E29" s="737">
        <v>105000</v>
      </c>
      <c r="F29" s="738">
        <v>105000</v>
      </c>
      <c r="G29" s="739" t="s">
        <v>1001</v>
      </c>
      <c r="H29" s="739" t="s">
        <v>1001</v>
      </c>
      <c r="I29" s="738">
        <v>152</v>
      </c>
      <c r="J29" s="738">
        <v>50000</v>
      </c>
      <c r="K29" s="738">
        <v>387</v>
      </c>
      <c r="L29" s="738">
        <v>55000</v>
      </c>
    </row>
    <row r="30" spans="1:12" s="740" customFormat="1" ht="14.25">
      <c r="A30" s="750"/>
      <c r="B30" s="735"/>
      <c r="C30" s="735"/>
      <c r="D30" s="736"/>
      <c r="E30" s="737"/>
      <c r="F30" s="738"/>
      <c r="G30" s="739"/>
      <c r="H30" s="739"/>
      <c r="I30" s="738"/>
      <c r="J30" s="738"/>
      <c r="K30" s="738"/>
      <c r="L30" s="738"/>
    </row>
    <row r="31" spans="1:12" s="740" customFormat="1" ht="14.25">
      <c r="A31" s="750"/>
      <c r="B31" s="735"/>
      <c r="C31" s="735"/>
      <c r="D31" s="736"/>
      <c r="E31" s="737"/>
      <c r="F31" s="738"/>
      <c r="G31" s="739"/>
      <c r="H31" s="739"/>
      <c r="I31" s="738"/>
      <c r="J31" s="738"/>
      <c r="K31" s="738"/>
      <c r="L31" s="738"/>
    </row>
    <row r="32" spans="1:12" s="740" customFormat="1" ht="14.25">
      <c r="A32" s="750"/>
      <c r="B32" s="735"/>
      <c r="C32" s="735"/>
      <c r="D32" s="736"/>
      <c r="E32" s="737"/>
      <c r="F32" s="738"/>
      <c r="G32" s="739"/>
      <c r="H32" s="739"/>
      <c r="I32" s="738"/>
      <c r="J32" s="738"/>
      <c r="K32" s="738"/>
      <c r="L32" s="738"/>
    </row>
    <row r="33" spans="1:12" s="740" customFormat="1" ht="14.25">
      <c r="A33" s="750"/>
      <c r="B33" s="735"/>
      <c r="C33" s="735"/>
      <c r="D33" s="736"/>
      <c r="E33" s="737"/>
      <c r="F33" s="738"/>
      <c r="G33" s="739"/>
      <c r="H33" s="739"/>
      <c r="I33" s="738"/>
      <c r="J33" s="738"/>
      <c r="K33" s="738"/>
      <c r="L33" s="738"/>
    </row>
    <row r="34" spans="1:12" s="740" customFormat="1" ht="14.25">
      <c r="A34" s="750"/>
      <c r="B34" s="735"/>
      <c r="C34" s="735"/>
      <c r="D34" s="736"/>
      <c r="E34" s="737"/>
      <c r="F34" s="738"/>
      <c r="G34" s="739"/>
      <c r="H34" s="739"/>
      <c r="I34" s="738"/>
      <c r="J34" s="738"/>
      <c r="K34" s="738"/>
      <c r="L34" s="738"/>
    </row>
    <row r="35" spans="1:28" s="740" customFormat="1" ht="14.25">
      <c r="A35" s="750"/>
      <c r="B35" s="735"/>
      <c r="C35" s="735"/>
      <c r="D35" s="736"/>
      <c r="E35" s="737"/>
      <c r="F35" s="738"/>
      <c r="G35" s="739"/>
      <c r="H35" s="739"/>
      <c r="I35" s="738"/>
      <c r="J35" s="738"/>
      <c r="K35" s="738"/>
      <c r="L35" s="738"/>
      <c r="M35" s="754"/>
      <c r="N35" s="754"/>
      <c r="O35" s="754"/>
      <c r="P35" s="754"/>
      <c r="Q35" s="754"/>
      <c r="R35" s="754"/>
      <c r="S35" s="754"/>
      <c r="T35" s="754"/>
      <c r="U35" s="754"/>
      <c r="V35" s="754"/>
      <c r="W35" s="754"/>
      <c r="X35" s="754"/>
      <c r="Y35" s="754"/>
      <c r="Z35" s="754"/>
      <c r="AA35" s="754"/>
      <c r="AB35" s="754"/>
    </row>
    <row r="36" spans="1:12" ht="15">
      <c r="A36" s="741" t="s">
        <v>370</v>
      </c>
      <c r="B36" s="741"/>
      <c r="C36" s="741"/>
      <c r="D36" s="751"/>
      <c r="E36" s="752">
        <f>SUM(E29:E35)</f>
        <v>105000</v>
      </c>
      <c r="F36" s="752">
        <f>SUM(F29:F35)</f>
        <v>105000</v>
      </c>
      <c r="G36" s="744"/>
      <c r="H36" s="744"/>
      <c r="I36" s="752">
        <f>SUM(I29:I35)</f>
        <v>152</v>
      </c>
      <c r="J36" s="752">
        <f>SUM(J29:J35)</f>
        <v>50000</v>
      </c>
      <c r="K36" s="752">
        <f>SUM(K29:K35)</f>
        <v>387</v>
      </c>
      <c r="L36" s="752">
        <f>SUM(L29:L35)</f>
        <v>55000</v>
      </c>
    </row>
    <row r="37" spans="1:12" ht="15">
      <c r="A37" s="741" t="s">
        <v>245</v>
      </c>
      <c r="B37" s="741"/>
      <c r="C37" s="741"/>
      <c r="D37" s="741"/>
      <c r="E37" s="744"/>
      <c r="F37" s="752">
        <f>SUM(F19+F27+F36)</f>
        <v>105000</v>
      </c>
      <c r="G37" s="744"/>
      <c r="H37" s="744"/>
      <c r="I37" s="752">
        <f>SUM(I19+I27+I36)</f>
        <v>152</v>
      </c>
      <c r="J37" s="752">
        <f>SUM(J19+J27+J36)</f>
        <v>50000</v>
      </c>
      <c r="K37" s="752">
        <f>SUM(K19+K27+K36)</f>
        <v>16758.67</v>
      </c>
      <c r="L37" s="752">
        <f>SUM(L19+L27+L36)</f>
        <v>175000</v>
      </c>
    </row>
    <row r="38" spans="1:12" ht="14.25">
      <c r="A38" s="455"/>
      <c r="B38" s="455"/>
      <c r="C38" s="455"/>
      <c r="D38" s="455"/>
      <c r="E38" s="455"/>
      <c r="F38" s="455"/>
      <c r="G38" s="455"/>
      <c r="H38" s="455"/>
      <c r="I38" s="455"/>
      <c r="J38" s="455"/>
      <c r="K38" s="455"/>
      <c r="L38" s="455"/>
    </row>
    <row r="39" spans="5:12" ht="14.25">
      <c r="E39" s="755"/>
      <c r="F39" s="755"/>
      <c r="I39" s="755"/>
      <c r="J39" s="755"/>
      <c r="K39" s="755"/>
      <c r="L39" s="755"/>
    </row>
    <row r="40" spans="5:13" ht="14.25">
      <c r="E40" s="455"/>
      <c r="G40" s="756"/>
      <c r="M40" s="455"/>
    </row>
    <row r="41" spans="1:12" ht="14.25">
      <c r="A41" s="455"/>
      <c r="B41" s="455"/>
      <c r="C41" s="455"/>
      <c r="D41" s="455"/>
      <c r="E41" s="455"/>
      <c r="F41" s="455"/>
      <c r="G41" s="455"/>
      <c r="H41" s="455"/>
      <c r="I41" s="455"/>
      <c r="J41" s="455"/>
      <c r="K41" s="455"/>
      <c r="L41" s="455"/>
    </row>
    <row r="42" spans="1:12" ht="14.25">
      <c r="A42" s="455"/>
      <c r="B42" s="455"/>
      <c r="C42" s="455"/>
      <c r="D42" s="455"/>
      <c r="E42" s="455"/>
      <c r="F42" s="455"/>
      <c r="G42" s="455"/>
      <c r="H42" s="455"/>
      <c r="I42" s="455"/>
      <c r="J42" s="455"/>
      <c r="K42" s="455"/>
      <c r="L42" s="455"/>
    </row>
  </sheetData>
  <sheetProtection/>
  <mergeCells count="3">
    <mergeCell ref="G6:H6"/>
    <mergeCell ref="I6:J6"/>
    <mergeCell ref="K6:L6"/>
  </mergeCells>
  <printOptions/>
  <pageMargins left="1" right="0.5" top="0.78" bottom="0.4" header="0.5" footer="0"/>
  <pageSetup blackAndWhite="1" fitToHeight="1" fitToWidth="1" horizontalDpi="120" verticalDpi="120" orientation="landscape" scale="69" r:id="rId1"/>
  <headerFooter alignWithMargins="0">
    <oddHeader>&amp;RState of Kansas
County
</oddHeader>
    <oddFooter>&amp;C&amp;"Arial,Regular"&amp;11WY -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8"/>
  <sheetViews>
    <sheetView zoomScale="75" zoomScaleNormal="75" zoomScalePageLayoutView="0" workbookViewId="0" topLeftCell="A1">
      <selection activeCell="D8" sqref="D8"/>
    </sheetView>
  </sheetViews>
  <sheetFormatPr defaultColWidth="8.796875" defaultRowHeight="15"/>
  <cols>
    <col min="1" max="1" width="25.796875" style="27" customWidth="1"/>
    <col min="2" max="4" width="9.796875" style="27" customWidth="1"/>
    <col min="5" max="5" width="17.09765625" style="27" customWidth="1"/>
    <col min="6" max="8" width="15.796875" style="27" customWidth="1"/>
    <col min="9" max="16384" width="8.8984375" style="27" customWidth="1"/>
  </cols>
  <sheetData>
    <row r="1" spans="1:8" ht="15.75">
      <c r="A1" s="512" t="str">
        <f>inputPrYr!$C$2</f>
        <v>Wyandotte County</v>
      </c>
      <c r="B1" s="453"/>
      <c r="C1" s="453"/>
      <c r="D1" s="453"/>
      <c r="E1" s="453"/>
      <c r="F1" s="453"/>
      <c r="G1" s="453"/>
      <c r="H1" s="454">
        <f>inputPrYr!C4</f>
        <v>2012</v>
      </c>
    </row>
    <row r="2" spans="1:8" ht="15.75">
      <c r="A2" s="453"/>
      <c r="B2" s="453"/>
      <c r="C2" s="453"/>
      <c r="D2" s="453"/>
      <c r="E2" s="453"/>
      <c r="F2" s="453"/>
      <c r="G2" s="453"/>
      <c r="H2" s="515"/>
    </row>
    <row r="3" spans="1:8" ht="15.75">
      <c r="A3" s="453"/>
      <c r="B3" s="458"/>
      <c r="C3" s="458"/>
      <c r="D3" s="458"/>
      <c r="E3" s="458"/>
      <c r="F3" s="458"/>
      <c r="G3" s="458"/>
      <c r="H3" s="536"/>
    </row>
    <row r="4" spans="1:8" ht="15.75">
      <c r="A4" s="658" t="s">
        <v>258</v>
      </c>
      <c r="B4" s="458"/>
      <c r="C4" s="458"/>
      <c r="D4" s="458"/>
      <c r="E4" s="458"/>
      <c r="F4" s="458"/>
      <c r="G4" s="458"/>
      <c r="H4" s="458"/>
    </row>
    <row r="5" spans="1:8" ht="15.75">
      <c r="A5" s="659"/>
      <c r="B5" s="660"/>
      <c r="C5" s="660"/>
      <c r="D5" s="660"/>
      <c r="E5" s="660"/>
      <c r="F5" s="660"/>
      <c r="G5" s="660"/>
      <c r="H5" s="660"/>
    </row>
    <row r="6" spans="1:8" ht="15.75">
      <c r="A6" s="661"/>
      <c r="B6" s="662"/>
      <c r="C6" s="662"/>
      <c r="D6" s="662"/>
      <c r="E6" s="663" t="s">
        <v>124</v>
      </c>
      <c r="F6" s="662"/>
      <c r="G6" s="662"/>
      <c r="H6" s="662"/>
    </row>
    <row r="7" spans="1:8" ht="15.75">
      <c r="A7" s="661"/>
      <c r="B7" s="664"/>
      <c r="C7" s="664" t="s">
        <v>246</v>
      </c>
      <c r="D7" s="664" t="s">
        <v>247</v>
      </c>
      <c r="E7" s="664" t="s">
        <v>144</v>
      </c>
      <c r="F7" s="664" t="s">
        <v>248</v>
      </c>
      <c r="G7" s="664" t="s">
        <v>249</v>
      </c>
      <c r="H7" s="664" t="s">
        <v>249</v>
      </c>
    </row>
    <row r="8" spans="1:8" ht="15.75">
      <c r="A8" s="661"/>
      <c r="B8" s="664" t="s">
        <v>250</v>
      </c>
      <c r="C8" s="664" t="s">
        <v>251</v>
      </c>
      <c r="D8" s="664" t="s">
        <v>235</v>
      </c>
      <c r="E8" s="664" t="s">
        <v>252</v>
      </c>
      <c r="F8" s="664" t="s">
        <v>291</v>
      </c>
      <c r="G8" s="664" t="s">
        <v>253</v>
      </c>
      <c r="H8" s="664" t="s">
        <v>253</v>
      </c>
    </row>
    <row r="9" spans="1:8" ht="15.75">
      <c r="A9" s="526" t="s">
        <v>254</v>
      </c>
      <c r="B9" s="470" t="s">
        <v>232</v>
      </c>
      <c r="C9" s="470" t="s">
        <v>255</v>
      </c>
      <c r="D9" s="470" t="s">
        <v>166</v>
      </c>
      <c r="E9" s="470" t="s">
        <v>310</v>
      </c>
      <c r="F9" s="665" t="str">
        <f>CONCATENATE("Jan 1,",H1-1,"")</f>
        <v>Jan 1,2011</v>
      </c>
      <c r="G9" s="470">
        <f>H1-1</f>
        <v>2011</v>
      </c>
      <c r="H9" s="470">
        <f>H1</f>
        <v>2012</v>
      </c>
    </row>
    <row r="10" spans="1:8" ht="15.75">
      <c r="A10" s="624" t="s">
        <v>1009</v>
      </c>
      <c r="B10" s="666">
        <v>37681</v>
      </c>
      <c r="C10" s="667">
        <v>168</v>
      </c>
      <c r="D10" s="668">
        <v>3.57</v>
      </c>
      <c r="E10" s="669">
        <v>1260000</v>
      </c>
      <c r="F10" s="669">
        <v>467859</v>
      </c>
      <c r="G10" s="669">
        <v>127605</v>
      </c>
      <c r="H10" s="669">
        <v>127605</v>
      </c>
    </row>
    <row r="11" spans="1:8" ht="15.75">
      <c r="A11" s="624" t="s">
        <v>1010</v>
      </c>
      <c r="B11" s="666">
        <v>38439</v>
      </c>
      <c r="C11" s="667">
        <v>84</v>
      </c>
      <c r="D11" s="668">
        <v>3.95</v>
      </c>
      <c r="E11" s="669">
        <v>1580000</v>
      </c>
      <c r="F11" s="669">
        <v>477106</v>
      </c>
      <c r="G11" s="669">
        <v>252785</v>
      </c>
      <c r="H11" s="669">
        <v>252785</v>
      </c>
    </row>
    <row r="12" spans="1:8" ht="15.75">
      <c r="A12" s="624" t="s">
        <v>1011</v>
      </c>
      <c r="B12" s="666">
        <v>39182</v>
      </c>
      <c r="C12" s="667">
        <v>84</v>
      </c>
      <c r="D12" s="668">
        <v>3.9</v>
      </c>
      <c r="E12" s="669">
        <v>1133533</v>
      </c>
      <c r="F12" s="669">
        <v>503517</v>
      </c>
      <c r="G12" s="669">
        <v>181097</v>
      </c>
      <c r="H12" s="669">
        <v>181097</v>
      </c>
    </row>
    <row r="13" spans="1:8" ht="15.75">
      <c r="A13" s="624" t="s">
        <v>1012</v>
      </c>
      <c r="B13" s="666">
        <v>39182</v>
      </c>
      <c r="C13" s="667">
        <v>120</v>
      </c>
      <c r="D13" s="668">
        <v>3.9</v>
      </c>
      <c r="E13" s="669">
        <v>2193556</v>
      </c>
      <c r="F13" s="669">
        <v>1362206</v>
      </c>
      <c r="G13" s="669">
        <v>259001</v>
      </c>
      <c r="H13" s="669">
        <v>259001</v>
      </c>
    </row>
    <row r="14" spans="1:8" ht="15.75">
      <c r="A14" s="624" t="s">
        <v>1013</v>
      </c>
      <c r="B14" s="666">
        <v>39346</v>
      </c>
      <c r="C14" s="667">
        <v>72</v>
      </c>
      <c r="D14" s="668">
        <v>4.12</v>
      </c>
      <c r="E14" s="669">
        <v>1215000</v>
      </c>
      <c r="F14" s="669">
        <v>161656</v>
      </c>
      <c r="G14" s="669">
        <v>171577</v>
      </c>
      <c r="H14" s="669">
        <v>0</v>
      </c>
    </row>
    <row r="15" spans="1:8" ht="15.75">
      <c r="A15" s="624" t="s">
        <v>1014</v>
      </c>
      <c r="B15" s="666">
        <v>40445</v>
      </c>
      <c r="C15" s="667">
        <v>180</v>
      </c>
      <c r="D15" s="668">
        <v>4.44</v>
      </c>
      <c r="E15" s="669">
        <v>578956</v>
      </c>
      <c r="F15" s="669">
        <v>586956</v>
      </c>
      <c r="G15" s="669">
        <v>62130</v>
      </c>
      <c r="H15" s="669">
        <v>47212</v>
      </c>
    </row>
    <row r="16" spans="1:8" ht="15.75">
      <c r="A16" s="624"/>
      <c r="B16" s="624"/>
      <c r="C16" s="667"/>
      <c r="D16" s="668"/>
      <c r="E16" s="669"/>
      <c r="F16" s="669"/>
      <c r="G16" s="669"/>
      <c r="H16" s="669"/>
    </row>
    <row r="17" spans="1:8" ht="15.75">
      <c r="A17" s="624"/>
      <c r="B17" s="624"/>
      <c r="C17" s="667"/>
      <c r="D17" s="668"/>
      <c r="E17" s="669"/>
      <c r="F17" s="669"/>
      <c r="G17" s="669"/>
      <c r="H17" s="669"/>
    </row>
    <row r="18" spans="1:8" ht="15.75">
      <c r="A18" s="624"/>
      <c r="B18" s="624"/>
      <c r="C18" s="667"/>
      <c r="D18" s="668"/>
      <c r="E18" s="669"/>
      <c r="F18" s="669"/>
      <c r="G18" s="669"/>
      <c r="H18" s="669"/>
    </row>
    <row r="19" spans="1:8" ht="15.75">
      <c r="A19" s="606"/>
      <c r="B19" s="606"/>
      <c r="C19" s="607"/>
      <c r="D19" s="608"/>
      <c r="E19" s="609"/>
      <c r="F19" s="609"/>
      <c r="G19" s="609"/>
      <c r="H19" s="609"/>
    </row>
    <row r="20" spans="1:8" ht="15.75">
      <c r="A20" s="606"/>
      <c r="B20" s="606"/>
      <c r="C20" s="607"/>
      <c r="D20" s="608"/>
      <c r="E20" s="609"/>
      <c r="F20" s="609"/>
      <c r="G20" s="609"/>
      <c r="H20" s="609"/>
    </row>
    <row r="21" spans="1:8" ht="15.75">
      <c r="A21" s="606"/>
      <c r="B21" s="606"/>
      <c r="C21" s="607"/>
      <c r="D21" s="608"/>
      <c r="E21" s="609"/>
      <c r="F21" s="609"/>
      <c r="G21" s="609"/>
      <c r="H21" s="609"/>
    </row>
    <row r="22" spans="1:8" ht="15.75">
      <c r="A22" s="606"/>
      <c r="B22" s="606"/>
      <c r="C22" s="607"/>
      <c r="D22" s="608"/>
      <c r="E22" s="609"/>
      <c r="F22" s="609"/>
      <c r="G22" s="609"/>
      <c r="H22" s="609"/>
    </row>
    <row r="23" spans="1:8" ht="15.75">
      <c r="A23" s="606"/>
      <c r="B23" s="606"/>
      <c r="C23" s="607"/>
      <c r="D23" s="608"/>
      <c r="E23" s="609"/>
      <c r="F23" s="609"/>
      <c r="G23" s="609"/>
      <c r="H23" s="609"/>
    </row>
    <row r="24" spans="1:8" ht="15.75">
      <c r="A24" s="606"/>
      <c r="B24" s="606"/>
      <c r="C24" s="607"/>
      <c r="D24" s="608"/>
      <c r="E24" s="609"/>
      <c r="F24" s="609"/>
      <c r="G24" s="609"/>
      <c r="H24" s="609"/>
    </row>
    <row r="25" spans="1:8" ht="15.75">
      <c r="A25" s="606"/>
      <c r="B25" s="606"/>
      <c r="C25" s="607"/>
      <c r="D25" s="608"/>
      <c r="E25" s="609"/>
      <c r="F25" s="609"/>
      <c r="G25" s="609"/>
      <c r="H25" s="609"/>
    </row>
    <row r="26" spans="1:8" ht="15.75">
      <c r="A26" s="606"/>
      <c r="B26" s="606"/>
      <c r="C26" s="607"/>
      <c r="D26" s="608"/>
      <c r="E26" s="609"/>
      <c r="F26" s="609"/>
      <c r="G26" s="609"/>
      <c r="H26" s="609"/>
    </row>
    <row r="27" spans="1:8" ht="15.75">
      <c r="A27" s="610"/>
      <c r="B27" s="610"/>
      <c r="C27" s="611"/>
      <c r="D27" s="612"/>
      <c r="E27" s="613"/>
      <c r="F27" s="613"/>
      <c r="G27" s="613"/>
      <c r="H27" s="613"/>
    </row>
    <row r="28" spans="1:8" ht="15.75">
      <c r="A28" s="610"/>
      <c r="B28" s="610"/>
      <c r="C28" s="611"/>
      <c r="D28" s="612"/>
      <c r="E28" s="613"/>
      <c r="F28" s="613"/>
      <c r="G28" s="613"/>
      <c r="H28" s="613"/>
    </row>
    <row r="29" spans="1:8" ht="15.75">
      <c r="A29" s="610"/>
      <c r="B29" s="610"/>
      <c r="C29" s="611"/>
      <c r="D29" s="612"/>
      <c r="E29" s="613"/>
      <c r="F29" s="613"/>
      <c r="G29" s="613"/>
      <c r="H29" s="613"/>
    </row>
    <row r="30" spans="1:8" ht="15.75">
      <c r="A30" s="610"/>
      <c r="B30" s="610"/>
      <c r="C30" s="611"/>
      <c r="D30" s="612"/>
      <c r="E30" s="613"/>
      <c r="F30" s="613"/>
      <c r="G30" s="613"/>
      <c r="H30" s="613"/>
    </row>
    <row r="31" spans="1:8" ht="15.75">
      <c r="A31" s="610"/>
      <c r="B31" s="610"/>
      <c r="C31" s="611"/>
      <c r="D31" s="612"/>
      <c r="E31" s="613"/>
      <c r="F31" s="613"/>
      <c r="G31" s="613"/>
      <c r="H31" s="613"/>
    </row>
    <row r="32" spans="1:8" ht="15.75">
      <c r="A32" s="610"/>
      <c r="B32" s="610"/>
      <c r="C32" s="611"/>
      <c r="D32" s="612"/>
      <c r="E32" s="613"/>
      <c r="F32" s="613"/>
      <c r="G32" s="613"/>
      <c r="H32" s="613"/>
    </row>
    <row r="33" spans="1:8" ht="15.75">
      <c r="A33" s="610"/>
      <c r="B33" s="610"/>
      <c r="C33" s="611"/>
      <c r="D33" s="612"/>
      <c r="E33" s="613"/>
      <c r="F33" s="613"/>
      <c r="G33" s="613"/>
      <c r="H33" s="613"/>
    </row>
    <row r="34" spans="1:8" ht="15.75">
      <c r="A34" s="610"/>
      <c r="B34" s="610"/>
      <c r="C34" s="611"/>
      <c r="D34" s="612"/>
      <c r="E34" s="613"/>
      <c r="F34" s="613"/>
      <c r="G34" s="613"/>
      <c r="H34" s="613"/>
    </row>
    <row r="35" spans="1:8" ht="15.75">
      <c r="A35" s="610"/>
      <c r="B35" s="610"/>
      <c r="C35" s="611"/>
      <c r="D35" s="612"/>
      <c r="E35" s="613"/>
      <c r="F35" s="613"/>
      <c r="G35" s="613"/>
      <c r="H35" s="613"/>
    </row>
    <row r="36" spans="1:8" ht="15.75">
      <c r="A36" s="610"/>
      <c r="B36" s="610"/>
      <c r="C36" s="611"/>
      <c r="D36" s="612"/>
      <c r="E36" s="613"/>
      <c r="F36" s="613"/>
      <c r="G36" s="613"/>
      <c r="H36" s="613"/>
    </row>
    <row r="37" spans="1:9" ht="16.5" thickBot="1">
      <c r="A37" s="101" t="s">
        <v>152</v>
      </c>
      <c r="B37" s="40"/>
      <c r="C37" s="40"/>
      <c r="D37" s="40"/>
      <c r="E37" s="40"/>
      <c r="F37" s="107">
        <f>SUM(F10:F36)</f>
        <v>3559300</v>
      </c>
      <c r="G37" s="107">
        <f>SUM(G10:G36)</f>
        <v>1054195</v>
      </c>
      <c r="H37" s="107">
        <f>SUM(H10:H36)</f>
        <v>867700</v>
      </c>
      <c r="I37" s="108"/>
    </row>
    <row r="38" spans="1:8" ht="16.5" thickTop="1">
      <c r="A38" s="40"/>
      <c r="B38" s="40"/>
      <c r="C38" s="40"/>
      <c r="D38" s="40"/>
      <c r="E38" s="40"/>
      <c r="F38" s="40"/>
      <c r="G38" s="100"/>
      <c r="H38" s="100"/>
    </row>
    <row r="39" spans="1:8" ht="15.75">
      <c r="A39" s="109" t="s">
        <v>81</v>
      </c>
      <c r="B39" s="110"/>
      <c r="C39" s="110"/>
      <c r="D39" s="110"/>
      <c r="E39" s="110"/>
      <c r="F39" s="110"/>
      <c r="G39" s="100"/>
      <c r="H39" s="100"/>
    </row>
    <row r="40" spans="1:8" ht="15.75">
      <c r="A40" s="62"/>
      <c r="B40" s="62"/>
      <c r="C40" s="104"/>
      <c r="D40" s="62"/>
      <c r="E40" s="62"/>
      <c r="F40" s="62"/>
      <c r="G40" s="103"/>
      <c r="H40" s="103"/>
    </row>
    <row r="41" spans="1:8" ht="15.75">
      <c r="A41" s="62"/>
      <c r="B41" s="62"/>
      <c r="C41" s="62"/>
      <c r="D41" s="62"/>
      <c r="E41" s="62"/>
      <c r="F41" s="62"/>
      <c r="G41" s="62"/>
      <c r="H41" s="62"/>
    </row>
    <row r="42" spans="1:8" ht="15.75">
      <c r="A42" s="62"/>
      <c r="B42" s="62"/>
      <c r="C42" s="62"/>
      <c r="D42" s="62"/>
      <c r="E42" s="62"/>
      <c r="F42" s="62"/>
      <c r="G42" s="62"/>
      <c r="H42" s="62"/>
    </row>
    <row r="43" spans="1:8" ht="15.75">
      <c r="A43" s="62"/>
      <c r="B43" s="62"/>
      <c r="C43" s="62"/>
      <c r="D43" s="62"/>
      <c r="E43" s="62"/>
      <c r="F43" s="62"/>
      <c r="G43" s="62"/>
      <c r="H43" s="62"/>
    </row>
    <row r="44" spans="1:8" ht="15.75">
      <c r="A44" s="62"/>
      <c r="B44" s="62"/>
      <c r="C44" s="62"/>
      <c r="D44" s="62"/>
      <c r="E44" s="62"/>
      <c r="F44" s="62"/>
      <c r="G44" s="62"/>
      <c r="H44" s="62"/>
    </row>
    <row r="45" spans="1:8" ht="15.75">
      <c r="A45" s="62"/>
      <c r="B45" s="62"/>
      <c r="C45" s="62"/>
      <c r="D45" s="62"/>
      <c r="E45" s="62"/>
      <c r="F45" s="62"/>
      <c r="G45" s="62"/>
      <c r="H45" s="62"/>
    </row>
    <row r="46" spans="1:8" ht="15.75">
      <c r="A46" s="62"/>
      <c r="B46" s="62"/>
      <c r="C46" s="62"/>
      <c r="D46" s="62"/>
      <c r="E46" s="62"/>
      <c r="F46" s="62"/>
      <c r="G46" s="62"/>
      <c r="H46" s="62"/>
    </row>
    <row r="47" spans="1:8" ht="15.75">
      <c r="A47" s="62"/>
      <c r="B47" s="62"/>
      <c r="C47" s="62"/>
      <c r="D47" s="62"/>
      <c r="E47" s="62"/>
      <c r="F47" s="62"/>
      <c r="G47" s="62"/>
      <c r="H47" s="62"/>
    </row>
    <row r="48" spans="1:8" ht="15.75">
      <c r="A48" s="62"/>
      <c r="B48" s="62"/>
      <c r="C48" s="62"/>
      <c r="D48" s="62"/>
      <c r="E48" s="62"/>
      <c r="F48" s="62"/>
      <c r="G48" s="62"/>
      <c r="H48" s="62"/>
    </row>
  </sheetData>
  <sheetProtection/>
  <printOptions/>
  <pageMargins left="1" right="0.5" top="0.78" bottom="0.4" header="0.5" footer="0"/>
  <pageSetup blackAndWhite="1" fitToHeight="1" fitToWidth="1" horizontalDpi="120" verticalDpi="120" orientation="landscape" scale="79" r:id="rId1"/>
  <headerFooter alignWithMargins="0">
    <oddHeader>&amp;RState of Kansas
County
</oddHeader>
    <oddFooter>&amp;C&amp;"Arial,Regular"&amp;11WY - &amp;P</oddFoot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B1:K109"/>
  <sheetViews>
    <sheetView zoomScalePageLayoutView="0" workbookViewId="0" topLeftCell="A1">
      <pane xSplit="1" ySplit="5" topLeftCell="B65" activePane="bottomRight" state="frozen"/>
      <selection pane="topLeft" activeCell="A1" sqref="A1"/>
      <selection pane="topRight" activeCell="B1" sqref="B1"/>
      <selection pane="bottomLeft" activeCell="A6" sqref="A6"/>
      <selection pane="bottomRight" activeCell="A73" sqref="A73:IV74"/>
    </sheetView>
  </sheetViews>
  <sheetFormatPr defaultColWidth="8.796875" defaultRowHeight="15"/>
  <cols>
    <col min="1" max="1" width="2.3984375" style="293" customWidth="1"/>
    <col min="2" max="2" width="39.796875" style="293" customWidth="1"/>
    <col min="3" max="3" width="14.19921875" style="293" customWidth="1"/>
    <col min="4" max="5" width="15.796875" style="293" customWidth="1"/>
    <col min="6" max="6" width="16.19921875" style="293" customWidth="1"/>
    <col min="7" max="7" width="14.59765625" style="293" customWidth="1"/>
    <col min="8" max="8" width="22.69921875" style="293" customWidth="1"/>
    <col min="9" max="9" width="8.8984375" style="293" customWidth="1"/>
    <col min="10" max="10" width="5" style="293" customWidth="1"/>
    <col min="11" max="11" width="7.796875" style="293" customWidth="1"/>
    <col min="12" max="16384" width="8.8984375" style="293" customWidth="1"/>
  </cols>
  <sheetData>
    <row r="1" spans="2:6" ht="15">
      <c r="B1" s="324" t="str">
        <f>inputPrYr!C2</f>
        <v>Wyandotte County</v>
      </c>
      <c r="C1" s="325"/>
      <c r="D1" s="325"/>
      <c r="E1" s="325"/>
      <c r="F1" s="326">
        <f>inputPrYr!C4</f>
        <v>2012</v>
      </c>
    </row>
    <row r="2" spans="2:6" ht="15">
      <c r="B2" s="325"/>
      <c r="C2" s="325"/>
      <c r="D2" s="325"/>
      <c r="E2" s="325"/>
      <c r="F2" s="327"/>
    </row>
    <row r="3" spans="2:6" ht="15.75">
      <c r="B3" s="328" t="s">
        <v>263</v>
      </c>
      <c r="C3" s="325"/>
      <c r="D3" s="325"/>
      <c r="E3" s="325"/>
      <c r="F3" s="329"/>
    </row>
    <row r="4" spans="2:6" ht="15">
      <c r="B4" s="330" t="s">
        <v>155</v>
      </c>
      <c r="C4" s="331" t="s">
        <v>926</v>
      </c>
      <c r="D4" s="331">
        <v>2011</v>
      </c>
      <c r="E4" s="332" t="s">
        <v>928</v>
      </c>
      <c r="F4" s="333" t="s">
        <v>931</v>
      </c>
    </row>
    <row r="5" spans="2:6" ht="15.75">
      <c r="B5" s="334" t="str">
        <f>inputPrYr!B16</f>
        <v>General</v>
      </c>
      <c r="C5" s="335" t="s">
        <v>927</v>
      </c>
      <c r="D5" s="335" t="s">
        <v>925</v>
      </c>
      <c r="E5" s="335" t="s">
        <v>929</v>
      </c>
      <c r="F5" s="336" t="s">
        <v>944</v>
      </c>
    </row>
    <row r="6" spans="2:6" ht="15">
      <c r="B6" s="337" t="s">
        <v>303</v>
      </c>
      <c r="C6" s="338">
        <v>1262886</v>
      </c>
      <c r="D6" s="338">
        <v>212661</v>
      </c>
      <c r="E6" s="339">
        <f>C90</f>
        <v>722710</v>
      </c>
      <c r="F6" s="340">
        <f>E90</f>
        <v>278221</v>
      </c>
    </row>
    <row r="7" spans="2:6" ht="15">
      <c r="B7" s="341" t="s">
        <v>305</v>
      </c>
      <c r="C7" s="338"/>
      <c r="D7" s="338"/>
      <c r="E7" s="338"/>
      <c r="F7" s="340"/>
    </row>
    <row r="8" spans="2:6" ht="15">
      <c r="B8" s="342" t="s">
        <v>156</v>
      </c>
      <c r="C8" s="343">
        <v>25254573</v>
      </c>
      <c r="D8" s="343">
        <v>28163718.949999996</v>
      </c>
      <c r="E8" s="339">
        <v>28130000</v>
      </c>
      <c r="F8" s="344" t="s">
        <v>140</v>
      </c>
    </row>
    <row r="9" spans="2:6" ht="15">
      <c r="B9" s="342" t="s">
        <v>157</v>
      </c>
      <c r="C9" s="343">
        <v>1101294</v>
      </c>
      <c r="D9" s="343">
        <v>862900</v>
      </c>
      <c r="E9" s="343">
        <v>1040900</v>
      </c>
      <c r="F9" s="345">
        <f>100000+1044000</f>
        <v>1144000</v>
      </c>
    </row>
    <row r="10" spans="2:6" ht="15">
      <c r="B10" s="342" t="s">
        <v>158</v>
      </c>
      <c r="C10" s="343">
        <v>2684736</v>
      </c>
      <c r="D10" s="343">
        <v>2965524</v>
      </c>
      <c r="E10" s="343">
        <v>2685300</v>
      </c>
      <c r="F10" s="340">
        <f>mvalloc!D8</f>
        <v>3191627</v>
      </c>
    </row>
    <row r="11" spans="2:6" ht="15">
      <c r="B11" s="342" t="s">
        <v>159</v>
      </c>
      <c r="C11" s="343">
        <v>12858</v>
      </c>
      <c r="D11" s="343">
        <v>14816</v>
      </c>
      <c r="E11" s="343">
        <v>12570</v>
      </c>
      <c r="F11" s="340">
        <f>mvalloc!E8</f>
        <v>15510</v>
      </c>
    </row>
    <row r="12" spans="2:6" ht="15">
      <c r="B12" s="346" t="s">
        <v>287</v>
      </c>
      <c r="C12" s="343">
        <v>21964</v>
      </c>
      <c r="D12" s="343">
        <v>22887</v>
      </c>
      <c r="E12" s="343">
        <v>21890</v>
      </c>
      <c r="F12" s="340">
        <f>mvalloc!F8</f>
        <v>28370</v>
      </c>
    </row>
    <row r="13" spans="2:6" ht="15">
      <c r="B13" s="342" t="s">
        <v>355</v>
      </c>
      <c r="C13" s="343"/>
      <c r="D13" s="343">
        <v>0</v>
      </c>
      <c r="E13" s="343">
        <v>0</v>
      </c>
      <c r="F13" s="340">
        <f>inputOth!E11</f>
        <v>0</v>
      </c>
    </row>
    <row r="14" spans="2:6" ht="15">
      <c r="B14" s="346" t="s">
        <v>878</v>
      </c>
      <c r="C14" s="343"/>
      <c r="D14" s="343">
        <v>0</v>
      </c>
      <c r="E14" s="343">
        <v>0</v>
      </c>
      <c r="F14" s="340">
        <f>inputOth!E18</f>
        <v>0</v>
      </c>
    </row>
    <row r="15" spans="2:6" ht="15">
      <c r="B15" s="346" t="s">
        <v>879</v>
      </c>
      <c r="C15" s="343">
        <v>770729</v>
      </c>
      <c r="D15" s="343">
        <v>578550</v>
      </c>
      <c r="E15" s="343">
        <v>628600</v>
      </c>
      <c r="F15" s="340">
        <v>500550</v>
      </c>
    </row>
    <row r="16" spans="2:6" ht="15">
      <c r="B16" s="346" t="s">
        <v>880</v>
      </c>
      <c r="C16" s="343">
        <v>16070</v>
      </c>
      <c r="D16" s="343">
        <v>13700</v>
      </c>
      <c r="E16" s="343">
        <v>13600</v>
      </c>
      <c r="F16" s="340">
        <v>14910</v>
      </c>
    </row>
    <row r="17" spans="2:6" ht="15">
      <c r="B17" s="346" t="s">
        <v>881</v>
      </c>
      <c r="C17" s="343">
        <v>2985227</v>
      </c>
      <c r="D17" s="343">
        <v>2915000</v>
      </c>
      <c r="E17" s="343">
        <v>3020000</v>
      </c>
      <c r="F17" s="345">
        <v>3029000</v>
      </c>
    </row>
    <row r="18" spans="2:6" ht="15">
      <c r="B18" s="346" t="s">
        <v>882</v>
      </c>
      <c r="C18" s="343">
        <v>632208</v>
      </c>
      <c r="D18" s="343">
        <v>612000</v>
      </c>
      <c r="E18" s="343">
        <v>670000</v>
      </c>
      <c r="F18" s="345">
        <v>683400</v>
      </c>
    </row>
    <row r="19" spans="2:6" ht="15">
      <c r="B19" s="346" t="s">
        <v>1003</v>
      </c>
      <c r="C19" s="343">
        <v>0</v>
      </c>
      <c r="D19" s="343">
        <v>0</v>
      </c>
      <c r="E19" s="343">
        <v>100000</v>
      </c>
      <c r="F19" s="345">
        <v>60000</v>
      </c>
    </row>
    <row r="20" spans="2:6" ht="15">
      <c r="B20" s="346" t="s">
        <v>883</v>
      </c>
      <c r="C20" s="343">
        <v>17428</v>
      </c>
      <c r="D20" s="343">
        <v>20000</v>
      </c>
      <c r="E20" s="343">
        <v>13000</v>
      </c>
      <c r="F20" s="345">
        <v>13000</v>
      </c>
    </row>
    <row r="21" spans="2:6" ht="15">
      <c r="B21" s="346" t="s">
        <v>884</v>
      </c>
      <c r="C21" s="343">
        <v>959102</v>
      </c>
      <c r="D21" s="343">
        <v>1210000</v>
      </c>
      <c r="E21" s="343">
        <v>1300000</v>
      </c>
      <c r="F21" s="345">
        <v>1430000</v>
      </c>
    </row>
    <row r="22" spans="2:6" ht="15">
      <c r="B22" s="346" t="s">
        <v>885</v>
      </c>
      <c r="C22" s="343"/>
      <c r="D22" s="343">
        <v>0</v>
      </c>
      <c r="E22" s="343">
        <v>0</v>
      </c>
      <c r="F22" s="345">
        <v>2266500</v>
      </c>
    </row>
    <row r="23" spans="2:6" ht="15">
      <c r="B23" s="346" t="s">
        <v>886</v>
      </c>
      <c r="C23" s="343">
        <v>4505</v>
      </c>
      <c r="D23" s="343">
        <v>4000</v>
      </c>
      <c r="E23" s="343">
        <v>4500</v>
      </c>
      <c r="F23" s="345">
        <v>4500</v>
      </c>
    </row>
    <row r="24" spans="2:6" ht="15">
      <c r="B24" s="346" t="s">
        <v>887</v>
      </c>
      <c r="C24" s="343">
        <v>992489</v>
      </c>
      <c r="D24" s="343">
        <v>960000</v>
      </c>
      <c r="E24" s="343">
        <v>980000</v>
      </c>
      <c r="F24" s="345">
        <v>980000</v>
      </c>
    </row>
    <row r="25" spans="2:6" ht="15">
      <c r="B25" s="346" t="s">
        <v>888</v>
      </c>
      <c r="C25" s="343">
        <v>29517</v>
      </c>
      <c r="D25" s="343">
        <v>29517</v>
      </c>
      <c r="E25" s="343">
        <v>29517</v>
      </c>
      <c r="F25" s="345">
        <v>29517</v>
      </c>
    </row>
    <row r="26" spans="2:6" ht="15">
      <c r="B26" s="346" t="s">
        <v>889</v>
      </c>
      <c r="C26" s="343">
        <v>6034</v>
      </c>
      <c r="D26" s="343">
        <v>10000</v>
      </c>
      <c r="E26" s="343">
        <v>5000</v>
      </c>
      <c r="F26" s="345">
        <v>5000</v>
      </c>
    </row>
    <row r="27" spans="2:6" ht="15">
      <c r="B27" s="346" t="s">
        <v>890</v>
      </c>
      <c r="C27" s="343">
        <v>46425</v>
      </c>
      <c r="D27" s="343">
        <v>50000</v>
      </c>
      <c r="E27" s="343">
        <v>45000</v>
      </c>
      <c r="F27" s="345">
        <v>45000</v>
      </c>
    </row>
    <row r="28" spans="2:6" ht="15">
      <c r="B28" s="346" t="s">
        <v>891</v>
      </c>
      <c r="C28" s="343">
        <v>80785</v>
      </c>
      <c r="D28" s="343">
        <v>105000</v>
      </c>
      <c r="E28" s="343">
        <v>85000</v>
      </c>
      <c r="F28" s="345">
        <v>85000</v>
      </c>
    </row>
    <row r="29" spans="2:6" ht="15">
      <c r="B29" s="346" t="s">
        <v>892</v>
      </c>
      <c r="C29" s="343">
        <v>2589463</v>
      </c>
      <c r="D29" s="343">
        <v>3193000</v>
      </c>
      <c r="E29" s="343">
        <v>3000000</v>
      </c>
      <c r="F29" s="345">
        <v>3000000</v>
      </c>
    </row>
    <row r="30" spans="2:6" ht="15">
      <c r="B30" s="346" t="s">
        <v>893</v>
      </c>
      <c r="C30" s="343">
        <v>13519</v>
      </c>
      <c r="D30" s="343">
        <v>15000</v>
      </c>
      <c r="E30" s="343">
        <v>15000</v>
      </c>
      <c r="F30" s="345">
        <v>15000</v>
      </c>
    </row>
    <row r="31" spans="2:6" ht="15">
      <c r="B31" s="346" t="s">
        <v>989</v>
      </c>
      <c r="C31" s="343">
        <v>384</v>
      </c>
      <c r="D31" s="343"/>
      <c r="E31" s="343">
        <v>400</v>
      </c>
      <c r="F31" s="345">
        <v>400</v>
      </c>
    </row>
    <row r="32" spans="2:6" ht="15">
      <c r="B32" s="346" t="s">
        <v>894</v>
      </c>
      <c r="C32" s="343">
        <v>20418</v>
      </c>
      <c r="D32" s="343">
        <v>22000</v>
      </c>
      <c r="E32" s="343">
        <v>95000</v>
      </c>
      <c r="F32" s="345">
        <v>95000</v>
      </c>
    </row>
    <row r="33" spans="2:6" ht="15">
      <c r="B33" s="346" t="s">
        <v>895</v>
      </c>
      <c r="C33" s="343">
        <v>68980</v>
      </c>
      <c r="D33" s="343">
        <v>75000</v>
      </c>
      <c r="E33" s="343">
        <v>70000</v>
      </c>
      <c r="F33" s="345">
        <v>70000</v>
      </c>
    </row>
    <row r="34" spans="2:6" ht="15">
      <c r="B34" s="346" t="s">
        <v>896</v>
      </c>
      <c r="C34" s="343">
        <v>80395</v>
      </c>
      <c r="D34" s="343">
        <v>70000</v>
      </c>
      <c r="E34" s="343">
        <v>85000</v>
      </c>
      <c r="F34" s="345">
        <v>85000</v>
      </c>
    </row>
    <row r="35" spans="2:6" ht="15">
      <c r="B35" s="346" t="s">
        <v>897</v>
      </c>
      <c r="C35" s="343">
        <v>926</v>
      </c>
      <c r="D35" s="343">
        <v>1000</v>
      </c>
      <c r="E35" s="343">
        <v>2000</v>
      </c>
      <c r="F35" s="345">
        <v>2000</v>
      </c>
    </row>
    <row r="36" spans="2:6" ht="15">
      <c r="B36" s="346" t="s">
        <v>898</v>
      </c>
      <c r="C36" s="343">
        <v>271628</v>
      </c>
      <c r="D36" s="343">
        <v>308000</v>
      </c>
      <c r="E36" s="343">
        <v>263000</v>
      </c>
      <c r="F36" s="345">
        <v>276150</v>
      </c>
    </row>
    <row r="37" spans="2:6" ht="15">
      <c r="B37" s="346" t="s">
        <v>899</v>
      </c>
      <c r="C37" s="343">
        <v>159691</v>
      </c>
      <c r="D37" s="343">
        <v>105000</v>
      </c>
      <c r="E37" s="343">
        <v>140000</v>
      </c>
      <c r="F37" s="345">
        <v>140000</v>
      </c>
    </row>
    <row r="38" spans="2:6" ht="15">
      <c r="B38" s="346" t="s">
        <v>900</v>
      </c>
      <c r="C38" s="343">
        <v>51353</v>
      </c>
      <c r="D38" s="343">
        <v>70000</v>
      </c>
      <c r="E38" s="343">
        <v>80000</v>
      </c>
      <c r="F38" s="345">
        <v>80000</v>
      </c>
    </row>
    <row r="39" spans="2:6" ht="15">
      <c r="B39" s="346" t="s">
        <v>901</v>
      </c>
      <c r="C39" s="343">
        <v>150992</v>
      </c>
      <c r="D39" s="343">
        <v>160000</v>
      </c>
      <c r="E39" s="343">
        <v>155000</v>
      </c>
      <c r="F39" s="345">
        <v>155000</v>
      </c>
    </row>
    <row r="40" spans="2:6" ht="15">
      <c r="B40" s="346" t="s">
        <v>887</v>
      </c>
      <c r="C40" s="343">
        <v>68296</v>
      </c>
      <c r="D40" s="343">
        <v>70000</v>
      </c>
      <c r="E40" s="343">
        <v>70000</v>
      </c>
      <c r="F40" s="345">
        <v>70000</v>
      </c>
    </row>
    <row r="41" spans="2:6" ht="15">
      <c r="B41" s="346" t="s">
        <v>990</v>
      </c>
      <c r="C41" s="343">
        <v>3100</v>
      </c>
      <c r="D41" s="343">
        <v>0</v>
      </c>
      <c r="E41" s="343">
        <v>0</v>
      </c>
      <c r="F41" s="345">
        <v>0</v>
      </c>
    </row>
    <row r="42" spans="2:6" ht="15">
      <c r="B42" s="346" t="s">
        <v>1004</v>
      </c>
      <c r="C42" s="343">
        <v>0</v>
      </c>
      <c r="D42" s="343">
        <v>0</v>
      </c>
      <c r="E42" s="343">
        <v>160000</v>
      </c>
      <c r="F42" s="345">
        <v>160000</v>
      </c>
    </row>
    <row r="43" spans="2:6" ht="15">
      <c r="B43" s="346" t="s">
        <v>902</v>
      </c>
      <c r="C43" s="343">
        <v>593890</v>
      </c>
      <c r="D43" s="343">
        <v>337700</v>
      </c>
      <c r="E43" s="343">
        <v>365600</v>
      </c>
      <c r="F43" s="345">
        <v>365600</v>
      </c>
    </row>
    <row r="44" spans="2:6" ht="15">
      <c r="B44" s="346" t="s">
        <v>903</v>
      </c>
      <c r="C44" s="343">
        <v>1473471</v>
      </c>
      <c r="D44" s="343">
        <v>1250000</v>
      </c>
      <c r="E44" s="343">
        <v>1100000</v>
      </c>
      <c r="F44" s="345">
        <v>1100000</v>
      </c>
    </row>
    <row r="45" spans="2:6" ht="15">
      <c r="B45" s="346" t="s">
        <v>904</v>
      </c>
      <c r="C45" s="343"/>
      <c r="D45" s="343">
        <v>7000</v>
      </c>
      <c r="E45" s="343">
        <v>6000</v>
      </c>
      <c r="F45" s="345">
        <v>6000</v>
      </c>
    </row>
    <row r="46" spans="2:6" ht="15">
      <c r="B46" s="346" t="s">
        <v>905</v>
      </c>
      <c r="C46" s="343">
        <v>5599</v>
      </c>
      <c r="D46" s="343">
        <v>0</v>
      </c>
      <c r="E46" s="343">
        <v>0</v>
      </c>
      <c r="F46" s="345">
        <v>0</v>
      </c>
    </row>
    <row r="47" spans="2:6" ht="15">
      <c r="B47" s="346" t="s">
        <v>906</v>
      </c>
      <c r="C47" s="343">
        <v>76390</v>
      </c>
      <c r="D47" s="343">
        <v>60000</v>
      </c>
      <c r="E47" s="343">
        <v>55000</v>
      </c>
      <c r="F47" s="345">
        <v>55000</v>
      </c>
    </row>
    <row r="48" spans="2:6" ht="15">
      <c r="B48" s="346" t="s">
        <v>907</v>
      </c>
      <c r="C48" s="343">
        <v>14025</v>
      </c>
      <c r="D48" s="343">
        <v>10000</v>
      </c>
      <c r="E48" s="343">
        <f>41663+10000-12262</f>
        <v>39401</v>
      </c>
      <c r="F48" s="345">
        <v>10000</v>
      </c>
    </row>
    <row r="49" spans="2:6" ht="15">
      <c r="B49" s="346" t="s">
        <v>908</v>
      </c>
      <c r="C49" s="343">
        <v>810815</v>
      </c>
      <c r="D49" s="343">
        <v>465972</v>
      </c>
      <c r="E49" s="343">
        <v>765972</v>
      </c>
      <c r="F49" s="345">
        <v>665972</v>
      </c>
    </row>
    <row r="50" spans="2:6" ht="15">
      <c r="B50" s="346" t="s">
        <v>909</v>
      </c>
      <c r="C50" s="343">
        <v>3128</v>
      </c>
      <c r="D50" s="343">
        <v>5000</v>
      </c>
      <c r="E50" s="343">
        <v>7000</v>
      </c>
      <c r="F50" s="345">
        <v>7000</v>
      </c>
    </row>
    <row r="51" spans="2:6" ht="15">
      <c r="B51" s="346" t="s">
        <v>910</v>
      </c>
      <c r="C51" s="343">
        <v>138061</v>
      </c>
      <c r="D51" s="343">
        <v>25000</v>
      </c>
      <c r="E51" s="343">
        <v>25000</v>
      </c>
      <c r="F51" s="345">
        <v>25000</v>
      </c>
    </row>
    <row r="52" spans="2:6" ht="15">
      <c r="B52" s="346" t="s">
        <v>911</v>
      </c>
      <c r="C52" s="343">
        <v>370</v>
      </c>
      <c r="D52" s="343">
        <v>500</v>
      </c>
      <c r="E52" s="343">
        <v>5000</v>
      </c>
      <c r="F52" s="345">
        <v>5000</v>
      </c>
    </row>
    <row r="53" spans="2:6" ht="15">
      <c r="B53" s="346" t="s">
        <v>991</v>
      </c>
      <c r="C53" s="343">
        <v>807</v>
      </c>
      <c r="D53" s="343">
        <v>0</v>
      </c>
      <c r="E53" s="343">
        <v>0</v>
      </c>
      <c r="F53" s="345">
        <v>0</v>
      </c>
    </row>
    <row r="54" spans="2:6" ht="15">
      <c r="B54" s="346" t="s">
        <v>912</v>
      </c>
      <c r="C54" s="343">
        <v>8911</v>
      </c>
      <c r="D54" s="343">
        <v>10000</v>
      </c>
      <c r="E54" s="343">
        <v>9000</v>
      </c>
      <c r="F54" s="345">
        <v>9000</v>
      </c>
    </row>
    <row r="55" spans="2:6" ht="15">
      <c r="B55" s="346" t="s">
        <v>913</v>
      </c>
      <c r="C55" s="343">
        <v>27549</v>
      </c>
      <c r="D55" s="343">
        <v>25000</v>
      </c>
      <c r="E55" s="343">
        <v>25000</v>
      </c>
      <c r="F55" s="345">
        <v>25000</v>
      </c>
    </row>
    <row r="56" spans="2:6" ht="15">
      <c r="B56" s="346" t="s">
        <v>914</v>
      </c>
      <c r="C56" s="343">
        <v>10153</v>
      </c>
      <c r="D56" s="343">
        <v>10000</v>
      </c>
      <c r="E56" s="343">
        <v>12000</v>
      </c>
      <c r="F56" s="345">
        <v>12000</v>
      </c>
    </row>
    <row r="57" spans="2:6" ht="15">
      <c r="B57" s="346" t="s">
        <v>915</v>
      </c>
      <c r="C57" s="343">
        <v>715</v>
      </c>
      <c r="D57" s="343">
        <v>0</v>
      </c>
      <c r="E57" s="343">
        <v>0</v>
      </c>
      <c r="F57" s="345">
        <v>0</v>
      </c>
    </row>
    <row r="58" spans="2:6" ht="15">
      <c r="B58" s="346" t="s">
        <v>916</v>
      </c>
      <c r="C58" s="343">
        <v>19000</v>
      </c>
      <c r="D58" s="343">
        <v>20000</v>
      </c>
      <c r="E58" s="343">
        <v>20000</v>
      </c>
      <c r="F58" s="345">
        <v>20000</v>
      </c>
    </row>
    <row r="59" spans="2:6" ht="15">
      <c r="B59" s="346" t="s">
        <v>917</v>
      </c>
      <c r="C59" s="343">
        <v>31667</v>
      </c>
      <c r="D59" s="343">
        <v>50000</v>
      </c>
      <c r="E59" s="343">
        <v>85000</v>
      </c>
      <c r="F59" s="345">
        <v>85000</v>
      </c>
    </row>
    <row r="60" spans="2:6" ht="15">
      <c r="B60" s="346" t="s">
        <v>918</v>
      </c>
      <c r="C60" s="343">
        <v>201575</v>
      </c>
      <c r="D60" s="343">
        <v>50000</v>
      </c>
      <c r="E60" s="343">
        <v>50000</v>
      </c>
      <c r="F60" s="345">
        <v>50000</v>
      </c>
    </row>
    <row r="61" spans="2:6" ht="15">
      <c r="B61" s="346" t="s">
        <v>919</v>
      </c>
      <c r="C61" s="343">
        <v>121901</v>
      </c>
      <c r="D61" s="343">
        <v>675000</v>
      </c>
      <c r="E61" s="343">
        <v>1000000</v>
      </c>
      <c r="F61" s="345">
        <v>0</v>
      </c>
    </row>
    <row r="62" spans="2:6" ht="15">
      <c r="B62" s="346" t="s">
        <v>920</v>
      </c>
      <c r="C62" s="343">
        <v>216874</v>
      </c>
      <c r="D62" s="343">
        <v>0</v>
      </c>
      <c r="E62" s="343">
        <v>0</v>
      </c>
      <c r="F62" s="345">
        <v>0</v>
      </c>
    </row>
    <row r="63" spans="2:6" ht="15">
      <c r="B63" s="346" t="s">
        <v>992</v>
      </c>
      <c r="C63" s="343">
        <v>0</v>
      </c>
      <c r="D63" s="343">
        <v>0</v>
      </c>
      <c r="E63" s="343">
        <v>0</v>
      </c>
      <c r="F63" s="345">
        <v>0</v>
      </c>
    </row>
    <row r="64" spans="2:6" ht="15">
      <c r="B64" s="346" t="s">
        <v>921</v>
      </c>
      <c r="C64" s="343">
        <v>0</v>
      </c>
      <c r="D64" s="343">
        <v>25000</v>
      </c>
      <c r="E64" s="343">
        <v>25000</v>
      </c>
      <c r="F64" s="345">
        <v>0</v>
      </c>
    </row>
    <row r="65" spans="2:6" ht="15">
      <c r="B65" s="346" t="s">
        <v>922</v>
      </c>
      <c r="C65" s="343">
        <v>200000</v>
      </c>
      <c r="D65" s="343">
        <v>0</v>
      </c>
      <c r="E65" s="343">
        <v>12262</v>
      </c>
      <c r="F65" s="345">
        <v>0</v>
      </c>
    </row>
    <row r="66" spans="2:6" ht="15">
      <c r="B66" s="346" t="s">
        <v>923</v>
      </c>
      <c r="C66" s="343">
        <v>250000</v>
      </c>
      <c r="D66" s="343">
        <v>250000</v>
      </c>
      <c r="E66" s="343">
        <v>250000</v>
      </c>
      <c r="F66" s="345">
        <v>0</v>
      </c>
    </row>
    <row r="67" spans="2:6" ht="15">
      <c r="B67" s="346" t="s">
        <v>1006</v>
      </c>
      <c r="C67" s="343">
        <v>0</v>
      </c>
      <c r="D67" s="343">
        <v>0</v>
      </c>
      <c r="E67" s="343">
        <v>0</v>
      </c>
      <c r="F67" s="345">
        <v>200000</v>
      </c>
    </row>
    <row r="68" spans="2:6" ht="15">
      <c r="B68" s="346" t="s">
        <v>924</v>
      </c>
      <c r="C68" s="343">
        <v>2850000</v>
      </c>
      <c r="D68" s="343">
        <v>700000</v>
      </c>
      <c r="E68" s="343">
        <v>700000</v>
      </c>
      <c r="F68" s="345">
        <v>0</v>
      </c>
    </row>
    <row r="69" spans="2:6" ht="15">
      <c r="B69" s="347" t="s">
        <v>68</v>
      </c>
      <c r="C69" s="343"/>
      <c r="D69" s="343">
        <v>0</v>
      </c>
      <c r="E69" s="343">
        <v>0</v>
      </c>
      <c r="F69" s="345">
        <v>0</v>
      </c>
    </row>
    <row r="70" spans="2:6" ht="15">
      <c r="B70" s="362" t="s">
        <v>703</v>
      </c>
      <c r="C70" s="363">
        <f>IF(C71*0.1&lt;C69,"Exceed 10% Rule","")</f>
      </c>
      <c r="D70" s="363">
        <f>IF(D71*0.1&lt;D69,"Exceed 10% Rule","")</f>
      </c>
      <c r="E70" s="363">
        <f>IF(E71*0.1&lt;E69,"Exceed 10% Rule","")</f>
      </c>
      <c r="F70" s="364">
        <f>IF(F71*0.1+F96&lt;F69,"Exceed 10% Rule","")</f>
      </c>
    </row>
    <row r="71" spans="2:6" ht="15.75">
      <c r="B71" s="348" t="s">
        <v>160</v>
      </c>
      <c r="C71" s="349">
        <f>SUM(C8:C69)</f>
        <v>46149990</v>
      </c>
      <c r="D71" s="349">
        <f>SUM(D8:D69)</f>
        <v>46602784.949999996</v>
      </c>
      <c r="E71" s="349">
        <f>SUM(E8:E69)</f>
        <v>47477512</v>
      </c>
      <c r="F71" s="350">
        <f>SUM(F7:F69)</f>
        <v>20315006</v>
      </c>
    </row>
    <row r="72" spans="2:6" ht="15.75">
      <c r="B72" s="348" t="s">
        <v>161</v>
      </c>
      <c r="C72" s="349">
        <f>C6+C71</f>
        <v>47412876</v>
      </c>
      <c r="D72" s="349">
        <f>D6+D71</f>
        <v>46815445.949999996</v>
      </c>
      <c r="E72" s="349">
        <f>E6+E71</f>
        <v>48200222</v>
      </c>
      <c r="F72" s="350">
        <f>F6+F71</f>
        <v>20593227</v>
      </c>
    </row>
    <row r="73" spans="2:6" ht="15">
      <c r="B73" s="325"/>
      <c r="C73" s="324"/>
      <c r="D73" s="324"/>
      <c r="E73" s="324"/>
      <c r="F73" s="324"/>
    </row>
    <row r="74" spans="2:6" ht="15">
      <c r="B74" s="324" t="str">
        <f>inputPrYr!C2</f>
        <v>Wyandotte County</v>
      </c>
      <c r="C74" s="324"/>
      <c r="D74" s="324"/>
      <c r="E74" s="324"/>
      <c r="F74" s="326">
        <f>inputPrYr!C4</f>
        <v>2012</v>
      </c>
    </row>
    <row r="75" spans="2:6" ht="15">
      <c r="B75" s="325"/>
      <c r="C75" s="324"/>
      <c r="D75" s="324"/>
      <c r="E75" s="324"/>
      <c r="F75" s="327"/>
    </row>
    <row r="76" spans="2:6" ht="15.75">
      <c r="B76" s="351" t="s">
        <v>261</v>
      </c>
      <c r="C76" s="352"/>
      <c r="D76" s="352"/>
      <c r="E76" s="352"/>
      <c r="F76" s="352"/>
    </row>
    <row r="77" spans="2:6" ht="15">
      <c r="B77" s="325" t="s">
        <v>155</v>
      </c>
      <c r="C77" s="331" t="s">
        <v>926</v>
      </c>
      <c r="D77" s="331">
        <v>2011</v>
      </c>
      <c r="E77" s="332" t="s">
        <v>928</v>
      </c>
      <c r="F77" s="333" t="s">
        <v>931</v>
      </c>
    </row>
    <row r="78" spans="2:6" ht="15">
      <c r="B78" s="353" t="s">
        <v>162</v>
      </c>
      <c r="C78" s="335" t="s">
        <v>927</v>
      </c>
      <c r="D78" s="335" t="s">
        <v>925</v>
      </c>
      <c r="E78" s="335" t="s">
        <v>929</v>
      </c>
      <c r="F78" s="336" t="s">
        <v>930</v>
      </c>
    </row>
    <row r="79" spans="2:6" ht="15.75">
      <c r="B79" s="348" t="s">
        <v>161</v>
      </c>
      <c r="C79" s="339">
        <f>C72</f>
        <v>47412876</v>
      </c>
      <c r="D79" s="339"/>
      <c r="E79" s="339">
        <f>E72</f>
        <v>48200222</v>
      </c>
      <c r="F79" s="340">
        <f>F72</f>
        <v>20593227</v>
      </c>
    </row>
    <row r="80" spans="2:6" ht="15">
      <c r="B80" s="337" t="s">
        <v>163</v>
      </c>
      <c r="C80" s="339"/>
      <c r="D80" s="339"/>
      <c r="E80" s="339"/>
      <c r="F80" s="340"/>
    </row>
    <row r="81" spans="2:6" ht="15">
      <c r="B81" s="346" t="s">
        <v>932</v>
      </c>
      <c r="C81" s="339">
        <v>31628069</v>
      </c>
      <c r="D81" s="339">
        <v>30924516</v>
      </c>
      <c r="E81" s="339">
        <v>30779381</v>
      </c>
      <c r="F81" s="340">
        <v>32943890</v>
      </c>
    </row>
    <row r="82" spans="2:6" ht="15">
      <c r="B82" s="346" t="s">
        <v>933</v>
      </c>
      <c r="C82" s="339">
        <v>12577001</v>
      </c>
      <c r="D82" s="339">
        <v>12215791</v>
      </c>
      <c r="E82" s="339">
        <v>12766059</v>
      </c>
      <c r="F82" s="340">
        <v>12803918</v>
      </c>
    </row>
    <row r="83" spans="2:6" ht="15">
      <c r="B83" s="346" t="s">
        <v>934</v>
      </c>
      <c r="C83" s="339">
        <v>1300973</v>
      </c>
      <c r="D83" s="339">
        <v>1926042</v>
      </c>
      <c r="E83" s="339">
        <f>2619353-250000</f>
        <v>2369353</v>
      </c>
      <c r="F83" s="340">
        <v>1401711</v>
      </c>
    </row>
    <row r="84" spans="2:6" ht="15">
      <c r="B84" s="346" t="s">
        <v>935</v>
      </c>
      <c r="C84" s="339">
        <v>851372</v>
      </c>
      <c r="D84" s="339">
        <v>474479</v>
      </c>
      <c r="E84" s="339">
        <v>491074</v>
      </c>
      <c r="F84" s="340">
        <v>612428</v>
      </c>
    </row>
    <row r="85" spans="2:6" ht="15">
      <c r="B85" s="346" t="s">
        <v>936</v>
      </c>
      <c r="C85" s="339">
        <v>324351</v>
      </c>
      <c r="D85" s="339">
        <v>574090</v>
      </c>
      <c r="E85" s="339">
        <f>358090+303044+150000</f>
        <v>811134</v>
      </c>
      <c r="F85" s="340">
        <f>517000+282000+350000-40000</f>
        <v>1109000</v>
      </c>
    </row>
    <row r="86" spans="2:6" ht="15">
      <c r="B86" s="346" t="s">
        <v>182</v>
      </c>
      <c r="C86" s="339">
        <f>'gen-detail'!B43</f>
        <v>0</v>
      </c>
      <c r="D86" s="339">
        <v>0</v>
      </c>
      <c r="E86" s="339">
        <f>'gen-detail'!C43</f>
        <v>0</v>
      </c>
      <c r="F86" s="340">
        <f>'gen-detail'!D43</f>
        <v>0</v>
      </c>
    </row>
    <row r="87" spans="2:6" ht="15">
      <c r="B87" s="347" t="s">
        <v>68</v>
      </c>
      <c r="C87" s="343">
        <v>8400</v>
      </c>
      <c r="D87" s="343">
        <v>605000</v>
      </c>
      <c r="E87" s="343">
        <f>605000+100000</f>
        <v>705000</v>
      </c>
      <c r="F87" s="354">
        <f>70000+601000</f>
        <v>671000</v>
      </c>
    </row>
    <row r="88" spans="2:11" ht="15">
      <c r="B88" s="362" t="s">
        <v>702</v>
      </c>
      <c r="C88" s="363">
        <f>IF(C89*0.1&lt;C87,"Exceed 10% Rule","")</f>
      </c>
      <c r="D88" s="363">
        <f>IF(D89*0.1&lt;D87,"Exceed 10% Rule","")</f>
      </c>
      <c r="E88" s="363">
        <f>IF(E89*0.1&lt;E87,"Exceed 10% Rule","")</f>
      </c>
      <c r="F88" s="364">
        <f>IF(F89*0.1&lt;F87,"Exceed 10% Rule","")</f>
      </c>
      <c r="H88" s="816" t="str">
        <f>CONCATENATE("Projected Carryover Into ",F1+1,"")</f>
        <v>Projected Carryover Into 2013</v>
      </c>
      <c r="I88" s="817"/>
      <c r="J88" s="817"/>
      <c r="K88" s="818"/>
    </row>
    <row r="89" spans="2:11" ht="15.75">
      <c r="B89" s="348" t="s">
        <v>164</v>
      </c>
      <c r="C89" s="349">
        <f>SUM(C81:C87)</f>
        <v>46690166</v>
      </c>
      <c r="D89" s="349">
        <f>SUM(D81:D87)</f>
        <v>46719918</v>
      </c>
      <c r="E89" s="349">
        <f>SUM(E81:E87)</f>
        <v>47922001</v>
      </c>
      <c r="F89" s="349">
        <f>SUM(F81:F87)</f>
        <v>49541947</v>
      </c>
      <c r="H89" s="294"/>
      <c r="I89" s="295"/>
      <c r="J89" s="295"/>
      <c r="K89" s="296"/>
    </row>
    <row r="90" spans="2:11" ht="15">
      <c r="B90" s="355" t="s">
        <v>304</v>
      </c>
      <c r="C90" s="339">
        <f>C72-C89</f>
        <v>722710</v>
      </c>
      <c r="D90" s="339">
        <f>D72-D89</f>
        <v>95527.94999999553</v>
      </c>
      <c r="E90" s="339">
        <f>E72-E89</f>
        <v>278221</v>
      </c>
      <c r="F90" s="344" t="s">
        <v>140</v>
      </c>
      <c r="H90" s="297">
        <f>E90</f>
        <v>278221</v>
      </c>
      <c r="I90" s="298" t="str">
        <f>CONCATENATE("",F1-1," Ending Cash Balance (est.)")</f>
        <v>2011 Ending Cash Balance (est.)</v>
      </c>
      <c r="J90" s="299"/>
      <c r="K90" s="296"/>
    </row>
    <row r="91" spans="2:11" ht="15">
      <c r="B91" s="356" t="str">
        <f>CONCATENATE("",F$1-2,"/",F$1-1," Budget Authority Amount:")</f>
        <v>2010/2011 Budget Authority Amount:</v>
      </c>
      <c r="C91" s="357">
        <f>inputOth!$B31</f>
        <v>47267794</v>
      </c>
      <c r="D91" s="357"/>
      <c r="E91" s="357">
        <f>inputPrYr!$D16</f>
        <v>47922001</v>
      </c>
      <c r="F91" s="344" t="s">
        <v>140</v>
      </c>
      <c r="G91" s="300"/>
      <c r="H91" s="297">
        <f>F71</f>
        <v>20315006</v>
      </c>
      <c r="I91" s="301" t="str">
        <f>CONCATENATE("",F1," Non-AV Receipts (est.)")</f>
        <v>2012 Non-AV Receipts (est.)</v>
      </c>
      <c r="J91" s="299"/>
      <c r="K91" s="296"/>
    </row>
    <row r="92" spans="2:11" ht="15">
      <c r="B92" s="356"/>
      <c r="C92" s="812" t="s">
        <v>705</v>
      </c>
      <c r="D92" s="812"/>
      <c r="E92" s="813"/>
      <c r="F92" s="354">
        <f>507000+361927.320588236-2260</f>
        <v>866667.320588236</v>
      </c>
      <c r="G92" s="302">
        <f>IF(F89/0.95-F89&lt;F92,"Exceeds 5%","")</f>
      </c>
      <c r="H92" s="303">
        <f>F96</f>
        <v>32408029.32058824</v>
      </c>
      <c r="I92" s="301" t="str">
        <f>CONCATENATE("",F1," Ad Valorem Tax (est.)")</f>
        <v>2012 Ad Valorem Tax (est.)</v>
      </c>
      <c r="J92" s="299"/>
      <c r="K92" s="296"/>
    </row>
    <row r="93" spans="2:11" ht="15.75">
      <c r="B93" s="358" t="str">
        <f>CONCATENATE(C108,"     ",E108)</f>
        <v>     </v>
      </c>
      <c r="C93" s="814" t="s">
        <v>706</v>
      </c>
      <c r="D93" s="814"/>
      <c r="E93" s="815"/>
      <c r="F93" s="340">
        <f>F89+F92</f>
        <v>50408614.32058824</v>
      </c>
      <c r="H93" s="297">
        <f>SUM(H90:H92)</f>
        <v>53001256.32058824</v>
      </c>
      <c r="I93" s="301" t="str">
        <f>CONCATENATE("Total ",F1," Resources Available")</f>
        <v>Total 2012 Resources Available</v>
      </c>
      <c r="J93" s="299"/>
      <c r="K93" s="296"/>
    </row>
    <row r="94" spans="2:11" ht="15.75">
      <c r="B94" s="358" t="str">
        <f>CONCATENATE(C109,"     ",E109)</f>
        <v>     </v>
      </c>
      <c r="C94" s="359"/>
      <c r="D94" s="359"/>
      <c r="E94" s="327" t="s">
        <v>165</v>
      </c>
      <c r="F94" s="525">
        <f>IF(F93-F80&gt;0,F93-F79,0)</f>
        <v>29815387.32058824</v>
      </c>
      <c r="H94" s="304"/>
      <c r="I94" s="301"/>
      <c r="J94" s="301"/>
      <c r="K94" s="296"/>
    </row>
    <row r="95" spans="2:11" ht="15">
      <c r="B95" s="356"/>
      <c r="C95" s="360" t="s">
        <v>707</v>
      </c>
      <c r="D95" s="360"/>
      <c r="E95" s="605">
        <f>inputOth!E24</f>
        <v>0.08</v>
      </c>
      <c r="F95" s="525">
        <f>ROUND(IF(E95&gt;0,(F94/((100-(100*E95))*0.01)-F94),0),0)</f>
        <v>2592642</v>
      </c>
      <c r="H95" s="303">
        <f>C89*0.05+C89</f>
        <v>49024674.3</v>
      </c>
      <c r="I95" s="301" t="str">
        <f>CONCATENATE("Less ",F1-2," Expenditures + 5%")</f>
        <v>Less 2010 Expenditures + 5%</v>
      </c>
      <c r="J95" s="299"/>
      <c r="K95" s="296"/>
    </row>
    <row r="96" spans="2:11" ht="15">
      <c r="B96" s="325"/>
      <c r="C96" s="821" t="str">
        <f>CONCATENATE("Amount of  ",$F$1-1," Ad Valorem Tax")</f>
        <v>Amount of  2011 Ad Valorem Tax</v>
      </c>
      <c r="D96" s="821"/>
      <c r="E96" s="822"/>
      <c r="F96" s="365">
        <f>F94+F95</f>
        <v>32408029.32058824</v>
      </c>
      <c r="H96" s="305">
        <f>H93-H95</f>
        <v>3976582.0205882415</v>
      </c>
      <c r="I96" s="306" t="str">
        <f>CONCATENATE("Projected ",F1," Carryover (est.)")</f>
        <v>Projected 2012 Carryover (est.)</v>
      </c>
      <c r="J96" s="307"/>
      <c r="K96" s="308"/>
    </row>
    <row r="97" spans="2:11" ht="15">
      <c r="B97" s="325"/>
      <c r="C97" s="325"/>
      <c r="D97" s="325"/>
      <c r="E97" s="325"/>
      <c r="F97" s="325"/>
      <c r="H97" s="309"/>
      <c r="I97" s="309"/>
      <c r="J97" s="309"/>
      <c r="K97" s="309"/>
    </row>
    <row r="98" spans="2:11" ht="15">
      <c r="B98" s="820"/>
      <c r="C98" s="820"/>
      <c r="D98" s="820"/>
      <c r="E98" s="820"/>
      <c r="F98" s="820"/>
      <c r="H98" s="310">
        <f>IF(inputOth!E6=0,"",ROUND(general!F96/inputOth!E6*1000,3))</f>
      </c>
      <c r="I98" s="311" t="str">
        <f>CONCATENATE("Projected ",F1-1," Mill Rate (est.)")</f>
        <v>Projected 2011 Mill Rate (est.)</v>
      </c>
      <c r="J98" s="312"/>
      <c r="K98" s="313"/>
    </row>
    <row r="99" spans="8:11" ht="15">
      <c r="H99" s="314"/>
      <c r="I99" s="314"/>
      <c r="J99" s="314"/>
      <c r="K99" s="314"/>
    </row>
    <row r="100" spans="8:11" ht="15">
      <c r="H100" s="816" t="str">
        <f>CONCATENATE("Desired Carryover Into ",F1+1,"")</f>
        <v>Desired Carryover Into 2013</v>
      </c>
      <c r="I100" s="819"/>
      <c r="J100" s="819"/>
      <c r="K100" s="818"/>
    </row>
    <row r="101" spans="8:11" ht="15">
      <c r="H101" s="315"/>
      <c r="I101" s="295"/>
      <c r="J101" s="301"/>
      <c r="K101" s="316"/>
    </row>
    <row r="102" spans="8:11" ht="15">
      <c r="H102" s="317" t="s">
        <v>708</v>
      </c>
      <c r="I102" s="301"/>
      <c r="J102" s="301"/>
      <c r="K102" s="318"/>
    </row>
    <row r="103" spans="8:11" ht="15">
      <c r="H103" s="315" t="s">
        <v>709</v>
      </c>
      <c r="I103" s="295"/>
      <c r="J103" s="295"/>
      <c r="K103" s="319">
        <f>IF(K102=0,"",ROUND((K102+F96-H96)/inputOth!E6*1000,3)-general!H98)</f>
      </c>
    </row>
    <row r="104" spans="8:11" ht="15">
      <c r="H104" s="320" t="str">
        <f>CONCATENATE("",F1," Total Expenditures Must Be:")</f>
        <v>2012 Total Expenditures Must Be:</v>
      </c>
      <c r="I104" s="321"/>
      <c r="J104" s="322"/>
      <c r="K104" s="323">
        <f>IF((K102&gt;0),(F89+K102-H96),0)</f>
        <v>0</v>
      </c>
    </row>
    <row r="108" spans="3:5" ht="15" hidden="1">
      <c r="C108" s="293">
        <f>IF(C89&gt;C91,"See Tab A","")</f>
      </c>
      <c r="E108" s="293">
        <f>IF(E89&gt;E91,"See Tab C","")</f>
      </c>
    </row>
    <row r="109" spans="3:5" ht="15" hidden="1">
      <c r="C109" s="293">
        <f>IF(C90&lt;0,"See Tab B","")</f>
      </c>
      <c r="E109" s="293">
        <f>IF(E90&lt;0,"See Tab D","")</f>
      </c>
    </row>
  </sheetData>
  <sheetProtection/>
  <mergeCells count="6">
    <mergeCell ref="C92:E92"/>
    <mergeCell ref="C93:E93"/>
    <mergeCell ref="H88:K88"/>
    <mergeCell ref="H100:K100"/>
    <mergeCell ref="B98:F98"/>
    <mergeCell ref="C96:E96"/>
  </mergeCells>
  <conditionalFormatting sqref="F87">
    <cfRule type="cellIs" priority="3" dxfId="128" operator="greaterThan" stopIfTrue="1">
      <formula>$F$89*0.1</formula>
    </cfRule>
  </conditionalFormatting>
  <conditionalFormatting sqref="F92">
    <cfRule type="cellIs" priority="4" dxfId="128" operator="greaterThan" stopIfTrue="1">
      <formula>$F$89/0.95-$F$89</formula>
    </cfRule>
  </conditionalFormatting>
  <conditionalFormatting sqref="E87">
    <cfRule type="cellIs" priority="5" dxfId="1" operator="greaterThan" stopIfTrue="1">
      <formula>$E$89*0.1</formula>
    </cfRule>
  </conditionalFormatting>
  <conditionalFormatting sqref="C87:D87">
    <cfRule type="cellIs" priority="6" dxfId="1" operator="greaterThan" stopIfTrue="1">
      <formula>$C$89*0.1</formula>
    </cfRule>
  </conditionalFormatting>
  <conditionalFormatting sqref="C90:D90">
    <cfRule type="cellIs" priority="7" dxfId="1" operator="lessThan" stopIfTrue="1">
      <formula>0</formula>
    </cfRule>
  </conditionalFormatting>
  <conditionalFormatting sqref="E89">
    <cfRule type="cellIs" priority="8" dxfId="1" operator="greaterThan" stopIfTrue="1">
      <formula>$E$91</formula>
    </cfRule>
  </conditionalFormatting>
  <conditionalFormatting sqref="C89:D89">
    <cfRule type="cellIs" priority="9" dxfId="1" operator="greaterThan" stopIfTrue="1">
      <formula>$C$91</formula>
    </cfRule>
  </conditionalFormatting>
  <conditionalFormatting sqref="E69">
    <cfRule type="cellIs" priority="10" dxfId="1" operator="greaterThan" stopIfTrue="1">
      <formula>$E$71*0.1</formula>
    </cfRule>
  </conditionalFormatting>
  <conditionalFormatting sqref="C69:D69">
    <cfRule type="cellIs" priority="11" dxfId="1" operator="greaterThan" stopIfTrue="1">
      <formula>$C$71*0.1</formula>
    </cfRule>
  </conditionalFormatting>
  <conditionalFormatting sqref="F69">
    <cfRule type="cellIs" priority="12" dxfId="128" operator="greaterThan" stopIfTrue="1">
      <formula>$F$71*0.1+F96</formula>
    </cfRule>
  </conditionalFormatting>
  <conditionalFormatting sqref="E90">
    <cfRule type="cellIs" priority="2" dxfId="0" operator="lessThan" stopIfTrue="1">
      <formula>0</formula>
    </cfRule>
  </conditionalFormatting>
  <conditionalFormatting sqref="F89">
    <cfRule type="cellIs" priority="1" dxfId="1" operator="greaterThan" stopIfTrue="1">
      <formula>$E$91</formula>
    </cfRule>
  </conditionalFormatting>
  <printOptions/>
  <pageMargins left="1" right="0.5" top="0.81" bottom="0.36" header="0.5" footer="0"/>
  <pageSetup blackAndWhite="1" fitToHeight="2" horizontalDpi="120" verticalDpi="120" orientation="portrait" scale="70" r:id="rId3"/>
  <headerFooter alignWithMargins="0">
    <oddHeader>&amp;RState of Kansas
County
</oddHeader>
    <oddFooter>&amp;C&amp;"Arial,Regular"WY - &amp;P</oddFooter>
  </headerFooter>
  <colBreaks count="1" manualBreakCount="1">
    <brk id="6" max="65535" man="1"/>
  </colBreaks>
  <legacyDrawing r:id="rId2"/>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B1:J55"/>
  <sheetViews>
    <sheetView zoomScale="80" zoomScaleNormal="80" zoomScalePageLayoutView="0" workbookViewId="0" topLeftCell="A1">
      <selection activeCell="E30" sqref="E30"/>
    </sheetView>
  </sheetViews>
  <sheetFormatPr defaultColWidth="8.796875" defaultRowHeight="15"/>
  <cols>
    <col min="1" max="1" width="2.3984375" style="368" customWidth="1"/>
    <col min="2" max="2" width="31.09765625" style="368" customWidth="1"/>
    <col min="3" max="5" width="16.19921875" style="368" customWidth="1"/>
    <col min="6" max="6" width="16.296875" style="368" customWidth="1"/>
    <col min="7" max="7" width="7.3984375" style="368" customWidth="1"/>
    <col min="8" max="8" width="9.09765625" style="368" customWidth="1"/>
    <col min="9" max="16384" width="8.8984375" style="368" customWidth="1"/>
  </cols>
  <sheetData>
    <row r="1" spans="2:6" ht="15">
      <c r="B1" s="324" t="str">
        <f>inputPrYr!C2</f>
        <v>Wyandotte County</v>
      </c>
      <c r="C1" s="325"/>
      <c r="D1" s="325"/>
      <c r="E1" s="325"/>
      <c r="F1" s="381">
        <f>inputPrYr!$C$4</f>
        <v>2012</v>
      </c>
    </row>
    <row r="2" spans="2:6" ht="15">
      <c r="B2" s="325"/>
      <c r="C2" s="325"/>
      <c r="D2" s="325"/>
      <c r="E2" s="325"/>
      <c r="F2" s="327"/>
    </row>
    <row r="3" spans="2:6" ht="15.75">
      <c r="B3" s="328" t="s">
        <v>263</v>
      </c>
      <c r="C3" s="382"/>
      <c r="D3" s="382"/>
      <c r="E3" s="382"/>
      <c r="F3" s="383"/>
    </row>
    <row r="4" spans="2:6" ht="15">
      <c r="B4" s="325"/>
      <c r="C4" s="384"/>
      <c r="D4" s="384"/>
      <c r="E4" s="384"/>
      <c r="F4" s="384"/>
    </row>
    <row r="5" spans="2:6" ht="15">
      <c r="B5" s="385" t="s">
        <v>155</v>
      </c>
      <c r="C5" s="331" t="s">
        <v>926</v>
      </c>
      <c r="D5" s="331">
        <v>2011</v>
      </c>
      <c r="E5" s="332" t="s">
        <v>928</v>
      </c>
      <c r="F5" s="333" t="s">
        <v>931</v>
      </c>
    </row>
    <row r="6" spans="2:6" ht="15.75">
      <c r="B6" s="334" t="str">
        <f>inputPrYr!B17</f>
        <v>Bond and Interest</v>
      </c>
      <c r="C6" s="335" t="s">
        <v>927</v>
      </c>
      <c r="D6" s="335" t="s">
        <v>925</v>
      </c>
      <c r="E6" s="335" t="s">
        <v>929</v>
      </c>
      <c r="F6" s="336" t="s">
        <v>944</v>
      </c>
    </row>
    <row r="7" spans="2:6" ht="15">
      <c r="B7" s="355" t="s">
        <v>303</v>
      </c>
      <c r="C7" s="386">
        <v>156798</v>
      </c>
      <c r="D7" s="386">
        <v>186137</v>
      </c>
      <c r="E7" s="387">
        <f>C36</f>
        <v>341879</v>
      </c>
      <c r="F7" s="388">
        <f>E36</f>
        <v>188439</v>
      </c>
    </row>
    <row r="8" spans="2:6" ht="15">
      <c r="B8" s="389" t="s">
        <v>305</v>
      </c>
      <c r="C8" s="390"/>
      <c r="D8" s="390"/>
      <c r="E8" s="387"/>
      <c r="F8" s="388"/>
    </row>
    <row r="9" spans="2:8" ht="15">
      <c r="B9" s="391" t="s">
        <v>156</v>
      </c>
      <c r="C9" s="343">
        <v>1046557</v>
      </c>
      <c r="D9" s="343">
        <v>825939</v>
      </c>
      <c r="E9" s="386">
        <v>821000</v>
      </c>
      <c r="F9" s="392" t="s">
        <v>140</v>
      </c>
      <c r="H9" s="368">
        <v>813523</v>
      </c>
    </row>
    <row r="10" spans="2:6" ht="15">
      <c r="B10" s="391" t="s">
        <v>157</v>
      </c>
      <c r="C10" s="343">
        <v>29687</v>
      </c>
      <c r="D10" s="343">
        <v>35600</v>
      </c>
      <c r="E10" s="343">
        <v>39000</v>
      </c>
      <c r="F10" s="393">
        <v>30600</v>
      </c>
    </row>
    <row r="11" spans="2:6" ht="15">
      <c r="B11" s="391" t="s">
        <v>158</v>
      </c>
      <c r="C11" s="343">
        <v>94800</v>
      </c>
      <c r="D11" s="343">
        <v>122415</v>
      </c>
      <c r="E11" s="343">
        <v>113900</v>
      </c>
      <c r="F11" s="394">
        <f>mvalloc!D9</f>
        <v>93599</v>
      </c>
    </row>
    <row r="12" spans="2:6" ht="15">
      <c r="B12" s="391" t="s">
        <v>159</v>
      </c>
      <c r="C12" s="343">
        <v>469</v>
      </c>
      <c r="D12" s="343">
        <v>612</v>
      </c>
      <c r="E12" s="343">
        <v>530</v>
      </c>
      <c r="F12" s="394">
        <f>mvalloc!E9</f>
        <v>455</v>
      </c>
    </row>
    <row r="13" spans="2:6" ht="15">
      <c r="B13" s="391" t="s">
        <v>287</v>
      </c>
      <c r="C13" s="343">
        <v>1</v>
      </c>
      <c r="D13" s="343">
        <v>945</v>
      </c>
      <c r="E13" s="343">
        <v>950</v>
      </c>
      <c r="F13" s="394">
        <f>mvalloc!F9</f>
        <v>832</v>
      </c>
    </row>
    <row r="14" spans="2:6" ht="15">
      <c r="B14" s="391" t="s">
        <v>357</v>
      </c>
      <c r="C14" s="343">
        <v>0</v>
      </c>
      <c r="D14" s="343">
        <v>0</v>
      </c>
      <c r="E14" s="343">
        <v>0</v>
      </c>
      <c r="F14" s="394">
        <f>mvalloc!G9</f>
        <v>0</v>
      </c>
    </row>
    <row r="15" spans="2:6" ht="15">
      <c r="B15" s="391" t="s">
        <v>879</v>
      </c>
      <c r="C15" s="343">
        <v>30765</v>
      </c>
      <c r="D15" s="343">
        <v>23030</v>
      </c>
      <c r="E15" s="343">
        <v>18700</v>
      </c>
      <c r="F15" s="394">
        <v>14890</v>
      </c>
    </row>
    <row r="16" spans="2:6" ht="15">
      <c r="B16" s="391" t="s">
        <v>880</v>
      </c>
      <c r="C16" s="343">
        <v>401</v>
      </c>
      <c r="D16" s="343">
        <v>1000</v>
      </c>
      <c r="E16" s="343">
        <v>600</v>
      </c>
      <c r="F16" s="394">
        <v>440</v>
      </c>
    </row>
    <row r="17" spans="2:6" ht="15">
      <c r="B17" s="391" t="s">
        <v>937</v>
      </c>
      <c r="C17" s="343"/>
      <c r="D17" s="343">
        <v>0</v>
      </c>
      <c r="E17" s="343">
        <v>0</v>
      </c>
      <c r="F17" s="393">
        <v>0</v>
      </c>
    </row>
    <row r="18" spans="2:6" ht="15">
      <c r="B18" s="391" t="s">
        <v>902</v>
      </c>
      <c r="C18" s="343">
        <v>4748</v>
      </c>
      <c r="D18" s="343">
        <v>3200</v>
      </c>
      <c r="E18" s="343">
        <v>13700</v>
      </c>
      <c r="F18" s="393">
        <v>13700</v>
      </c>
    </row>
    <row r="19" spans="2:6" ht="15">
      <c r="B19" s="391" t="s">
        <v>1008</v>
      </c>
      <c r="C19" s="343">
        <v>2241</v>
      </c>
      <c r="D19" s="343">
        <v>0</v>
      </c>
      <c r="E19" s="343">
        <v>0</v>
      </c>
      <c r="F19" s="343">
        <v>0</v>
      </c>
    </row>
    <row r="20" spans="2:6" ht="15">
      <c r="B20" s="347" t="s">
        <v>68</v>
      </c>
      <c r="C20" s="343">
        <v>0</v>
      </c>
      <c r="D20" s="343">
        <v>0</v>
      </c>
      <c r="E20" s="343">
        <v>0</v>
      </c>
      <c r="F20" s="343">
        <v>0</v>
      </c>
    </row>
    <row r="21" spans="2:6" ht="15">
      <c r="B21" s="347" t="s">
        <v>69</v>
      </c>
      <c r="C21" s="363">
        <f>IF(C22*0.1&lt;C20,"Exceed 10% Rule","")</f>
      </c>
      <c r="D21" s="363">
        <f>IF(D22*0.1&lt;D20,"Exceed 10% Rule","")</f>
      </c>
      <c r="E21" s="363">
        <f>IF(E22*0.1&lt;E20,"Exceed 10% Rule","")</f>
      </c>
      <c r="F21" s="364">
        <f>IF(F22*0.1+F42&lt;F20,"Exceed 10% Rule","")</f>
      </c>
    </row>
    <row r="22" spans="2:6" ht="15.75">
      <c r="B22" s="348" t="s">
        <v>160</v>
      </c>
      <c r="C22" s="395">
        <f>SUM(C9:C20)</f>
        <v>1209669</v>
      </c>
      <c r="D22" s="395">
        <f>SUM(D9:D20)</f>
        <v>1012741</v>
      </c>
      <c r="E22" s="396">
        <f>SUM(E9:E20)</f>
        <v>1008380</v>
      </c>
      <c r="F22" s="397">
        <f>SUM(F9:F20)</f>
        <v>154516</v>
      </c>
    </row>
    <row r="23" spans="2:6" ht="15.75">
      <c r="B23" s="348" t="s">
        <v>161</v>
      </c>
      <c r="C23" s="396">
        <f>C7+C22</f>
        <v>1366467</v>
      </c>
      <c r="D23" s="396">
        <f>D7+D22</f>
        <v>1198878</v>
      </c>
      <c r="E23" s="396">
        <f>E7+E22</f>
        <v>1350259</v>
      </c>
      <c r="F23" s="398">
        <f>F7+F22</f>
        <v>342955</v>
      </c>
    </row>
    <row r="24" spans="2:6" ht="15">
      <c r="B24" s="389" t="s">
        <v>163</v>
      </c>
      <c r="C24" s="390"/>
      <c r="D24" s="390"/>
      <c r="E24" s="390"/>
      <c r="F24" s="394"/>
    </row>
    <row r="25" spans="2:6" ht="15">
      <c r="B25" s="391" t="s">
        <v>932</v>
      </c>
      <c r="C25" s="343">
        <v>0</v>
      </c>
      <c r="D25" s="343">
        <v>0</v>
      </c>
      <c r="E25" s="343">
        <v>0</v>
      </c>
      <c r="F25" s="343">
        <v>0</v>
      </c>
    </row>
    <row r="26" spans="2:6" ht="15">
      <c r="B26" s="391" t="s">
        <v>933</v>
      </c>
      <c r="C26" s="343">
        <v>0</v>
      </c>
      <c r="D26" s="343">
        <v>0</v>
      </c>
      <c r="E26" s="343">
        <v>0</v>
      </c>
      <c r="F26" s="343">
        <v>0</v>
      </c>
    </row>
    <row r="27" spans="2:6" ht="15">
      <c r="B27" s="391" t="s">
        <v>934</v>
      </c>
      <c r="C27" s="343">
        <v>0</v>
      </c>
      <c r="D27" s="343">
        <v>0</v>
      </c>
      <c r="E27" s="343">
        <v>0</v>
      </c>
      <c r="F27" s="343">
        <v>0</v>
      </c>
    </row>
    <row r="28" spans="2:6" ht="15">
      <c r="B28" s="391" t="s">
        <v>935</v>
      </c>
      <c r="C28" s="343">
        <v>0</v>
      </c>
      <c r="D28" s="343">
        <v>0</v>
      </c>
      <c r="E28" s="343">
        <v>0</v>
      </c>
      <c r="F28" s="343">
        <v>0</v>
      </c>
    </row>
    <row r="29" spans="2:6" ht="15">
      <c r="B29" s="391" t="s">
        <v>938</v>
      </c>
      <c r="C29" s="343">
        <v>0</v>
      </c>
      <c r="D29" s="343">
        <v>0</v>
      </c>
      <c r="E29" s="343">
        <v>0</v>
      </c>
      <c r="F29" s="343">
        <v>0</v>
      </c>
    </row>
    <row r="30" spans="2:6" ht="15">
      <c r="B30" s="391" t="s">
        <v>936</v>
      </c>
      <c r="C30" s="343">
        <v>1024588</v>
      </c>
      <c r="D30" s="343">
        <v>1071468</v>
      </c>
      <c r="E30" s="343">
        <v>1091668</v>
      </c>
      <c r="F30" s="393">
        <v>905191</v>
      </c>
    </row>
    <row r="31" spans="2:6" ht="15">
      <c r="B31" s="391" t="s">
        <v>182</v>
      </c>
      <c r="C31" s="343">
        <v>0</v>
      </c>
      <c r="D31" s="343">
        <v>0</v>
      </c>
      <c r="E31" s="343">
        <v>50152</v>
      </c>
      <c r="F31" s="393">
        <v>191759</v>
      </c>
    </row>
    <row r="32" spans="2:6" ht="15">
      <c r="B32" s="391" t="s">
        <v>70</v>
      </c>
      <c r="C32" s="343">
        <v>0</v>
      </c>
      <c r="D32" s="343">
        <v>0</v>
      </c>
      <c r="E32" s="343">
        <v>0</v>
      </c>
      <c r="F32" s="393">
        <v>0</v>
      </c>
    </row>
    <row r="33" spans="2:6" ht="15">
      <c r="B33" s="347" t="s">
        <v>68</v>
      </c>
      <c r="C33" s="343">
        <v>0</v>
      </c>
      <c r="D33" s="343">
        <v>68000</v>
      </c>
      <c r="E33" s="343">
        <v>20000</v>
      </c>
      <c r="F33" s="393">
        <v>20000</v>
      </c>
    </row>
    <row r="34" spans="2:10" ht="15.75">
      <c r="B34" s="347" t="s">
        <v>71</v>
      </c>
      <c r="C34" s="363">
        <f>IF(C35*0.1&lt;C33,"Exceed 10% Rule","")</f>
      </c>
      <c r="D34" s="363">
        <f>IF(D35*0.1&lt;D33,"Exceed 10% Rule","")</f>
      </c>
      <c r="E34" s="363">
        <f>IF(E35*0.1&lt;E33,"Exceed 10% Rule","")</f>
      </c>
      <c r="F34" s="364">
        <f>IF(F35*0.1&lt;F33,"Exceed 10% Rule","")</f>
      </c>
      <c r="H34" s="823" t="str">
        <f>CONCATENATE("Projected Carryover Into ",F1+1,"")</f>
        <v>Projected Carryover Into 2013</v>
      </c>
      <c r="I34" s="824"/>
      <c r="J34" s="825"/>
    </row>
    <row r="35" spans="2:10" ht="15.75">
      <c r="B35" s="348" t="s">
        <v>164</v>
      </c>
      <c r="C35" s="395">
        <f>SUM(C25:C33)</f>
        <v>1024588</v>
      </c>
      <c r="D35" s="395">
        <f>SUM(D25:D33)</f>
        <v>1139468</v>
      </c>
      <c r="E35" s="396">
        <f>SUM(E25:E33)</f>
        <v>1161820</v>
      </c>
      <c r="F35" s="397">
        <f>SUM(F25:F33)</f>
        <v>1116950</v>
      </c>
      <c r="H35" s="294"/>
      <c r="I35" s="295"/>
      <c r="J35" s="296"/>
    </row>
    <row r="36" spans="2:10" ht="15">
      <c r="B36" s="355" t="s">
        <v>304</v>
      </c>
      <c r="C36" s="390">
        <f>C23-C35</f>
        <v>341879</v>
      </c>
      <c r="D36" s="390">
        <f>D23-D35</f>
        <v>59410</v>
      </c>
      <c r="E36" s="390">
        <f>E23-E35</f>
        <v>188439</v>
      </c>
      <c r="F36" s="392" t="s">
        <v>140</v>
      </c>
      <c r="H36" s="370">
        <f>E36</f>
        <v>188439</v>
      </c>
      <c r="I36" s="371" t="str">
        <f>CONCATENATE("",F1-1," Ending Cash Balance (est.)")</f>
        <v>2011 Ending Cash Balance (est.)</v>
      </c>
      <c r="J36" s="296"/>
    </row>
    <row r="37" spans="2:10" ht="15">
      <c r="B37" s="356" t="str">
        <f>CONCATENATE("",F$1-2,"/",F$1-1," Budget Authority Amount:")</f>
        <v>2010/2011 Budget Authority Amount:</v>
      </c>
      <c r="C37" s="357">
        <f>inputOth!B32</f>
        <v>1172002</v>
      </c>
      <c r="D37" s="357"/>
      <c r="E37" s="357">
        <f>inputPrYr!D17</f>
        <v>1161820</v>
      </c>
      <c r="F37" s="392" t="s">
        <v>140</v>
      </c>
      <c r="G37" s="372"/>
      <c r="H37" s="370">
        <f>F22</f>
        <v>154516</v>
      </c>
      <c r="I37" s="373" t="str">
        <f>CONCATENATE("",F1," Non-AV Receipts (est.)")</f>
        <v>2012 Non-AV Receipts (est.)</v>
      </c>
      <c r="J37" s="296"/>
    </row>
    <row r="38" spans="2:10" ht="15">
      <c r="B38" s="356"/>
      <c r="C38" s="812" t="s">
        <v>705</v>
      </c>
      <c r="D38" s="812"/>
      <c r="E38" s="813"/>
      <c r="F38" s="354">
        <v>39430.872</v>
      </c>
      <c r="G38" s="375">
        <f>IF(F35/0.95-F35&lt;F38,"Exceeds 5%","")</f>
      </c>
      <c r="H38" s="376">
        <f>F42</f>
        <v>884158.872</v>
      </c>
      <c r="I38" s="373" t="str">
        <f>CONCATENATE("",F1," Ad Valorem Tax (est.)")</f>
        <v>2012 Ad Valorem Tax (est.)</v>
      </c>
      <c r="J38" s="296"/>
    </row>
    <row r="39" spans="2:10" ht="15.75">
      <c r="B39" s="358" t="str">
        <f>CONCATENATE(C54,"     ",E54)</f>
        <v>     </v>
      </c>
      <c r="C39" s="814" t="s">
        <v>706</v>
      </c>
      <c r="D39" s="814"/>
      <c r="E39" s="815"/>
      <c r="F39" s="340">
        <f>F35+F38</f>
        <v>1156380.872</v>
      </c>
      <c r="H39" s="370">
        <f>SUM(H36:H38)</f>
        <v>1227113.872</v>
      </c>
      <c r="I39" s="373" t="str">
        <f>CONCATENATE("Total ",F1," Resources Available")</f>
        <v>Total 2012 Resources Available</v>
      </c>
      <c r="J39" s="296"/>
    </row>
    <row r="40" spans="2:10" ht="15.75">
      <c r="B40" s="358" t="str">
        <f>CONCATENATE(C55,"     ",E55)</f>
        <v>     </v>
      </c>
      <c r="C40" s="359"/>
      <c r="D40" s="359"/>
      <c r="E40" s="327" t="s">
        <v>165</v>
      </c>
      <c r="F40" s="525">
        <f>IF(F39-F23&gt;0,F39-F23,0)</f>
        <v>813425.872</v>
      </c>
      <c r="H40" s="378"/>
      <c r="I40" s="373"/>
      <c r="J40" s="296"/>
    </row>
    <row r="41" spans="2:10" ht="15">
      <c r="B41" s="327"/>
      <c r="C41" s="360" t="s">
        <v>707</v>
      </c>
      <c r="D41" s="360"/>
      <c r="E41" s="361">
        <f>inputOth!$E$24</f>
        <v>0.08</v>
      </c>
      <c r="F41" s="525">
        <f>ROUND(IF(E41&gt;0,(F40/((100-(100*E41))*0.01)-F40),0),0)</f>
        <v>70733</v>
      </c>
      <c r="H41" s="376">
        <f>C35</f>
        <v>1024588</v>
      </c>
      <c r="I41" s="373" t="str">
        <f>CONCATENATE("Less ",F1-2," Expenditures")</f>
        <v>Less 2010 Expenditures</v>
      </c>
      <c r="J41" s="296"/>
    </row>
    <row r="42" spans="2:10" ht="15">
      <c r="B42" s="325"/>
      <c r="C42" s="821" t="str">
        <f>CONCATENATE("Amount of  ",$F$1-1," Ad Valorem Tax")</f>
        <v>Amount of  2011 Ad Valorem Tax</v>
      </c>
      <c r="D42" s="821"/>
      <c r="E42" s="822"/>
      <c r="F42" s="365">
        <f>F40+F41</f>
        <v>884158.872</v>
      </c>
      <c r="H42" s="379">
        <f>H39-H41</f>
        <v>202525.87199999997</v>
      </c>
      <c r="I42" s="380" t="str">
        <f>CONCATENATE("Projected ",F1+1," carryover (est.)")</f>
        <v>Projected 2013 carryover (est.)</v>
      </c>
      <c r="J42" s="308"/>
    </row>
    <row r="43" spans="2:6" ht="15">
      <c r="B43" s="327"/>
      <c r="C43" s="325"/>
      <c r="D43" s="325"/>
      <c r="E43" s="325"/>
      <c r="F43" s="325"/>
    </row>
    <row r="54" spans="3:5" ht="15" hidden="1">
      <c r="C54" s="368">
        <f>IF(C35&gt;C37,"SeeTab A","")</f>
      </c>
      <c r="E54" s="368">
        <f>IF(E35&gt;E37,"See Tab C","")</f>
      </c>
    </row>
    <row r="55" spans="3:5" ht="15" hidden="1">
      <c r="C55" s="368">
        <f>IF(C36&lt;0,"See Tab B","")</f>
      </c>
      <c r="E55" s="368">
        <f>IF(E36&lt;0,"See Tab D","")</f>
      </c>
    </row>
  </sheetData>
  <sheetProtection/>
  <mergeCells count="4">
    <mergeCell ref="C38:E38"/>
    <mergeCell ref="C39:E39"/>
    <mergeCell ref="H34:J34"/>
    <mergeCell ref="C42:E42"/>
  </mergeCells>
  <conditionalFormatting sqref="F33">
    <cfRule type="cellIs" priority="2" dxfId="128" operator="greaterThan" stopIfTrue="1">
      <formula>$F$35*0.1</formula>
    </cfRule>
  </conditionalFormatting>
  <conditionalFormatting sqref="F38">
    <cfRule type="cellIs" priority="3" dxfId="128" operator="greaterThan" stopIfTrue="1">
      <formula>$F$35/0.95-$F$35</formula>
    </cfRule>
  </conditionalFormatting>
  <conditionalFormatting sqref="C36:D36">
    <cfRule type="cellIs" priority="4" dxfId="1" operator="lessThan" stopIfTrue="1">
      <formula>0</formula>
    </cfRule>
  </conditionalFormatting>
  <conditionalFormatting sqref="C35:D35">
    <cfRule type="cellIs" priority="5" dxfId="1" operator="greaterThan" stopIfTrue="1">
      <formula>$C$37</formula>
    </cfRule>
  </conditionalFormatting>
  <conditionalFormatting sqref="E35">
    <cfRule type="cellIs" priority="6" dxfId="1" operator="greaterThan" stopIfTrue="1">
      <formula>$E$37</formula>
    </cfRule>
  </conditionalFormatting>
  <conditionalFormatting sqref="C20:D20">
    <cfRule type="cellIs" priority="7" dxfId="1" operator="greaterThan" stopIfTrue="1">
      <formula>$C$22*0.1</formula>
    </cfRule>
  </conditionalFormatting>
  <conditionalFormatting sqref="C33">
    <cfRule type="cellIs" priority="10" dxfId="1" operator="greaterThan" stopIfTrue="1">
      <formula>$C$35*0.1</formula>
    </cfRule>
  </conditionalFormatting>
  <conditionalFormatting sqref="E33">
    <cfRule type="cellIs" priority="11" dxfId="1" operator="greaterThan" stopIfTrue="1">
      <formula>$E$35*0.1</formula>
    </cfRule>
  </conditionalFormatting>
  <conditionalFormatting sqref="E3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County</oddHeader>
    <oddFooter>&amp;C&amp;"Arial,Regular"&amp;11WY - &amp;P</oddFooter>
  </headerFooter>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B1:G55"/>
  <sheetViews>
    <sheetView zoomScale="80" zoomScaleNormal="80" zoomScalePageLayoutView="0" workbookViewId="0" topLeftCell="A19">
      <selection activeCell="F41" sqref="F41"/>
    </sheetView>
  </sheetViews>
  <sheetFormatPr defaultColWidth="8.796875" defaultRowHeight="15"/>
  <cols>
    <col min="1" max="1" width="2.3984375" style="455" customWidth="1"/>
    <col min="2" max="2" width="31.09765625" style="455" customWidth="1"/>
    <col min="3" max="5" width="15.796875" style="455" customWidth="1"/>
    <col min="6" max="6" width="16.19921875" style="455" customWidth="1"/>
    <col min="7" max="8" width="8.8984375" style="455" customWidth="1"/>
    <col min="9" max="9" width="10.296875" style="455" customWidth="1"/>
    <col min="10" max="16384" width="8.8984375" style="455" customWidth="1"/>
  </cols>
  <sheetData>
    <row r="1" spans="2:6" ht="14.25">
      <c r="B1" s="512" t="str">
        <f>(inputPrYr!C2)</f>
        <v>Wyandotte County</v>
      </c>
      <c r="C1" s="513"/>
      <c r="D1" s="513"/>
      <c r="E1" s="513"/>
      <c r="F1" s="514">
        <f>inputPrYr!C4</f>
        <v>2012</v>
      </c>
    </row>
    <row r="2" spans="2:6" ht="14.25">
      <c r="B2" s="513"/>
      <c r="C2" s="513"/>
      <c r="D2" s="513"/>
      <c r="E2" s="513"/>
      <c r="F2" s="515"/>
    </row>
    <row r="3" spans="2:6" ht="15">
      <c r="B3" s="516" t="s">
        <v>263</v>
      </c>
      <c r="C3" s="517"/>
      <c r="D3" s="517"/>
      <c r="E3" s="517"/>
      <c r="F3" s="518"/>
    </row>
    <row r="4" spans="2:6" ht="14.25">
      <c r="B4" s="513"/>
      <c r="C4" s="519"/>
      <c r="D4" s="519"/>
      <c r="E4" s="519"/>
      <c r="F4" s="519"/>
    </row>
    <row r="5" spans="2:6" ht="14.25">
      <c r="B5" s="520" t="s">
        <v>155</v>
      </c>
      <c r="C5" s="331" t="s">
        <v>926</v>
      </c>
      <c r="D5" s="331">
        <v>2011</v>
      </c>
      <c r="E5" s="332" t="s">
        <v>928</v>
      </c>
      <c r="F5" s="333" t="s">
        <v>931</v>
      </c>
    </row>
    <row r="6" spans="2:6" ht="15">
      <c r="B6" s="521" t="str">
        <f>inputPrYr!B18</f>
        <v>County Elections</v>
      </c>
      <c r="C6" s="510" t="s">
        <v>927</v>
      </c>
      <c r="D6" s="510" t="s">
        <v>925</v>
      </c>
      <c r="E6" s="510" t="s">
        <v>929</v>
      </c>
      <c r="F6" s="511" t="s">
        <v>944</v>
      </c>
    </row>
    <row r="7" spans="2:6" ht="15">
      <c r="B7" s="522" t="s">
        <v>303</v>
      </c>
      <c r="C7" s="555">
        <v>734390</v>
      </c>
      <c r="D7" s="555">
        <v>138881</v>
      </c>
      <c r="E7" s="533">
        <f>C35</f>
        <v>655651</v>
      </c>
      <c r="F7" s="534">
        <f>E35</f>
        <v>480801</v>
      </c>
    </row>
    <row r="8" spans="2:6" ht="14.25">
      <c r="B8" s="526" t="s">
        <v>305</v>
      </c>
      <c r="C8" s="527"/>
      <c r="D8" s="527"/>
      <c r="E8" s="527"/>
      <c r="F8" s="528"/>
    </row>
    <row r="9" spans="2:6" ht="14.25">
      <c r="B9" s="288" t="s">
        <v>156</v>
      </c>
      <c r="C9" s="523">
        <v>882509</v>
      </c>
      <c r="D9" s="504">
        <v>865760</v>
      </c>
      <c r="E9" s="524">
        <v>863000</v>
      </c>
      <c r="F9" s="529" t="s">
        <v>140</v>
      </c>
    </row>
    <row r="10" spans="2:6" ht="14.25">
      <c r="B10" s="288" t="s">
        <v>157</v>
      </c>
      <c r="C10" s="523">
        <v>39732</v>
      </c>
      <c r="D10" s="504">
        <v>30100</v>
      </c>
      <c r="E10" s="523">
        <v>37200</v>
      </c>
      <c r="F10" s="530">
        <v>32100</v>
      </c>
    </row>
    <row r="11" spans="2:6" ht="14.25">
      <c r="B11" s="288" t="s">
        <v>158</v>
      </c>
      <c r="C11" s="523">
        <v>98857</v>
      </c>
      <c r="D11" s="504">
        <v>103667</v>
      </c>
      <c r="E11" s="523">
        <v>95300</v>
      </c>
      <c r="F11" s="525">
        <f>mvalloc!D10</f>
        <v>98111</v>
      </c>
    </row>
    <row r="12" spans="2:6" ht="14.25">
      <c r="B12" s="288" t="s">
        <v>159</v>
      </c>
      <c r="C12" s="523">
        <v>110</v>
      </c>
      <c r="D12" s="504">
        <v>518</v>
      </c>
      <c r="E12" s="523">
        <v>450</v>
      </c>
      <c r="F12" s="525">
        <f>mvalloc!E10</f>
        <v>477</v>
      </c>
    </row>
    <row r="13" spans="2:6" ht="14.25">
      <c r="B13" s="288" t="s">
        <v>287</v>
      </c>
      <c r="C13" s="523">
        <v>823</v>
      </c>
      <c r="D13" s="504">
        <v>800</v>
      </c>
      <c r="E13" s="523">
        <v>800</v>
      </c>
      <c r="F13" s="525">
        <f>mvalloc!F10</f>
        <v>872</v>
      </c>
    </row>
    <row r="14" spans="2:6" ht="14.25">
      <c r="B14" s="288" t="s">
        <v>357</v>
      </c>
      <c r="C14" s="523">
        <v>0</v>
      </c>
      <c r="D14" s="504">
        <v>0</v>
      </c>
      <c r="E14" s="523">
        <v>0</v>
      </c>
      <c r="F14" s="525">
        <v>0</v>
      </c>
    </row>
    <row r="15" spans="2:6" ht="14.25">
      <c r="B15" s="288" t="s">
        <v>879</v>
      </c>
      <c r="C15" s="523">
        <v>27074</v>
      </c>
      <c r="D15" s="504">
        <v>20310</v>
      </c>
      <c r="E15" s="523">
        <v>19400</v>
      </c>
      <c r="F15" s="525">
        <v>15450</v>
      </c>
    </row>
    <row r="16" spans="2:6" ht="14.25">
      <c r="B16" s="288" t="s">
        <v>880</v>
      </c>
      <c r="C16" s="523">
        <v>595</v>
      </c>
      <c r="D16" s="504">
        <v>480</v>
      </c>
      <c r="E16" s="523">
        <v>500</v>
      </c>
      <c r="F16" s="525">
        <v>460</v>
      </c>
    </row>
    <row r="17" spans="2:6" ht="14.25">
      <c r="B17" s="288" t="s">
        <v>889</v>
      </c>
      <c r="C17" s="523">
        <v>6298</v>
      </c>
      <c r="D17" s="504">
        <v>10000</v>
      </c>
      <c r="E17" s="523">
        <v>6000</v>
      </c>
      <c r="F17" s="525">
        <v>6000</v>
      </c>
    </row>
    <row r="18" spans="2:6" ht="14.25">
      <c r="B18" s="288" t="s">
        <v>918</v>
      </c>
      <c r="C18" s="523">
        <v>468</v>
      </c>
      <c r="D18" s="504">
        <v>0</v>
      </c>
      <c r="E18" s="523">
        <v>0</v>
      </c>
      <c r="F18" s="525">
        <v>0</v>
      </c>
    </row>
    <row r="19" spans="2:6" ht="14.25">
      <c r="B19" s="288" t="s">
        <v>910</v>
      </c>
      <c r="C19" s="523">
        <v>0</v>
      </c>
      <c r="D19" s="504">
        <v>0</v>
      </c>
      <c r="E19" s="523">
        <v>0</v>
      </c>
      <c r="F19" s="525">
        <v>0</v>
      </c>
    </row>
    <row r="20" spans="2:6" ht="14.25">
      <c r="B20" s="531" t="s">
        <v>68</v>
      </c>
      <c r="C20" s="523">
        <v>0</v>
      </c>
      <c r="D20" s="504">
        <v>0</v>
      </c>
      <c r="E20" s="523">
        <v>0</v>
      </c>
      <c r="F20" s="525">
        <v>0</v>
      </c>
    </row>
    <row r="21" spans="2:6" ht="15.75">
      <c r="B21" s="531" t="s">
        <v>703</v>
      </c>
      <c r="C21" s="542">
        <f>IF(C22*0.1&lt;C20,"Exceed 10% Rule","")</f>
      </c>
      <c r="D21" s="132">
        <f>IF(D22*0.1&lt;D20,"Exceed 10% Rule","")</f>
      </c>
      <c r="E21" s="542">
        <f>IF(E22*0.1&lt;E20,"Exceed 10% Rule","")</f>
      </c>
      <c r="F21" s="543">
        <f>IF(F22*0.1+F41&lt;F20,"Exceed 10% Rule","")</f>
      </c>
    </row>
    <row r="22" spans="2:6" ht="15">
      <c r="B22" s="532" t="s">
        <v>160</v>
      </c>
      <c r="C22" s="533">
        <f>SUM(C9:C20)</f>
        <v>1056466</v>
      </c>
      <c r="D22" s="554">
        <f>SUM(D9:D20)</f>
        <v>1031635</v>
      </c>
      <c r="E22" s="533">
        <f>SUM(E9:E20)</f>
        <v>1022650</v>
      </c>
      <c r="F22" s="534">
        <f>SUM(F9:F20)</f>
        <v>153470</v>
      </c>
    </row>
    <row r="23" spans="2:6" ht="15">
      <c r="B23" s="532" t="s">
        <v>161</v>
      </c>
      <c r="C23" s="533">
        <f>C7+C22</f>
        <v>1790856</v>
      </c>
      <c r="D23" s="554">
        <f>D7+D22</f>
        <v>1170516</v>
      </c>
      <c r="E23" s="533">
        <f>E7+E22</f>
        <v>1678301</v>
      </c>
      <c r="F23" s="534">
        <f>F7+F22</f>
        <v>634271</v>
      </c>
    </row>
    <row r="24" spans="2:6" ht="15.75">
      <c r="B24" s="522" t="s">
        <v>163</v>
      </c>
      <c r="C24" s="531"/>
      <c r="D24" s="59"/>
      <c r="E24" s="531"/>
      <c r="F24" s="535"/>
    </row>
    <row r="25" spans="2:6" ht="14.25">
      <c r="B25" s="346" t="s">
        <v>932</v>
      </c>
      <c r="C25" s="523">
        <v>591903</v>
      </c>
      <c r="D25" s="504">
        <v>600060</v>
      </c>
      <c r="E25" s="523">
        <v>600000</v>
      </c>
      <c r="F25" s="530">
        <v>725000</v>
      </c>
    </row>
    <row r="26" spans="2:6" ht="14.25">
      <c r="B26" s="346" t="s">
        <v>933</v>
      </c>
      <c r="C26" s="523">
        <v>349835</v>
      </c>
      <c r="D26" s="504">
        <v>316000</v>
      </c>
      <c r="E26" s="523">
        <v>316000</v>
      </c>
      <c r="F26" s="530">
        <v>478000</v>
      </c>
    </row>
    <row r="27" spans="2:6" ht="14.25">
      <c r="B27" s="346" t="s">
        <v>934</v>
      </c>
      <c r="C27" s="523">
        <v>93467</v>
      </c>
      <c r="D27" s="504">
        <v>100000</v>
      </c>
      <c r="E27" s="523">
        <v>116500</v>
      </c>
      <c r="F27" s="530">
        <v>145000</v>
      </c>
    </row>
    <row r="28" spans="2:6" ht="14.25">
      <c r="B28" s="346" t="s">
        <v>935</v>
      </c>
      <c r="C28" s="523">
        <v>100000</v>
      </c>
      <c r="D28" s="504">
        <v>0</v>
      </c>
      <c r="E28" s="504">
        <v>100000</v>
      </c>
      <c r="F28" s="504">
        <v>0</v>
      </c>
    </row>
    <row r="29" spans="2:6" ht="14.25">
      <c r="B29" s="346" t="s">
        <v>949</v>
      </c>
      <c r="C29" s="523">
        <v>0</v>
      </c>
      <c r="D29" s="504">
        <v>0</v>
      </c>
      <c r="E29" s="504">
        <v>0</v>
      </c>
      <c r="F29" s="504">
        <v>0</v>
      </c>
    </row>
    <row r="30" spans="2:6" ht="14.25">
      <c r="B30" s="346" t="s">
        <v>936</v>
      </c>
      <c r="C30" s="523">
        <v>0</v>
      </c>
      <c r="D30" s="504">
        <v>10000</v>
      </c>
      <c r="E30" s="504">
        <v>10000</v>
      </c>
      <c r="F30" s="504">
        <v>10000</v>
      </c>
    </row>
    <row r="31" spans="2:6" ht="14.25">
      <c r="B31" s="346" t="s">
        <v>182</v>
      </c>
      <c r="C31" s="523">
        <v>0</v>
      </c>
      <c r="D31" s="504">
        <v>0</v>
      </c>
      <c r="E31" s="504">
        <v>0</v>
      </c>
      <c r="F31" s="504">
        <v>0</v>
      </c>
    </row>
    <row r="32" spans="2:6" ht="14.25">
      <c r="B32" s="531" t="s">
        <v>68</v>
      </c>
      <c r="C32" s="523">
        <v>0</v>
      </c>
      <c r="D32" s="504">
        <v>100000</v>
      </c>
      <c r="E32" s="523">
        <v>55000</v>
      </c>
      <c r="F32" s="530">
        <v>55000</v>
      </c>
    </row>
    <row r="33" spans="2:6" ht="14.25">
      <c r="B33" s="531" t="s">
        <v>702</v>
      </c>
      <c r="C33" s="542">
        <f>IF(C34*0.1&lt;C32,"Exceed 10% Rule","")</f>
      </c>
      <c r="D33" s="542">
        <f>IF(D34*0.1&lt;D32,"Exceed 10% Rule","")</f>
      </c>
      <c r="E33" s="542">
        <f>IF(E34*0.1&lt;E32,"Exceed 10% Rule","")</f>
      </c>
      <c r="F33" s="543">
        <f>IF(F34*0.1&lt;F32,"Exceed 10% Rule","")</f>
      </c>
    </row>
    <row r="34" spans="2:6" ht="15">
      <c r="B34" s="532" t="s">
        <v>164</v>
      </c>
      <c r="C34" s="533">
        <f>SUM(C25:C32)</f>
        <v>1135205</v>
      </c>
      <c r="D34" s="533">
        <f>SUM(D25:D32)</f>
        <v>1126060</v>
      </c>
      <c r="E34" s="533">
        <f>SUM(E25:E32)</f>
        <v>1197500</v>
      </c>
      <c r="F34" s="534">
        <f>SUM(F25:F32)</f>
        <v>1413000</v>
      </c>
    </row>
    <row r="35" spans="2:6" ht="14.25">
      <c r="B35" s="522" t="s">
        <v>304</v>
      </c>
      <c r="C35" s="524">
        <f>C23-C34</f>
        <v>655651</v>
      </c>
      <c r="D35" s="524">
        <f>D23-D34</f>
        <v>44456</v>
      </c>
      <c r="E35" s="524">
        <f>E23-E34</f>
        <v>480801</v>
      </c>
      <c r="F35" s="529" t="s">
        <v>140</v>
      </c>
    </row>
    <row r="36" spans="2:7" ht="14.25">
      <c r="B36" s="536" t="str">
        <f>CONCATENATE("",F$1-2,"/",F$1-1," Budget Authority Amount:")</f>
        <v>2010/2011 Budget Authority Amount:</v>
      </c>
      <c r="C36" s="537">
        <f>inputOth!B33</f>
        <v>1655494</v>
      </c>
      <c r="D36" s="537"/>
      <c r="E36" s="537">
        <f>inputPrYr!D18</f>
        <v>1197500</v>
      </c>
      <c r="F36" s="529" t="s">
        <v>140</v>
      </c>
      <c r="G36" s="547"/>
    </row>
    <row r="37" spans="2:7" ht="14.25">
      <c r="B37" s="536"/>
      <c r="C37" s="826" t="s">
        <v>705</v>
      </c>
      <c r="D37" s="826"/>
      <c r="E37" s="827"/>
      <c r="F37" s="530">
        <v>73208</v>
      </c>
      <c r="G37" s="547">
        <f>IF(F34/0.95-F34&lt;F37,"Exceeds 5%","")</f>
      </c>
    </row>
    <row r="38" spans="2:6" ht="15">
      <c r="B38" s="548" t="str">
        <f>CONCATENATE(C52,"     ",E52)</f>
        <v>     </v>
      </c>
      <c r="C38" s="828" t="s">
        <v>706</v>
      </c>
      <c r="D38" s="828"/>
      <c r="E38" s="829"/>
      <c r="F38" s="525">
        <f>F34+F37</f>
        <v>1486208</v>
      </c>
    </row>
    <row r="39" spans="2:6" ht="15">
      <c r="B39" s="548" t="str">
        <f>CONCATENATE(C53,"     ",E53)</f>
        <v>     </v>
      </c>
      <c r="C39" s="539"/>
      <c r="D39" s="539"/>
      <c r="E39" s="515" t="s">
        <v>165</v>
      </c>
      <c r="F39" s="525">
        <f>IF(F38-F23&gt;0,F38-F23,0)</f>
        <v>851937</v>
      </c>
    </row>
    <row r="40" spans="2:6" ht="14.25">
      <c r="B40" s="515"/>
      <c r="C40" s="540" t="s">
        <v>707</v>
      </c>
      <c r="D40" s="540"/>
      <c r="E40" s="541">
        <f>inputOth!$E$24</f>
        <v>0.08</v>
      </c>
      <c r="F40" s="525">
        <f>ROUND(IF(E40&gt;0,(F39/((100-(100*E40))*0.01)-F39),0),0)</f>
        <v>74081</v>
      </c>
    </row>
    <row r="41" spans="2:6" ht="14.25">
      <c r="B41" s="513"/>
      <c r="C41" s="830" t="str">
        <f>CONCATENATE("Amount of  ",$F$1-1," Ad Valorem Tax")</f>
        <v>Amount of  2011 Ad Valorem Tax</v>
      </c>
      <c r="D41" s="830"/>
      <c r="E41" s="831"/>
      <c r="F41" s="525">
        <f>F39+F40</f>
        <v>926018</v>
      </c>
    </row>
    <row r="42" spans="2:6" ht="14.25">
      <c r="B42" s="513"/>
      <c r="C42" s="519"/>
      <c r="D42" s="519"/>
      <c r="E42" s="519"/>
      <c r="F42" s="553"/>
    </row>
    <row r="52" spans="3:5" ht="14.25" hidden="1">
      <c r="C52" s="455">
        <f>IF(C34&gt;C36,"See Tab A","")</f>
      </c>
      <c r="E52" s="455">
        <f>IF(E34&gt;E36,"See Tab C","")</f>
      </c>
    </row>
    <row r="53" spans="3:5" ht="14.25" hidden="1">
      <c r="C53" s="455">
        <f>IF(C35&lt;0,"See Tab B","")</f>
      </c>
      <c r="E53" s="455">
        <f>IF(E35&lt;0,"See Tab D","")</f>
      </c>
    </row>
    <row r="54" spans="3:5" ht="14.25" hidden="1">
      <c r="C54" s="455" t="e">
        <f>IF(#REF!&gt;#REF!,"See Tab A","")</f>
        <v>#REF!</v>
      </c>
      <c r="E54" s="455" t="e">
        <f>IF(#REF!&gt;#REF!,"See Tab C","")</f>
        <v>#REF!</v>
      </c>
    </row>
    <row r="55" spans="3:5" ht="14.25" hidden="1">
      <c r="C55" s="455" t="e">
        <f>IF(#REF!&lt;0,"See Tab B","")</f>
        <v>#REF!</v>
      </c>
      <c r="E55" s="455" t="e">
        <f>IF(#REF!&lt;0,"See Tab D","")</f>
        <v>#REF!</v>
      </c>
    </row>
  </sheetData>
  <sheetProtection/>
  <mergeCells count="3">
    <mergeCell ref="C37:E37"/>
    <mergeCell ref="C38:E38"/>
    <mergeCell ref="C41:E41"/>
  </mergeCells>
  <conditionalFormatting sqref="F37">
    <cfRule type="cellIs" priority="5" dxfId="128" operator="greaterThan" stopIfTrue="1">
      <formula>$F$34/0.95-$F$34</formula>
    </cfRule>
  </conditionalFormatting>
  <conditionalFormatting sqref="F32">
    <cfRule type="cellIs" priority="6" dxfId="128" operator="greaterThan" stopIfTrue="1">
      <formula>$F$34*0.1</formula>
    </cfRule>
  </conditionalFormatting>
  <conditionalFormatting sqref="C35:D35">
    <cfRule type="cellIs" priority="7" dxfId="1" operator="lessThan" stopIfTrue="1">
      <formula>0</formula>
    </cfRule>
  </conditionalFormatting>
  <conditionalFormatting sqref="C34:D34">
    <cfRule type="cellIs" priority="15" dxfId="1" operator="greaterThan" stopIfTrue="1">
      <formula>$C$36</formula>
    </cfRule>
  </conditionalFormatting>
  <conditionalFormatting sqref="E34">
    <cfRule type="cellIs" priority="16" dxfId="1" operator="greaterThan" stopIfTrue="1">
      <formula>$E$36</formula>
    </cfRule>
  </conditionalFormatting>
  <conditionalFormatting sqref="C32">
    <cfRule type="cellIs" priority="17" dxfId="1" operator="greaterThan" stopIfTrue="1">
      <formula>$C$34*0.1</formula>
    </cfRule>
  </conditionalFormatting>
  <conditionalFormatting sqref="E32">
    <cfRule type="cellIs" priority="18" dxfId="1" operator="greaterThan" stopIfTrue="1">
      <formula>$E$34*0.1</formula>
    </cfRule>
  </conditionalFormatting>
  <conditionalFormatting sqref="C20:D20">
    <cfRule type="cellIs" priority="20" dxfId="1" operator="greaterThan" stopIfTrue="1">
      <formula>$C$22*0.1</formula>
    </cfRule>
  </conditionalFormatting>
  <conditionalFormatting sqref="E20">
    <cfRule type="cellIs" priority="21" dxfId="1" operator="greaterThan" stopIfTrue="1">
      <formula>$E$22*0.1</formula>
    </cfRule>
  </conditionalFormatting>
  <conditionalFormatting sqref="E35">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4" r:id="rId1"/>
  <headerFooter alignWithMargins="0">
    <oddHeader>&amp;RState of Kansas
County
</oddHeader>
    <oddFooter>&amp;C&amp;"Arial,Regular"&amp;11WY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2011-08-12T22:01:08Z</cp:lastPrinted>
  <dcterms:created xsi:type="dcterms:W3CDTF">1998-08-26T13:26:11Z</dcterms:created>
  <dcterms:modified xsi:type="dcterms:W3CDTF">2014-01-19T23:11:40Z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