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5" firstSheet="3" activeTab="16"/>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road" sheetId="15" r:id="rId15"/>
    <sheet name="levy page10" sheetId="16" r:id="rId16"/>
    <sheet name="levy page11" sheetId="17" r:id="rId17"/>
    <sheet name="levy page12" sheetId="18" r:id="rId18"/>
    <sheet name="levy page13" sheetId="19" r:id="rId19"/>
    <sheet name="no levy page21" sheetId="20" r:id="rId20"/>
    <sheet name="no levy page22" sheetId="21" r:id="rId21"/>
    <sheet name="no levy page23" sheetId="22" r:id="rId22"/>
    <sheet name="no levy page24" sheetId="23" r:id="rId23"/>
    <sheet name="nonbudA" sheetId="24" r:id="rId24"/>
    <sheet name="nonbudB" sheetId="25" r:id="rId25"/>
    <sheet name="nonbudC" sheetId="26" r:id="rId26"/>
    <sheet name="NonBudFunds" sheetId="27" r:id="rId27"/>
    <sheet name="summ" sheetId="28" r:id="rId28"/>
    <sheet name="summ2" sheetId="29" r:id="rId29"/>
    <sheet name="Nhood" sheetId="30" r:id="rId30"/>
    <sheet name="Resolution" sheetId="31" r:id="rId31"/>
    <sheet name="Tab A" sheetId="32" r:id="rId32"/>
    <sheet name="Tab B" sheetId="33" r:id="rId33"/>
    <sheet name="Tab C" sheetId="34" r:id="rId34"/>
    <sheet name="Tab D" sheetId="35" r:id="rId35"/>
    <sheet name="Tab E" sheetId="36" r:id="rId36"/>
    <sheet name="Mill Rate Computation" sheetId="37" r:id="rId37"/>
    <sheet name="Helpful Links" sheetId="38" r:id="rId38"/>
    <sheet name="legend" sheetId="39" r:id="rId39"/>
  </sheets>
  <definedNames>
    <definedName name="_xlnm.Print_Area" localSheetId="12">'general'!$A$1:$E$102</definedName>
    <definedName name="_xlnm.Print_Area" localSheetId="1">'inputPrYr'!$A$1:$F$125</definedName>
    <definedName name="_xlnm.Print_Area" localSheetId="0">'instructions'!$A$1:$A$104</definedName>
    <definedName name="_xlnm.Print_Area" localSheetId="15">'levy page10'!$A$1:$E$61</definedName>
    <definedName name="_xlnm.Print_Area" localSheetId="16">'levy page11'!$A$1:$E$65</definedName>
    <definedName name="_xlnm.Print_Area" localSheetId="18">'levy page13'!$A$1:$E$54</definedName>
    <definedName name="_xlnm.Print_Area" localSheetId="29">'Nhood'!$A$1:$G$43</definedName>
    <definedName name="_xlnm.Print_Area" localSheetId="14">'road'!$B$1:$E$51</definedName>
    <definedName name="_xlnm.Print_Area" localSheetId="27">'summ'!$A$1:$H$60</definedName>
  </definedNames>
  <calcPr fullCalcOnLoad="1"/>
</workbook>
</file>

<file path=xl/sharedStrings.xml><?xml version="1.0" encoding="utf-8"?>
<sst xmlns="http://schemas.openxmlformats.org/spreadsheetml/2006/main" count="1795" uniqueCount="1019">
  <si>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</si>
  <si>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</si>
  <si>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</si>
  <si>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</si>
  <si>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</si>
  <si>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</si>
  <si>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</si>
  <si>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</si>
  <si>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</si>
  <si>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</si>
  <si>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</si>
  <si>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</si>
  <si>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</si>
  <si>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</si>
  <si>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</si>
  <si>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</si>
  <si>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</si>
  <si>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</si>
  <si>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</si>
  <si>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</si>
  <si>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</si>
  <si>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</si>
  <si>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</si>
  <si>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</si>
  <si>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</si>
  <si>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</si>
  <si>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</si>
  <si>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</si>
  <si>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</si>
  <si>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</si>
  <si>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</si>
  <si>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</si>
  <si>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</si>
  <si>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</si>
  <si>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</si>
  <si>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</si>
  <si>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</si>
  <si>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</si>
  <si>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</si>
  <si>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</si>
  <si>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</si>
  <si>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</si>
  <si>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</si>
  <si>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</si>
  <si>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</si>
  <si>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</si>
  <si>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</si>
  <si>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</si>
  <si>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</si>
  <si>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</si>
  <si>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</si>
  <si>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</si>
  <si>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</si>
  <si>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</si>
  <si>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</si>
  <si>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</si>
  <si>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</si>
  <si>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</si>
  <si>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</si>
  <si>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</si>
  <si>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</si>
  <si>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</si>
  <si>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Allocation Veh Taxes, Slider &amp; Neigh Revital</t>
  </si>
  <si>
    <t>County Treasurers Slider Estimate</t>
  </si>
  <si>
    <t>Slider Factor</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</si>
  <si>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</si>
  <si>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</si>
  <si>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</si>
  <si>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</si>
  <si>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</si>
  <si>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</si>
  <si>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</si>
  <si>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Allocation of Motor, Recreational, 16/20M Vehicle Taxes &amp; Slider</t>
  </si>
  <si>
    <t>Miscellaneous</t>
  </si>
  <si>
    <t>Neighborhood Revitalization Rebate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</si>
  <si>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</si>
  <si>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</si>
  <si>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</si>
  <si>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</si>
  <si>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</si>
  <si>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</si>
  <si>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</si>
  <si>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</si>
  <si>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</si>
  <si>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</si>
  <si>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</si>
  <si>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</si>
  <si>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</si>
  <si>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</si>
  <si>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</si>
  <si>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</si>
  <si>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</si>
  <si>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</si>
  <si>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</si>
  <si>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</si>
  <si>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</si>
  <si>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</si>
  <si>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</si>
  <si>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</si>
  <si>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</si>
  <si>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</si>
  <si>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</si>
  <si>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</si>
  <si>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</si>
  <si>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</si>
  <si>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</si>
  <si>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</si>
  <si>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</si>
  <si>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</si>
  <si>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</si>
  <si>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</si>
  <si>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</si>
  <si>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</si>
  <si>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</si>
  <si>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</si>
  <si>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</si>
  <si>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</si>
  <si>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</si>
  <si>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</si>
  <si>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</si>
  <si>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</si>
  <si>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</si>
  <si>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</si>
  <si>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</si>
  <si>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</si>
  <si>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</si>
  <si>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</si>
  <si>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</si>
  <si>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</si>
  <si>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</si>
  <si>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</si>
  <si>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</si>
  <si>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</si>
  <si>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</si>
  <si>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</si>
  <si>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</si>
  <si>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</si>
  <si>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</si>
  <si>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</si>
  <si>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</si>
  <si>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</si>
  <si>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</si>
  <si>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</si>
  <si>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</si>
  <si>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</si>
  <si>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</si>
  <si>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</si>
  <si>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</si>
  <si>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</si>
  <si>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</si>
  <si>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</si>
  <si>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</si>
  <si>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</si>
  <si>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</si>
  <si>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</si>
  <si>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</si>
  <si>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</si>
  <si>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</si>
  <si>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Total Receipts</t>
  </si>
  <si>
    <t>Resources Available:</t>
  </si>
  <si>
    <t xml:space="preserve">Page No. </t>
  </si>
  <si>
    <t xml:space="preserve">General </t>
  </si>
  <si>
    <t>Expenditures:</t>
  </si>
  <si>
    <t>Total Expenditures</t>
  </si>
  <si>
    <t>Tax Required</t>
  </si>
  <si>
    <t>%</t>
  </si>
  <si>
    <t>General Fund - Detail Expend</t>
  </si>
  <si>
    <t>General Administration</t>
  </si>
  <si>
    <t xml:space="preserve">  Capital Outlay</t>
  </si>
  <si>
    <t>Ambulance</t>
  </si>
  <si>
    <t>County Treasurer</t>
  </si>
  <si>
    <t>Debt Service</t>
  </si>
  <si>
    <t>Election</t>
  </si>
  <si>
    <t>Employee Benefits</t>
  </si>
  <si>
    <t xml:space="preserve">  Health Insurance</t>
  </si>
  <si>
    <t xml:space="preserve">  Retirement</t>
  </si>
  <si>
    <t xml:space="preserve">  Workers Compensation</t>
  </si>
  <si>
    <t xml:space="preserve">  Unemployment</t>
  </si>
  <si>
    <t>Mental Retardation</t>
  </si>
  <si>
    <t>Road &amp; Bridge</t>
  </si>
  <si>
    <t>Solid Waste</t>
  </si>
  <si>
    <t>Other</t>
  </si>
  <si>
    <t>Page No.</t>
  </si>
  <si>
    <t xml:space="preserve"> </t>
  </si>
  <si>
    <t>Prior Year Actual</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</si>
  <si>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</si>
  <si>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</si>
  <si>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</si>
  <si>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</si>
  <si>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</si>
  <si>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</si>
  <si>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</si>
  <si>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</si>
  <si>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</si>
  <si>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</si>
  <si>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</si>
  <si>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</si>
  <si>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</si>
  <si>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</si>
  <si>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</si>
  <si>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</si>
  <si>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</si>
  <si>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</si>
  <si>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</si>
  <si>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</si>
  <si>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</si>
  <si>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</si>
  <si>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</si>
  <si>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</si>
  <si>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</si>
  <si>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</si>
  <si>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</si>
  <si>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</si>
  <si>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</si>
  <si>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</si>
  <si>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</si>
  <si>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</si>
  <si>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</si>
  <si>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</si>
  <si>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</si>
  <si>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</si>
  <si>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</si>
  <si>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</si>
  <si>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</si>
  <si>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</si>
  <si>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</si>
  <si>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</si>
  <si>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</si>
  <si>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</si>
  <si>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</si>
  <si>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</si>
  <si>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</si>
  <si>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</si>
  <si>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</si>
  <si>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</si>
  <si>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</si>
  <si>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</si>
  <si>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</si>
  <si>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</si>
  <si>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</si>
  <si>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</si>
  <si>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</si>
  <si>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</si>
  <si>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</si>
  <si>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</si>
  <si>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</si>
  <si>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</si>
  <si>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</si>
  <si>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</si>
  <si>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</si>
  <si>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</si>
  <si>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</si>
  <si>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</si>
  <si>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</si>
  <si>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 xml:space="preserve">The governing body of </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</si>
  <si>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</si>
  <si>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</si>
  <si>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</si>
  <si>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</si>
  <si>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</si>
  <si>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</si>
  <si>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</si>
  <si>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</si>
  <si>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</si>
  <si>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</si>
  <si>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</si>
  <si>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</si>
  <si>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</si>
  <si>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</si>
  <si>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</si>
  <si>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</si>
  <si>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</si>
  <si>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</si>
  <si>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</si>
  <si>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</si>
  <si>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</si>
  <si>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</si>
  <si>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</si>
  <si>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</si>
  <si>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</si>
  <si>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</si>
  <si>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</si>
  <si>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</si>
  <si>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</si>
  <si>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</si>
  <si>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</si>
  <si>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</si>
  <si>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</si>
  <si>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</si>
  <si>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</si>
  <si>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</si>
  <si>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</si>
  <si>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</si>
  <si>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</si>
  <si>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</si>
  <si>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</si>
  <si>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</si>
  <si>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</si>
  <si>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</si>
  <si>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</si>
  <si>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</si>
  <si>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</si>
  <si>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Page7b</t>
  </si>
  <si>
    <t>Total - Page 7c</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</si>
  <si>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</si>
  <si>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</si>
  <si>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</si>
  <si>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</si>
  <si>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</si>
  <si>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</si>
  <si>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</si>
  <si>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</si>
  <si>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</si>
  <si>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</si>
  <si>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</si>
  <si>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</si>
  <si>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</si>
  <si>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</si>
  <si>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Current Year Estimate</t>
  </si>
  <si>
    <t>Proposed Budget Year</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</si>
  <si>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</si>
  <si>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</si>
  <si>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</si>
  <si>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</si>
  <si>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Slider</t>
  </si>
  <si>
    <t>Computation of Delinquency</t>
  </si>
  <si>
    <t>Rate used in this budget will be shown on all fund pages with a tax levy**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</si>
  <si>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</si>
  <si>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</si>
  <si>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</si>
  <si>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</si>
  <si>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</si>
  <si>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</si>
  <si>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</si>
  <si>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</si>
  <si>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</si>
  <si>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</si>
  <si>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</si>
  <si>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</si>
  <si>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</si>
  <si>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</si>
  <si>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</si>
  <si>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</si>
  <si>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</si>
  <si>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</si>
  <si>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</si>
  <si>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</si>
  <si>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</si>
  <si>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</si>
  <si>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</si>
  <si>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</si>
  <si>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</si>
  <si>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</si>
  <si>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</si>
  <si>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</si>
  <si>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</si>
  <si>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</si>
  <si>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</si>
  <si>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</si>
  <si>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</si>
  <si>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</si>
  <si>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</si>
  <si>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</si>
  <si>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</si>
  <si>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</si>
  <si>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</si>
  <si>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</si>
  <si>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</si>
  <si>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</si>
  <si>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</si>
  <si>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</si>
  <si>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</si>
  <si>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</si>
  <si>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</si>
  <si>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</si>
  <si>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</si>
  <si>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</si>
  <si>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</si>
  <si>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</si>
  <si>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</si>
  <si>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</si>
  <si>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</si>
  <si>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</si>
  <si>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</si>
  <si>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</si>
  <si>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</si>
  <si>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</si>
  <si>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</si>
  <si>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</si>
  <si>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</si>
  <si>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</si>
  <si>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</si>
  <si>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</si>
  <si>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</si>
  <si>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</si>
  <si>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</si>
  <si>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</si>
  <si>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</si>
  <si>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</si>
  <si>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</si>
  <si>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</si>
  <si>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</si>
  <si>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</si>
  <si>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</si>
  <si>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</si>
  <si>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</si>
  <si>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</si>
  <si>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</si>
  <si>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</si>
  <si>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</si>
  <si>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</si>
  <si>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</si>
  <si>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</si>
  <si>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</si>
  <si>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</si>
  <si>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</si>
  <si>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</si>
  <si>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</si>
  <si>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</si>
  <si>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</si>
  <si>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</si>
  <si>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</si>
  <si>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</si>
  <si>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</si>
  <si>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</si>
  <si>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</si>
  <si>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</si>
  <si>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</si>
  <si>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</si>
  <si>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</si>
  <si>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</si>
  <si>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</si>
  <si>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</si>
  <si>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</si>
  <si>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</si>
  <si>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</si>
  <si>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</si>
  <si>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</si>
  <si>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</si>
  <si>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</si>
  <si>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</si>
  <si>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</si>
  <si>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</si>
  <si>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</si>
  <si>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</si>
  <si>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</si>
  <si>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</si>
  <si>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</si>
  <si>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</si>
  <si>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</si>
  <si>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</si>
  <si>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</si>
  <si>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</si>
  <si>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</si>
  <si>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</si>
  <si>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</si>
  <si>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</si>
  <si>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</si>
  <si>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</si>
  <si>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</si>
  <si>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</si>
  <si>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</si>
  <si>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</si>
  <si>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</si>
  <si>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</si>
  <si>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</si>
  <si>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</si>
  <si>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</si>
  <si>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</si>
  <si>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</si>
  <si>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</si>
  <si>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</si>
  <si>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</si>
  <si>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</si>
  <si>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</si>
  <si>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</si>
  <si>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</si>
  <si>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</si>
  <si>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</si>
  <si>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</si>
  <si>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</si>
  <si>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</si>
  <si>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</si>
  <si>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</si>
  <si>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</si>
  <si>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</si>
  <si>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</si>
  <si>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</si>
  <si>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</si>
  <si>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</si>
  <si>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</si>
  <si>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</si>
  <si>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</si>
  <si>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</si>
  <si>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</si>
  <si>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</si>
  <si>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</si>
  <si>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</si>
  <si>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</si>
  <si>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</si>
  <si>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</si>
  <si>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</si>
  <si>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</si>
  <si>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</si>
  <si>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</si>
  <si>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</si>
  <si>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</si>
  <si>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</si>
  <si>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</si>
  <si>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</si>
  <si>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</si>
  <si>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</si>
  <si>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</si>
  <si>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</si>
  <si>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</si>
  <si>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</si>
  <si>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</si>
  <si>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</si>
  <si>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</si>
  <si>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</si>
  <si>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</si>
  <si>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</si>
  <si>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</si>
  <si>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</si>
  <si>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</si>
  <si>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</si>
  <si>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</si>
  <si>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</si>
  <si>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</si>
  <si>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</si>
  <si>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</si>
  <si>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</si>
  <si>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</si>
  <si>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</si>
  <si>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</si>
  <si>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</si>
  <si>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</si>
  <si>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</si>
  <si>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</si>
  <si>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</si>
  <si>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</si>
  <si>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</si>
  <si>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</si>
  <si>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</si>
  <si>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</si>
  <si>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</si>
  <si>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</si>
  <si>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</si>
  <si>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</si>
  <si>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</si>
  <si>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</si>
  <si>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</si>
  <si>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</si>
  <si>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</si>
  <si>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</si>
  <si>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</si>
  <si>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</si>
  <si>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</si>
  <si>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</si>
  <si>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</si>
  <si>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</si>
  <si>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</si>
  <si>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</si>
  <si>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</si>
  <si>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</si>
  <si>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</si>
  <si>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</si>
  <si>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</si>
  <si>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</si>
  <si>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</si>
  <si>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</si>
  <si>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</si>
  <si>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</si>
  <si>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</si>
  <si>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</si>
  <si>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</si>
  <si>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</si>
  <si>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</si>
  <si>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</si>
  <si>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</si>
  <si>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</si>
  <si>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</si>
  <si>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</si>
  <si>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</si>
  <si>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</si>
  <si>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</si>
  <si>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</si>
  <si>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</si>
  <si>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</si>
  <si>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</si>
  <si>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</si>
  <si>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</si>
  <si>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</si>
  <si>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</si>
  <si>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</si>
  <si>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</si>
  <si>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</si>
  <si>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</si>
  <si>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</si>
  <si>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</si>
  <si>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</si>
  <si>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</si>
  <si>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</si>
  <si>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</si>
  <si>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</si>
  <si>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</si>
  <si>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</si>
  <si>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</si>
  <si>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</si>
  <si>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</si>
  <si>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</si>
  <si>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</si>
  <si>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</si>
  <si>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</si>
  <si>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</si>
  <si>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</si>
  <si>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</si>
  <si>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</si>
  <si>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</si>
  <si>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</si>
  <si>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</si>
  <si>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</si>
  <si>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</si>
  <si>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</si>
  <si>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</si>
  <si>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</si>
  <si>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</si>
  <si>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</si>
  <si>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</si>
  <si>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</si>
  <si>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</si>
  <si>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</si>
  <si>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</si>
  <si>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6.  Motor Vehicle Allocation and Slider (mvalloc)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</si>
  <si>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</si>
  <si>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</si>
  <si>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</si>
  <si>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</si>
  <si>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</si>
  <si>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</si>
  <si>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</si>
  <si>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</si>
  <si>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</si>
  <si>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The fourth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</si>
  <si>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</si>
  <si>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</si>
  <si>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</si>
  <si>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</si>
  <si>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</si>
  <si>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</si>
  <si>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</si>
  <si>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</si>
  <si>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</si>
  <si>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</si>
  <si>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</si>
  <si>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</si>
  <si>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</si>
  <si>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</si>
  <si>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</si>
  <si>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</si>
  <si>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</si>
  <si>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</si>
  <si>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</si>
  <si>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</si>
  <si>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</si>
  <si>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</si>
  <si>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</si>
  <si>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</si>
  <si>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</si>
  <si>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</si>
  <si>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</si>
  <si>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</si>
  <si>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</si>
  <si>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</si>
  <si>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</si>
  <si>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</si>
  <si>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</si>
  <si>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</si>
  <si>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</si>
  <si>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</si>
  <si>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</si>
  <si>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</si>
  <si>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</si>
  <si>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</si>
  <si>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</si>
  <si>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</si>
  <si>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</si>
  <si>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</si>
  <si>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</si>
  <si>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</si>
  <si>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</si>
  <si>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</si>
  <si>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</si>
  <si>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</si>
  <si>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</si>
  <si>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</si>
  <si>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</si>
  <si>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</si>
  <si>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</si>
  <si>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</si>
  <si>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</si>
  <si>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</si>
  <si>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</si>
  <si>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</si>
  <si>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</si>
  <si>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</si>
  <si>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</si>
  <si>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</si>
  <si>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</si>
  <si>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</si>
  <si>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</si>
  <si>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</si>
  <si>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</si>
  <si>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</si>
  <si>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</si>
  <si>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</si>
  <si>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</si>
  <si>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</si>
  <si>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</si>
  <si>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</si>
  <si>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</si>
  <si>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</si>
  <si>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</si>
  <si>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</si>
  <si>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</si>
  <si>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</si>
  <si>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</si>
  <si>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</si>
  <si>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</si>
  <si>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</si>
  <si>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</si>
  <si>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</si>
  <si>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</si>
  <si>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</si>
  <si>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</si>
  <si>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</si>
  <si>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</si>
  <si>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</si>
  <si>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</si>
  <si>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</si>
  <si>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</si>
  <si>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</si>
  <si>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</si>
  <si>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</si>
  <si>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</si>
  <si>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</si>
  <si>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</si>
  <si>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</si>
  <si>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</si>
  <si>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</si>
  <si>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</si>
  <si>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</si>
  <si>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</si>
  <si>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</si>
  <si>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</si>
  <si>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</si>
  <si>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</si>
  <si>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</si>
  <si>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</si>
  <si>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</si>
  <si>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</si>
  <si>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</si>
  <si>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</si>
  <si>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</si>
  <si>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</si>
  <si>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</si>
  <si>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</si>
  <si>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</si>
  <si>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</si>
  <si>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</si>
  <si>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</si>
  <si>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</si>
  <si>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</si>
  <si>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</si>
  <si>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</si>
  <si>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</si>
  <si>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</si>
  <si>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</si>
  <si>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</si>
  <si>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</si>
  <si>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</si>
  <si>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</si>
  <si>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</si>
  <si>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</si>
  <si>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</si>
  <si>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</si>
  <si>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</si>
  <si>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</si>
  <si>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</si>
  <si>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</si>
  <si>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</si>
  <si>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</si>
  <si>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</si>
  <si>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</si>
  <si>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</si>
  <si>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</si>
  <si>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10e.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</si>
  <si>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</si>
  <si>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10g.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</si>
  <si>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</si>
  <si>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</si>
  <si>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</si>
  <si>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</si>
  <si>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</si>
  <si>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</si>
  <si>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</si>
  <si>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</si>
  <si>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</si>
  <si>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t>
  </si>
  <si>
    <t>12f. If the Special District budgets are computed by the County Clerk, the Clerk could complete the County Spec District.xls spreadsheet and this spreadsheet would be included with the county's budget.  Both Budget Summary pages would be taken to the newspaper for publication.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</si>
  <si>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</si>
  <si>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</si>
  <si>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</si>
  <si>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</si>
  <si>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</si>
  <si>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</si>
  <si>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</si>
  <si>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</si>
  <si>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</si>
  <si>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</si>
  <si>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</si>
  <si>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</si>
  <si>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</si>
  <si>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</si>
  <si>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The following were changed to this spreadsheet on 4/19/11</t>
  </si>
  <si>
    <t>1. Summ tabs changed proposed year expenditure column to 'Budget Authority for Expenditures'</t>
  </si>
  <si>
    <t>Sheridan County</t>
  </si>
  <si>
    <t>Noxious Weed</t>
  </si>
  <si>
    <t>2-1318</t>
  </si>
  <si>
    <t>Public Health</t>
  </si>
  <si>
    <t>Council on Aging</t>
  </si>
  <si>
    <t>Library Service Contract</t>
  </si>
  <si>
    <t>Hospital Maintenance</t>
  </si>
  <si>
    <t>19-4011</t>
  </si>
  <si>
    <t>Sp. Elec.</t>
  </si>
  <si>
    <t>12-1230</t>
  </si>
  <si>
    <t>19-4606</t>
  </si>
  <si>
    <t>Noxious Weed Capital Outlay</t>
  </si>
  <si>
    <t>911 Emergency Tax</t>
  </si>
  <si>
    <t>Parks &amp; Recreation</t>
  </si>
  <si>
    <t>Solid Waste Disposal</t>
  </si>
  <si>
    <t>Alcohol Program</t>
  </si>
  <si>
    <t>Special Ambulance</t>
  </si>
  <si>
    <t>911 Wireless</t>
  </si>
  <si>
    <t>Special Hwy Improvement</t>
  </si>
  <si>
    <t>Special Machinery</t>
  </si>
  <si>
    <t>Public Transportation Van</t>
  </si>
  <si>
    <t>Capital Project</t>
  </si>
  <si>
    <t>Special Motor Vehicle</t>
  </si>
  <si>
    <t>VIN</t>
  </si>
  <si>
    <t>Prosecuting Attorney Tr.</t>
  </si>
  <si>
    <t>CDBG (Micro-Loan)</t>
  </si>
  <si>
    <t>Recycling Grant</t>
  </si>
  <si>
    <t>Special Technology</t>
  </si>
  <si>
    <t>Concealed Carry Law</t>
  </si>
  <si>
    <t>Sexual Offender Registry</t>
  </si>
  <si>
    <t>FEMA Allocation of Road</t>
  </si>
  <si>
    <t xml:space="preserve">the Commissioner's Room </t>
  </si>
  <si>
    <t>the County Clerk's Office, Hoxie, Kansas</t>
  </si>
  <si>
    <t>David E. Leopold, CPA</t>
  </si>
  <si>
    <t>PO Box 235</t>
  </si>
  <si>
    <t>Hoxie, KS 67740</t>
  </si>
  <si>
    <t>Rural Fire District #1</t>
  </si>
  <si>
    <t>80-1545</t>
  </si>
  <si>
    <t>N/A</t>
  </si>
  <si>
    <t xml:space="preserve">  Ad Valorem Tax</t>
  </si>
  <si>
    <t xml:space="preserve">  Delinquent Tax</t>
  </si>
  <si>
    <t xml:space="preserve">  Motor Vehicle Tax</t>
  </si>
  <si>
    <t xml:space="preserve">  Recreational Vehicle Tax</t>
  </si>
  <si>
    <t xml:space="preserve">  16/20M Vehicle Tax</t>
  </si>
  <si>
    <t xml:space="preserve">  Local Alcoholic Liquor</t>
  </si>
  <si>
    <t xml:space="preserve">  Severance Tax</t>
  </si>
  <si>
    <t xml:space="preserve">  Local Comp/Retail Sales Tax</t>
  </si>
  <si>
    <t xml:space="preserve">  Int. &amp; Chgs. On Del., Current, &amp; MVPP</t>
  </si>
  <si>
    <t xml:space="preserve">  Ambulance Fees</t>
  </si>
  <si>
    <t xml:space="preserve">  Antique Registration Fees</t>
  </si>
  <si>
    <t xml:space="preserve">  Game License Fees</t>
  </si>
  <si>
    <t xml:space="preserve">  County Officer's Fees</t>
  </si>
  <si>
    <t xml:space="preserve">  Mortgage Registration Fees </t>
  </si>
  <si>
    <t xml:space="preserve">  Moving Fees</t>
  </si>
  <si>
    <t xml:space="preserve">  Rent</t>
  </si>
  <si>
    <t xml:space="preserve">  Filing Fees</t>
  </si>
  <si>
    <t xml:space="preserve">  Mail In Fees</t>
  </si>
  <si>
    <t xml:space="preserve">  Diversion Fund Fees</t>
  </si>
  <si>
    <t xml:space="preserve">  Interest on Idle Funds</t>
  </si>
  <si>
    <t xml:space="preserve">  Booking Fees</t>
  </si>
  <si>
    <t xml:space="preserve">  Maps</t>
  </si>
  <si>
    <t xml:space="preserve">  Jail Keep</t>
  </si>
  <si>
    <t xml:space="preserve">  County Attorney Insufficient Checks</t>
  </si>
  <si>
    <t xml:space="preserve">  District Coroner - State of Kansas</t>
  </si>
  <si>
    <t xml:space="preserve">  Alcohol/Drug Assessment Fee</t>
  </si>
  <si>
    <t xml:space="preserve">  Miscellaneous Income</t>
  </si>
  <si>
    <t>Transfer from:</t>
  </si>
  <si>
    <t xml:space="preserve">  Special Motor Vehicle</t>
  </si>
  <si>
    <t xml:space="preserve">  Utilities &amp; Telephone</t>
  </si>
  <si>
    <t xml:space="preserve">  Insurance</t>
  </si>
  <si>
    <t xml:space="preserve">  Legal Services</t>
  </si>
  <si>
    <t xml:space="preserve">  Employee Misc. Pay</t>
  </si>
  <si>
    <t xml:space="preserve">  Publications &amp; Supplies</t>
  </si>
  <si>
    <t xml:space="preserve">  Jurors</t>
  </si>
  <si>
    <t xml:space="preserve">  Audit</t>
  </si>
  <si>
    <t xml:space="preserve">  Equipment</t>
  </si>
  <si>
    <t xml:space="preserve">  Postage</t>
  </si>
  <si>
    <t xml:space="preserve">  Building Repairs</t>
  </si>
  <si>
    <t>Apportionments</t>
  </si>
  <si>
    <t xml:space="preserve">  Airports</t>
  </si>
  <si>
    <t xml:space="preserve">  Economic Development</t>
  </si>
  <si>
    <t xml:space="preserve">  Extension Council</t>
  </si>
  <si>
    <t xml:space="preserve">  Fair</t>
  </si>
  <si>
    <t xml:space="preserve">  Historical Society</t>
  </si>
  <si>
    <t xml:space="preserve">  Soil Conservation</t>
  </si>
  <si>
    <t xml:space="preserve">  Personal Services</t>
  </si>
  <si>
    <t xml:space="preserve">  Training Officer</t>
  </si>
  <si>
    <t xml:space="preserve">  EMS Building Work</t>
  </si>
  <si>
    <t xml:space="preserve">  EMT Student Reimbursement</t>
  </si>
  <si>
    <t xml:space="preserve">  Expenditures</t>
  </si>
  <si>
    <t>Appraiser</t>
  </si>
  <si>
    <t xml:space="preserve">County Attorney  </t>
  </si>
  <si>
    <t>County Commissioners</t>
  </si>
  <si>
    <t>County Register of Deeds</t>
  </si>
  <si>
    <t>County Sheriff</t>
  </si>
  <si>
    <t>County Health Officer</t>
  </si>
  <si>
    <t>Custodian</t>
  </si>
  <si>
    <t>Dispatch</t>
  </si>
  <si>
    <t>Emergency Preparedness</t>
  </si>
  <si>
    <t xml:space="preserve">  Social Security &amp; Medicare</t>
  </si>
  <si>
    <t xml:space="preserve">  Misc.</t>
  </si>
  <si>
    <t>District Coroner</t>
  </si>
  <si>
    <t>Prisoner Care</t>
  </si>
  <si>
    <t>Area Council on Aging</t>
  </si>
  <si>
    <t>Vehicle Replacement</t>
  </si>
  <si>
    <t>Juvenile Justice Authority</t>
  </si>
  <si>
    <t>Information Technology</t>
  </si>
  <si>
    <t xml:space="preserve">Vehicle   </t>
  </si>
  <si>
    <t>Child Advocacy Group</t>
  </si>
  <si>
    <t>Transfer to:</t>
  </si>
  <si>
    <t xml:space="preserve">  Special Ambulance</t>
  </si>
  <si>
    <t xml:space="preserve">  </t>
  </si>
  <si>
    <t xml:space="preserve">  Special City &amp; County Highway</t>
  </si>
  <si>
    <t xml:space="preserve">  County Equal. &amp; Adj.</t>
  </si>
  <si>
    <t xml:space="preserve">  State of Kansas - Other</t>
  </si>
  <si>
    <t>Page No. 8</t>
  </si>
  <si>
    <t>Transfers to:</t>
  </si>
  <si>
    <t xml:space="preserve">  Recycling Grant</t>
  </si>
  <si>
    <t xml:space="preserve">  Special Machinery</t>
  </si>
  <si>
    <t xml:space="preserve">  Spec. Hwy. Improvement</t>
  </si>
  <si>
    <t xml:space="preserve">  16/20 M Vehicle Tax</t>
  </si>
  <si>
    <t xml:space="preserve">  Reimbursements</t>
  </si>
  <si>
    <t xml:space="preserve">  Miscellaneous</t>
  </si>
  <si>
    <t xml:space="preserve">  Transfer to Noxious Weed Cap. Outlay</t>
  </si>
  <si>
    <t xml:space="preserve">  Apportionments</t>
  </si>
  <si>
    <t xml:space="preserve">  State of Kansas</t>
  </si>
  <si>
    <t xml:space="preserve">  WIC</t>
  </si>
  <si>
    <t xml:space="preserve">  Services/Fees</t>
  </si>
  <si>
    <t xml:space="preserve">  Donations</t>
  </si>
  <si>
    <t xml:space="preserve">  Grant Expenses</t>
  </si>
  <si>
    <t xml:space="preserve">   Apportionments</t>
  </si>
  <si>
    <t xml:space="preserve">  Local Sales Tax</t>
  </si>
  <si>
    <t xml:space="preserve">  Transfer from Noxious Weed</t>
  </si>
  <si>
    <t xml:space="preserve">  Telephone Companies</t>
  </si>
  <si>
    <t xml:space="preserve">  Tax Expenditures</t>
  </si>
  <si>
    <t xml:space="preserve">  Liquor Tax</t>
  </si>
  <si>
    <t xml:space="preserve">  Parks &amp; Recreation</t>
  </si>
  <si>
    <t xml:space="preserve">  Library</t>
  </si>
  <si>
    <t xml:space="preserve">  Public Usage</t>
  </si>
  <si>
    <t xml:space="preserve">  City Usage</t>
  </si>
  <si>
    <t xml:space="preserve">  City of Selden</t>
  </si>
  <si>
    <t xml:space="preserve">  Alcohol Program</t>
  </si>
  <si>
    <t xml:space="preserve">  Transfer from General</t>
  </si>
  <si>
    <t xml:space="preserve">  E-911 Receipts</t>
  </si>
  <si>
    <t xml:space="preserve">  State of Kansas Grant</t>
  </si>
  <si>
    <t>Trsf Road &amp; Bridge</t>
  </si>
  <si>
    <t>Contractual</t>
  </si>
  <si>
    <t>Commodities</t>
  </si>
  <si>
    <t>Reimbursements</t>
  </si>
  <si>
    <t>Capital Outlay</t>
  </si>
  <si>
    <t>NWKS Area Transit</t>
  </si>
  <si>
    <t>Donations &amp; Misc.</t>
  </si>
  <si>
    <t>Personal Services</t>
  </si>
  <si>
    <t xml:space="preserve">Expenditures </t>
  </si>
  <si>
    <t xml:space="preserve">Expenditures  </t>
  </si>
  <si>
    <t>Lien Fees</t>
  </si>
  <si>
    <t>Sales &amp; Comp Fees</t>
  </si>
  <si>
    <t>Motor Vehicle Fees</t>
  </si>
  <si>
    <t>State of Kansas</t>
  </si>
  <si>
    <t>Trsf to General</t>
  </si>
  <si>
    <t>VINs</t>
  </si>
  <si>
    <t>VIN Fees &amp; Misc.</t>
  </si>
  <si>
    <t>Case Fees</t>
  </si>
  <si>
    <t>KS PATF</t>
  </si>
  <si>
    <t>Loan Payments</t>
  </si>
  <si>
    <t>Micro-Loan Pmts</t>
  </si>
  <si>
    <t>KDHE Grant</t>
  </si>
  <si>
    <t>Grant Expenditures</t>
  </si>
  <si>
    <t>Local Expenditures</t>
  </si>
  <si>
    <t>Technology Fees</t>
  </si>
  <si>
    <t>Conc. Carry Licenses</t>
  </si>
  <si>
    <t xml:space="preserve">Receipts </t>
  </si>
  <si>
    <t>Special Hwy. Improvement</t>
  </si>
  <si>
    <t>Noxious Weed Cap. Out.</t>
  </si>
  <si>
    <t>19-119</t>
  </si>
  <si>
    <t>68-5101</t>
  </si>
  <si>
    <t>68-141g</t>
  </si>
  <si>
    <t>68-590</t>
  </si>
  <si>
    <t>8-145</t>
  </si>
  <si>
    <t xml:space="preserve">  Sale of Surplus Property</t>
  </si>
  <si>
    <t>FEMA Mitigation Plan</t>
  </si>
  <si>
    <t>Exempt</t>
  </si>
  <si>
    <t>Reflector</t>
  </si>
  <si>
    <t>Page No. 9</t>
  </si>
  <si>
    <t>Page No. 10</t>
  </si>
  <si>
    <t>Page No. 11</t>
  </si>
  <si>
    <t>Page No. 12</t>
  </si>
  <si>
    <t>Page No. 13</t>
  </si>
  <si>
    <t>Page No. 14</t>
  </si>
  <si>
    <t>Page No. 15</t>
  </si>
  <si>
    <t>Page No. 16</t>
  </si>
  <si>
    <t>Page No. 20</t>
  </si>
  <si>
    <t>Page No. 22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</si>
</sst>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0"/>
      <color theme="1"/>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4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772">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0" fontId="4" fillId="0" borderId="0" xfId="0" applyFont="1" applyAlignment="1" applyProtection="1">
      <alignment horizontal="centerContinuous"/>
      <protection locked="0"/>
    </xf>
    <xf numFmtId="37" fontId="4" fillId="0" borderId="10" xfId="0" applyNumberFormat="1" applyFont="1" applyBorder="1" applyAlignment="1" applyProtection="1">
      <alignment horizontal="fill"/>
      <protection locked="0"/>
    </xf>
    <xf numFmtId="37" fontId="4" fillId="33" borderId="11"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1" xfId="0" applyNumberFormat="1" applyFont="1" applyFill="1" applyBorder="1" applyAlignment="1" applyProtection="1">
      <alignment/>
      <protection locked="0"/>
    </xf>
    <xf numFmtId="37" fontId="4" fillId="34" borderId="12"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3" xfId="0" applyNumberFormat="1"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0" fontId="4" fillId="34" borderId="15" xfId="0" applyFont="1" applyFill="1" applyBorder="1" applyAlignment="1" applyProtection="1">
      <alignment horizontal="centerContinuous"/>
      <protection/>
    </xf>
    <xf numFmtId="37" fontId="4" fillId="34" borderId="16" xfId="0" applyNumberFormat="1" applyFont="1" applyFill="1" applyBorder="1" applyAlignment="1" applyProtection="1">
      <alignment horizontal="center"/>
      <protection/>
    </xf>
    <xf numFmtId="37" fontId="4" fillId="34" borderId="17" xfId="0" applyNumberFormat="1"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37" fontId="4" fillId="34" borderId="11" xfId="0" applyNumberFormat="1" applyFont="1" applyFill="1" applyBorder="1" applyAlignment="1" applyProtection="1">
      <alignment/>
      <protection/>
    </xf>
    <xf numFmtId="37" fontId="4" fillId="34" borderId="10"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6" xfId="0" applyFont="1" applyFill="1" applyBorder="1" applyAlignment="1" applyProtection="1">
      <alignment horizontal="centerContinuous"/>
      <protection/>
    </xf>
    <xf numFmtId="1" fontId="4" fillId="34" borderId="13" xfId="0" applyNumberFormat="1" applyFont="1" applyFill="1" applyBorder="1" applyAlignment="1" applyProtection="1">
      <alignment horizontal="centerContinuous"/>
      <protection/>
    </xf>
    <xf numFmtId="164" fontId="4" fillId="34" borderId="11" xfId="0" applyNumberFormat="1" applyFont="1" applyFill="1" applyBorder="1" applyAlignment="1" applyProtection="1">
      <alignment/>
      <protection/>
    </xf>
    <xf numFmtId="0" fontId="4" fillId="34" borderId="16" xfId="0" applyFont="1" applyFill="1" applyBorder="1" applyAlignment="1">
      <alignment/>
    </xf>
    <xf numFmtId="0" fontId="14" fillId="0" borderId="0" xfId="0" applyFont="1" applyAlignment="1">
      <alignment horizontal="center" vertical="top"/>
    </xf>
    <xf numFmtId="0" fontId="12" fillId="0" borderId="0" xfId="402">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02"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02" applyFont="1">
      <alignment/>
      <protection/>
    </xf>
    <xf numFmtId="164" fontId="4" fillId="34" borderId="11" xfId="0" applyNumberFormat="1" applyFont="1" applyFill="1" applyBorder="1" applyAlignment="1" applyProtection="1">
      <alignment/>
      <protection locked="0"/>
    </xf>
    <xf numFmtId="0" fontId="4" fillId="0" borderId="0" xfId="0" applyFont="1" applyAlignment="1">
      <alignment horizontal="right"/>
    </xf>
    <xf numFmtId="37" fontId="4" fillId="34" borderId="11" xfId="0" applyNumberFormat="1" applyFont="1" applyFill="1" applyBorder="1" applyAlignment="1" applyProtection="1">
      <alignment horizontal="center"/>
      <protection/>
    </xf>
    <xf numFmtId="177" fontId="4" fillId="34" borderId="11" xfId="0" applyNumberFormat="1" applyFont="1" applyFill="1" applyBorder="1" applyAlignment="1" applyProtection="1">
      <alignment horizontal="center"/>
      <protection/>
    </xf>
    <xf numFmtId="37" fontId="4" fillId="35" borderId="18" xfId="0" applyNumberFormat="1" applyFont="1" applyFill="1" applyBorder="1" applyAlignment="1" applyProtection="1">
      <alignment horizontal="center"/>
      <protection/>
    </xf>
    <xf numFmtId="177" fontId="4" fillId="35" borderId="18" xfId="0" applyNumberFormat="1" applyFont="1" applyFill="1" applyBorder="1" applyAlignment="1" applyProtection="1">
      <alignment horizontal="center"/>
      <protection/>
    </xf>
    <xf numFmtId="166" fontId="4" fillId="34" borderId="0" xfId="0" applyNumberFormat="1" applyFont="1" applyFill="1" applyAlignment="1" applyProtection="1">
      <alignment horizontal="center"/>
      <protection/>
    </xf>
    <xf numFmtId="37" fontId="4"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0"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9"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0" xfId="0" applyFont="1" applyFill="1" applyBorder="1" applyAlignment="1" applyProtection="1">
      <alignment vertical="center"/>
      <protection/>
    </xf>
    <xf numFmtId="37" fontId="4" fillId="33" borderId="10"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6" xfId="0" applyFont="1" applyFill="1" applyBorder="1" applyAlignment="1" applyProtection="1">
      <alignment horizontal="center" vertical="center"/>
      <protection/>
    </xf>
    <xf numFmtId="37" fontId="4" fillId="36" borderId="16" xfId="0" applyNumberFormat="1" applyFont="1" applyFill="1" applyBorder="1" applyAlignment="1" applyProtection="1">
      <alignment horizontal="center" vertical="center"/>
      <protection/>
    </xf>
    <xf numFmtId="0" fontId="4" fillId="36" borderId="16"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wrapText="1"/>
      <protection locked="0"/>
    </xf>
    <xf numFmtId="164" fontId="4" fillId="33" borderId="11" xfId="0" applyNumberFormat="1" applyFont="1" applyFill="1" applyBorder="1" applyAlignment="1" applyProtection="1">
      <alignment vertical="center"/>
      <protection locked="0"/>
    </xf>
    <xf numFmtId="0" fontId="4" fillId="34" borderId="11" xfId="0"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0" fontId="4" fillId="34" borderId="15" xfId="0" applyFont="1" applyFill="1" applyBorder="1" applyAlignment="1" applyProtection="1">
      <alignment vertical="center"/>
      <protection/>
    </xf>
    <xf numFmtId="3" fontId="4" fillId="35" borderId="15" xfId="0" applyNumberFormat="1" applyFont="1" applyFill="1" applyBorder="1" applyAlignment="1" applyProtection="1">
      <alignment vertical="center"/>
      <protection/>
    </xf>
    <xf numFmtId="164" fontId="4" fillId="35" borderId="11"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locked="0"/>
    </xf>
    <xf numFmtId="0" fontId="4" fillId="34" borderId="19" xfId="0" applyFont="1" applyFill="1" applyBorder="1" applyAlignment="1" applyProtection="1">
      <alignment vertical="center"/>
      <protection/>
    </xf>
    <xf numFmtId="3" fontId="4" fillId="35" borderId="11"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37" fontId="4" fillId="36" borderId="10" xfId="0" applyNumberFormat="1" applyFont="1" applyFill="1" applyBorder="1" applyAlignment="1" applyProtection="1">
      <alignment horizontal="left" vertical="center"/>
      <protection/>
    </xf>
    <xf numFmtId="0" fontId="4" fillId="36" borderId="10" xfId="0" applyFont="1" applyFill="1" applyBorder="1" applyAlignment="1" applyProtection="1">
      <alignment vertical="center"/>
      <protection/>
    </xf>
    <xf numFmtId="37" fontId="4" fillId="36" borderId="14" xfId="0" applyNumberFormat="1" applyFont="1" applyFill="1" applyBorder="1" applyAlignment="1" applyProtection="1">
      <alignment horizontal="left" vertical="center"/>
      <protection/>
    </xf>
    <xf numFmtId="0" fontId="4" fillId="36" borderId="14"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8" borderId="10"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4"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horizontal="left" vertical="center"/>
      <protection/>
    </xf>
    <xf numFmtId="3" fontId="4" fillId="34" borderId="19" xfId="0" applyNumberFormat="1"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0" fontId="0" fillId="34" borderId="0" xfId="0" applyFill="1" applyAlignment="1">
      <alignment vertical="center"/>
    </xf>
    <xf numFmtId="0" fontId="4" fillId="36" borderId="16" xfId="0" applyFont="1" applyFill="1" applyBorder="1" applyAlignment="1">
      <alignment horizontal="center" vertical="center"/>
    </xf>
    <xf numFmtId="0" fontId="4" fillId="36" borderId="12" xfId="0" applyFont="1" applyFill="1" applyBorder="1" applyAlignment="1">
      <alignment horizontal="center" vertical="center"/>
    </xf>
    <xf numFmtId="0" fontId="24" fillId="34" borderId="0" xfId="0" applyFont="1" applyFill="1" applyAlignment="1">
      <alignment vertical="center"/>
    </xf>
    <xf numFmtId="0" fontId="30"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3" xfId="0" applyNumberFormat="1" applyFont="1" applyFill="1" applyBorder="1" applyAlignment="1" applyProtection="1">
      <alignment horizontal="centerContinuous" vertical="center"/>
      <protection/>
    </xf>
    <xf numFmtId="0" fontId="18" fillId="34" borderId="14" xfId="0" applyFont="1" applyFill="1" applyBorder="1" applyAlignment="1" applyProtection="1">
      <alignment horizontal="centerContinuous" vertical="center"/>
      <protection/>
    </xf>
    <xf numFmtId="0" fontId="18" fillId="34" borderId="15" xfId="0" applyFont="1" applyFill="1" applyBorder="1" applyAlignment="1" applyProtection="1">
      <alignment horizontal="centerContinuous" vertical="center"/>
      <protection/>
    </xf>
    <xf numFmtId="37" fontId="18" fillId="34" borderId="16" xfId="0" applyNumberFormat="1" applyFont="1" applyFill="1" applyBorder="1" applyAlignment="1" applyProtection="1">
      <alignment horizontal="center" vertical="center"/>
      <protection/>
    </xf>
    <xf numFmtId="37" fontId="19" fillId="34" borderId="10" xfId="0" applyNumberFormat="1" applyFont="1" applyFill="1" applyBorder="1" applyAlignment="1" applyProtection="1">
      <alignment horizontal="left" vertical="center"/>
      <protection/>
    </xf>
    <xf numFmtId="0" fontId="18" fillId="34" borderId="10" xfId="0" applyFont="1" applyFill="1" applyBorder="1" applyAlignment="1" applyProtection="1">
      <alignment vertical="center"/>
      <protection/>
    </xf>
    <xf numFmtId="37" fontId="18" fillId="34" borderId="17"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horizontal="left" vertical="center"/>
      <protection/>
    </xf>
    <xf numFmtId="37" fontId="18" fillId="34" borderId="12" xfId="0" applyNumberFormat="1" applyFont="1" applyFill="1" applyBorder="1" applyAlignment="1" applyProtection="1">
      <alignment horizontal="center" vertical="center"/>
      <protection/>
    </xf>
    <xf numFmtId="37" fontId="18" fillId="34" borderId="16" xfId="0" applyNumberFormat="1" applyFont="1" applyFill="1" applyBorder="1" applyAlignment="1" applyProtection="1">
      <alignment horizontal="left" vertical="center"/>
      <protection/>
    </xf>
    <xf numFmtId="0" fontId="18" fillId="34" borderId="0" xfId="0" applyFont="1" applyFill="1" applyBorder="1" applyAlignment="1" applyProtection="1">
      <alignment vertical="center"/>
      <protection/>
    </xf>
    <xf numFmtId="37" fontId="18" fillId="34" borderId="13" xfId="0" applyNumberFormat="1" applyFont="1" applyFill="1" applyBorder="1" applyAlignment="1" applyProtection="1">
      <alignment horizontal="left" vertical="center"/>
      <protection/>
    </xf>
    <xf numFmtId="0" fontId="18" fillId="34" borderId="15" xfId="0" applyFont="1" applyFill="1" applyBorder="1" applyAlignment="1" applyProtection="1">
      <alignment vertical="center"/>
      <protection/>
    </xf>
    <xf numFmtId="37" fontId="18" fillId="34" borderId="19"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horizontal="center" vertical="center"/>
      <protection/>
    </xf>
    <xf numFmtId="0" fontId="18" fillId="34" borderId="12" xfId="0" applyFont="1" applyFill="1" applyBorder="1" applyAlignment="1" applyProtection="1">
      <alignment vertical="center"/>
      <protection/>
    </xf>
    <xf numFmtId="37" fontId="18" fillId="34" borderId="15" xfId="0" applyNumberFormat="1" applyFont="1" applyFill="1" applyBorder="1" applyAlignment="1" applyProtection="1">
      <alignment horizontal="center" vertical="center"/>
      <protection/>
    </xf>
    <xf numFmtId="37" fontId="28" fillId="34" borderId="17" xfId="0" applyNumberFormat="1" applyFont="1" applyFill="1" applyBorder="1" applyAlignment="1" applyProtection="1">
      <alignment horizontal="left" vertical="center"/>
      <protection/>
    </xf>
    <xf numFmtId="37" fontId="28" fillId="34" borderId="17"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0" fontId="18" fillId="34" borderId="17" xfId="0" applyFont="1" applyFill="1" applyBorder="1" applyAlignment="1" applyProtection="1">
      <alignment vertical="center"/>
      <protection/>
    </xf>
    <xf numFmtId="37" fontId="18" fillId="34" borderId="13"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vertical="center"/>
      <protection/>
    </xf>
    <xf numFmtId="183" fontId="4" fillId="34" borderId="11" xfId="0" applyNumberFormat="1" applyFont="1" applyFill="1" applyBorder="1" applyAlignment="1" applyProtection="1">
      <alignment vertical="center"/>
      <protection/>
    </xf>
    <xf numFmtId="0" fontId="18" fillId="34" borderId="11" xfId="0" applyFont="1" applyFill="1" applyBorder="1" applyAlignment="1" applyProtection="1">
      <alignment horizontal="center" vertical="center"/>
      <protection/>
    </xf>
    <xf numFmtId="0" fontId="18" fillId="34" borderId="16" xfId="0" applyFont="1" applyFill="1" applyBorder="1" applyAlignment="1" applyProtection="1">
      <alignment vertical="center"/>
      <protection/>
    </xf>
    <xf numFmtId="37" fontId="19" fillId="34" borderId="16" xfId="0" applyNumberFormat="1" applyFont="1" applyFill="1" applyBorder="1" applyAlignment="1" applyProtection="1">
      <alignment horizontal="left" vertical="center"/>
      <protection/>
    </xf>
    <xf numFmtId="37" fontId="18" fillId="34" borderId="18" xfId="0" applyNumberFormat="1" applyFont="1" applyFill="1" applyBorder="1" applyAlignment="1" applyProtection="1">
      <alignment vertical="center"/>
      <protection/>
    </xf>
    <xf numFmtId="183" fontId="18" fillId="34" borderId="18" xfId="0" applyNumberFormat="1" applyFont="1" applyFill="1" applyBorder="1" applyAlignment="1" applyProtection="1">
      <alignment vertical="center"/>
      <protection/>
    </xf>
    <xf numFmtId="37" fontId="18" fillId="34" borderId="20" xfId="0" applyNumberFormat="1" applyFont="1" applyFill="1" applyBorder="1" applyAlignment="1" applyProtection="1">
      <alignment horizontal="left" vertical="center"/>
      <protection/>
    </xf>
    <xf numFmtId="0" fontId="18" fillId="34" borderId="21"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1" xfId="0" applyFont="1" applyFill="1" applyBorder="1" applyAlignment="1">
      <alignment horizontal="center" vertical="center" shrinkToFit="1"/>
    </xf>
    <xf numFmtId="0" fontId="24" fillId="39" borderId="15" xfId="0" applyFont="1" applyFill="1" applyBorder="1" applyAlignment="1" applyProtection="1">
      <alignment horizontal="center" vertical="center"/>
      <protection/>
    </xf>
    <xf numFmtId="3" fontId="18" fillId="33" borderId="11" xfId="0" applyNumberFormat="1" applyFont="1" applyFill="1" applyBorder="1" applyAlignment="1" applyProtection="1">
      <alignment vertical="center"/>
      <protection locked="0"/>
    </xf>
    <xf numFmtId="37" fontId="18" fillId="34" borderId="15"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0" xfId="0" applyFont="1" applyFill="1" applyBorder="1" applyAlignment="1" applyProtection="1">
      <alignment vertical="center"/>
      <protection locked="0"/>
    </xf>
    <xf numFmtId="0" fontId="18" fillId="34" borderId="0" xfId="0" applyFont="1" applyFill="1" applyAlignment="1" applyProtection="1">
      <alignment vertical="center"/>
      <protection locked="0"/>
    </xf>
    <xf numFmtId="0" fontId="18" fillId="33" borderId="14" xfId="0" applyFont="1" applyFill="1" applyBorder="1" applyAlignment="1" applyProtection="1">
      <alignment vertical="center"/>
      <protection locked="0"/>
    </xf>
    <xf numFmtId="37" fontId="18" fillId="34" borderId="10" xfId="0" applyNumberFormat="1" applyFont="1" applyFill="1" applyBorder="1" applyAlignment="1" applyProtection="1">
      <alignment horizontal="fill"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centerContinuous" vertical="center"/>
      <protection locked="0"/>
    </xf>
    <xf numFmtId="0" fontId="18" fillId="34" borderId="10" xfId="0" applyFont="1" applyFill="1" applyBorder="1" applyAlignment="1" applyProtection="1">
      <alignment vertical="center"/>
      <protection locked="0"/>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3" xfId="0" applyNumberFormat="1"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6"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horizontal="left" vertical="center"/>
      <protection locked="0"/>
    </xf>
    <xf numFmtId="37" fontId="4" fillId="34" borderId="11" xfId="0" applyNumberFormat="1" applyFont="1" applyFill="1" applyBorder="1" applyAlignment="1" applyProtection="1">
      <alignment horizontal="fill" vertical="center"/>
      <protection/>
    </xf>
    <xf numFmtId="37" fontId="4" fillId="35" borderId="18" xfId="0" applyNumberFormat="1" applyFont="1" applyFill="1" applyBorder="1" applyAlignment="1" applyProtection="1">
      <alignment vertical="center"/>
      <protection/>
    </xf>
    <xf numFmtId="183" fontId="4" fillId="35" borderId="18"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1" xfId="42" applyNumberFormat="1"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01" applyFont="1" applyFill="1" applyAlignment="1" applyProtection="1">
      <alignment horizontal="centerContinuous" vertical="center"/>
      <protection/>
    </xf>
    <xf numFmtId="0" fontId="4" fillId="34" borderId="10" xfId="0" applyFont="1" applyFill="1" applyBorder="1" applyAlignment="1" applyProtection="1">
      <alignment horizontal="fill" vertical="center"/>
      <protection/>
    </xf>
    <xf numFmtId="0" fontId="4" fillId="34" borderId="16" xfId="0" applyFont="1" applyFill="1" applyBorder="1" applyAlignment="1" applyProtection="1">
      <alignment horizontal="center" vertical="center"/>
      <protection/>
    </xf>
    <xf numFmtId="0" fontId="4" fillId="34" borderId="20"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1"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0" fontId="4" fillId="33" borderId="11" xfId="0"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37" fontId="4" fillId="33" borderId="11" xfId="0" applyNumberFormat="1" applyFont="1" applyFill="1" applyBorder="1" applyAlignment="1" applyProtection="1">
      <alignment horizontal="center" vertical="center"/>
      <protection locked="0"/>
    </xf>
    <xf numFmtId="173" fontId="4" fillId="33" borderId="11" xfId="0" applyNumberFormat="1"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172" fontId="5" fillId="34" borderId="11" xfId="0" applyNumberFormat="1" applyFont="1" applyFill="1" applyBorder="1" applyAlignment="1" applyProtection="1">
      <alignment horizontal="center" vertical="center"/>
      <protection/>
    </xf>
    <xf numFmtId="2" fontId="5" fillId="34"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7" fontId="5" fillId="35" borderId="11" xfId="0" applyNumberFormat="1" applyFont="1" applyFill="1" applyBorder="1" applyAlignment="1" applyProtection="1">
      <alignment horizontal="center" vertical="center"/>
      <protection/>
    </xf>
    <xf numFmtId="173" fontId="5" fillId="34" borderId="11" xfId="0" applyNumberFormat="1" applyFont="1" applyFill="1" applyBorder="1" applyAlignment="1" applyProtection="1">
      <alignment horizontal="center" vertical="center"/>
      <protection/>
    </xf>
    <xf numFmtId="172" fontId="4" fillId="34" borderId="11" xfId="0" applyNumberFormat="1" applyFont="1" applyFill="1" applyBorder="1" applyAlignment="1" applyProtection="1">
      <alignment horizontal="center" vertical="center"/>
      <protection/>
    </xf>
    <xf numFmtId="2" fontId="4" fillId="34" borderId="11"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173" fontId="4" fillId="34" borderId="11" xfId="0"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xf>
    <xf numFmtId="1" fontId="4" fillId="34"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1" xfId="0" applyFont="1" applyFill="1" applyBorder="1" applyAlignment="1" applyProtection="1">
      <alignment vertical="center"/>
      <protection locked="0"/>
    </xf>
    <xf numFmtId="1" fontId="4" fillId="33" borderId="11" xfId="0" applyNumberFormat="1" applyFont="1" applyFill="1" applyBorder="1" applyAlignment="1" applyProtection="1">
      <alignment vertical="center"/>
      <protection locked="0"/>
    </xf>
    <xf numFmtId="2" fontId="4" fillId="33" borderId="11" xfId="0" applyNumberFormat="1" applyFont="1" applyFill="1" applyBorder="1" applyAlignment="1" applyProtection="1">
      <alignment vertical="center"/>
      <protection locked="0"/>
    </xf>
    <xf numFmtId="3" fontId="5" fillId="35" borderId="18"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00"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left" vertical="center"/>
      <protection/>
    </xf>
    <xf numFmtId="3" fontId="4" fillId="33" borderId="15"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37" fontId="4" fillId="33" borderId="13" xfId="0" applyNumberFormat="1" applyFont="1" applyFill="1" applyBorder="1" applyAlignment="1" applyProtection="1">
      <alignment vertical="center"/>
      <protection locked="0"/>
    </xf>
    <xf numFmtId="0" fontId="4" fillId="33" borderId="13" xfId="0" applyFont="1" applyFill="1" applyBorder="1" applyAlignment="1" applyProtection="1">
      <alignment horizontal="left" vertical="center"/>
      <protection locked="0"/>
    </xf>
    <xf numFmtId="0" fontId="4" fillId="34" borderId="13" xfId="0" applyFont="1" applyFill="1" applyBorder="1" applyAlignment="1" applyProtection="1">
      <alignment vertical="center"/>
      <protection/>
    </xf>
    <xf numFmtId="3" fontId="24" fillId="40" borderId="21"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left" vertical="center"/>
      <protection/>
    </xf>
    <xf numFmtId="37" fontId="5" fillId="35" borderId="11"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vertical="center"/>
      <protection/>
    </xf>
    <xf numFmtId="0" fontId="4" fillId="33" borderId="13" xfId="0" applyFont="1" applyFill="1" applyBorder="1" applyAlignment="1" applyProtection="1">
      <alignment vertical="center"/>
      <protection locked="0"/>
    </xf>
    <xf numFmtId="37" fontId="4" fillId="35" borderId="11"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6"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locked="0"/>
    </xf>
    <xf numFmtId="37" fontId="4" fillId="35" borderId="16"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18" xfId="0" applyNumberFormat="1" applyFont="1" applyFill="1" applyBorder="1" applyAlignment="1" applyProtection="1">
      <alignment vertical="center"/>
      <protection/>
    </xf>
    <xf numFmtId="0" fontId="24"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1" xfId="0" applyNumberFormat="1" applyFont="1" applyFill="1" applyBorder="1" applyAlignment="1" applyProtection="1">
      <alignment horizontal="fill" vertical="center"/>
      <protection/>
    </xf>
    <xf numFmtId="3" fontId="24" fillId="40" borderId="11" xfId="0" applyNumberFormat="1" applyFont="1" applyFill="1" applyBorder="1" applyAlignment="1" applyProtection="1">
      <alignment horizontal="center" vertical="center"/>
      <protection/>
    </xf>
    <xf numFmtId="3" fontId="4" fillId="39" borderId="11"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3" xfId="0" applyFont="1" applyFill="1" applyBorder="1" applyAlignment="1" applyProtection="1">
      <alignment horizontal="left" vertical="center"/>
      <protection/>
    </xf>
    <xf numFmtId="0" fontId="4" fillId="33" borderId="13" xfId="0" applyFont="1" applyFill="1" applyBorder="1" applyAlignment="1">
      <alignment vertical="center"/>
    </xf>
    <xf numFmtId="3" fontId="5" fillId="35" borderId="11"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3"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1" fillId="34" borderId="0" xfId="0" applyFont="1" applyFill="1" applyAlignment="1">
      <alignment horizontal="center" vertical="center"/>
    </xf>
    <xf numFmtId="0" fontId="4" fillId="34" borderId="15" xfId="0" applyFont="1" applyFill="1" applyBorder="1" applyAlignment="1">
      <alignment horizontal="center" vertical="center"/>
    </xf>
    <xf numFmtId="0" fontId="4" fillId="34" borderId="10" xfId="0" applyFont="1" applyFill="1" applyBorder="1" applyAlignment="1">
      <alignment vertical="center"/>
    </xf>
    <xf numFmtId="0" fontId="22" fillId="34" borderId="16" xfId="0" applyFont="1" applyFill="1" applyBorder="1" applyAlignment="1">
      <alignment vertical="center"/>
    </xf>
    <xf numFmtId="0" fontId="22" fillId="34" borderId="15" xfId="0" applyFont="1" applyFill="1" applyBorder="1" applyAlignment="1">
      <alignment horizontal="center" vertical="center"/>
    </xf>
    <xf numFmtId="0" fontId="22" fillId="34" borderId="21" xfId="0" applyFont="1" applyFill="1" applyBorder="1" applyAlignment="1">
      <alignment vertical="center"/>
    </xf>
    <xf numFmtId="0" fontId="22" fillId="34" borderId="11" xfId="0" applyFont="1" applyFill="1" applyBorder="1" applyAlignment="1">
      <alignment horizontal="center" vertical="center"/>
    </xf>
    <xf numFmtId="0" fontId="4" fillId="34" borderId="15" xfId="0" applyFont="1" applyFill="1" applyBorder="1" applyAlignment="1">
      <alignment vertical="center"/>
    </xf>
    <xf numFmtId="0" fontId="4" fillId="34" borderId="11" xfId="0" applyFont="1" applyFill="1" applyBorder="1" applyAlignment="1">
      <alignment horizontal="center" vertical="center"/>
    </xf>
    <xf numFmtId="0" fontId="22" fillId="34" borderId="27" xfId="0" applyFont="1" applyFill="1" applyBorder="1" applyAlignment="1">
      <alignment vertical="center"/>
    </xf>
    <xf numFmtId="3" fontId="22" fillId="33" borderId="11"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5" borderId="11"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1" xfId="0" applyFont="1" applyFill="1" applyBorder="1" applyAlignment="1" applyProtection="1">
      <alignment vertical="center"/>
      <protection locked="0"/>
    </xf>
    <xf numFmtId="0" fontId="22" fillId="33" borderId="21"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5" xfId="0" applyFont="1" applyFill="1" applyBorder="1" applyAlignment="1" applyProtection="1">
      <alignment vertical="center"/>
      <protection locked="0"/>
    </xf>
    <xf numFmtId="0" fontId="22" fillId="33" borderId="17" xfId="0" applyFont="1" applyFill="1" applyBorder="1" applyAlignment="1" applyProtection="1">
      <alignment vertical="center"/>
      <protection locked="0"/>
    </xf>
    <xf numFmtId="0" fontId="22" fillId="33" borderId="24" xfId="0" applyFont="1" applyFill="1" applyBorder="1" applyAlignment="1" applyProtection="1">
      <alignment vertical="center"/>
      <protection locked="0"/>
    </xf>
    <xf numFmtId="3" fontId="22" fillId="34" borderId="11" xfId="0" applyNumberFormat="1" applyFont="1" applyFill="1" applyBorder="1" applyAlignment="1">
      <alignment horizontal="center" vertical="center"/>
    </xf>
    <xf numFmtId="3" fontId="27" fillId="39" borderId="11"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34" borderId="16" xfId="0" applyFont="1" applyFill="1" applyBorder="1" applyAlignment="1" applyProtection="1">
      <alignment horizontal="centerContinuous" vertical="center"/>
      <protection/>
    </xf>
    <xf numFmtId="1" fontId="4" fillId="34" borderId="13" xfId="0" applyNumberFormat="1" applyFont="1" applyFill="1" applyBorder="1" applyAlignment="1" applyProtection="1">
      <alignment horizontal="centerContinuous" vertical="center"/>
      <protection/>
    </xf>
    <xf numFmtId="164"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18"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6" xfId="0"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protection locked="0"/>
    </xf>
    <xf numFmtId="184" fontId="4" fillId="34" borderId="11"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locked="0"/>
    </xf>
    <xf numFmtId="3" fontId="4" fillId="34" borderId="18" xfId="0" applyNumberFormat="1" applyFont="1" applyFill="1" applyBorder="1" applyAlignment="1" applyProtection="1">
      <alignment horizontal="center" vertical="center"/>
      <protection/>
    </xf>
    <xf numFmtId="184"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4" fontId="4" fillId="34" borderId="10"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0"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2" fillId="0" borderId="0" xfId="0" applyFont="1" applyAlignment="1">
      <alignment horizontal="center" vertical="center"/>
    </xf>
    <xf numFmtId="0" fontId="5" fillId="0" borderId="0" xfId="0" applyFont="1" applyAlignment="1">
      <alignment vertical="center" wrapText="1"/>
    </xf>
    <xf numFmtId="3" fontId="37" fillId="39" borderId="0" xfId="0" applyNumberFormat="1" applyFont="1" applyFill="1" applyAlignment="1">
      <alignment horizontal="center" vertical="center"/>
    </xf>
    <xf numFmtId="0" fontId="4" fillId="0" borderId="0" xfId="356" applyNumberFormat="1" applyFont="1" applyAlignment="1">
      <alignment vertical="center" wrapText="1"/>
      <protection/>
    </xf>
    <xf numFmtId="0" fontId="4" fillId="0" borderId="0" xfId="365" applyNumberFormat="1" applyFont="1" applyAlignment="1">
      <alignment vertical="center" wrapText="1"/>
      <protection/>
    </xf>
    <xf numFmtId="0" fontId="4" fillId="0" borderId="0" xfId="372" applyFont="1" applyAlignment="1">
      <alignment vertical="center" wrapText="1"/>
      <protection/>
    </xf>
    <xf numFmtId="0" fontId="4" fillId="0" borderId="0" xfId="184"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392" applyFont="1" applyAlignment="1">
      <alignment vertical="center"/>
      <protection/>
    </xf>
    <xf numFmtId="37" fontId="18" fillId="34" borderId="0" xfId="0" applyNumberFormat="1" applyFont="1" applyFill="1" applyBorder="1" applyAlignment="1" applyProtection="1">
      <alignment horizontal="fill" vertical="center"/>
      <protection/>
    </xf>
    <xf numFmtId="0" fontId="12" fillId="0" borderId="0" xfId="380" applyFont="1">
      <alignment/>
      <protection/>
    </xf>
    <xf numFmtId="0" fontId="12" fillId="0" borderId="0" xfId="380" applyNumberFormat="1" applyFont="1" applyAlignment="1">
      <alignment horizontal="left" vertical="center"/>
      <protection/>
    </xf>
    <xf numFmtId="0" fontId="4" fillId="0" borderId="0" xfId="380" applyFont="1" applyAlignment="1">
      <alignment horizontal="left" vertical="center"/>
      <protection/>
    </xf>
    <xf numFmtId="49" fontId="4" fillId="33" borderId="0" xfId="380" applyNumberFormat="1" applyFont="1" applyFill="1" applyAlignment="1" applyProtection="1">
      <alignment horizontal="left" vertical="center"/>
      <protection locked="0"/>
    </xf>
    <xf numFmtId="185" fontId="22" fillId="0" borderId="0" xfId="380" applyNumberFormat="1" applyFont="1" applyAlignment="1">
      <alignment horizontal="left" vertical="center"/>
      <protection/>
    </xf>
    <xf numFmtId="49" fontId="4" fillId="0" borderId="0" xfId="380" applyNumberFormat="1" applyFont="1" applyAlignment="1">
      <alignment horizontal="left" vertical="center"/>
      <protection/>
    </xf>
    <xf numFmtId="0" fontId="22" fillId="0" borderId="0" xfId="380" applyFont="1" applyAlignment="1">
      <alignment horizontal="left" vertical="center"/>
      <protection/>
    </xf>
    <xf numFmtId="186" fontId="22" fillId="0" borderId="0" xfId="380" applyNumberFormat="1" applyFont="1" applyAlignment="1">
      <alignment horizontal="left" vertical="center"/>
      <protection/>
    </xf>
    <xf numFmtId="0" fontId="4" fillId="33" borderId="0" xfId="380" applyFont="1" applyFill="1" applyAlignment="1" applyProtection="1">
      <alignment horizontal="left" vertical="center"/>
      <protection locked="0"/>
    </xf>
    <xf numFmtId="0" fontId="12" fillId="33" borderId="0" xfId="380" applyFont="1" applyFill="1" applyAlignment="1" applyProtection="1">
      <alignment horizontal="left" vertical="center"/>
      <protection locked="0"/>
    </xf>
    <xf numFmtId="0" fontId="6" fillId="0" borderId="0" xfId="120" applyFont="1" applyAlignment="1">
      <alignment vertical="center"/>
      <protection/>
    </xf>
    <xf numFmtId="0" fontId="4" fillId="0" borderId="0" xfId="124"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1" applyFont="1">
      <alignment/>
      <protection/>
    </xf>
    <xf numFmtId="0" fontId="0" fillId="0" borderId="0" xfId="201" applyFont="1" applyFill="1">
      <alignment/>
      <protection/>
    </xf>
    <xf numFmtId="0" fontId="0" fillId="0" borderId="0" xfId="0" applyFont="1" applyAlignment="1">
      <alignment/>
    </xf>
    <xf numFmtId="0" fontId="1" fillId="0" borderId="0" xfId="0" applyFont="1" applyAlignment="1">
      <alignment horizontal="center"/>
    </xf>
    <xf numFmtId="0" fontId="4" fillId="0" borderId="0" xfId="397" applyFont="1" applyAlignment="1">
      <alignment vertical="center" wrapText="1"/>
      <protection/>
    </xf>
    <xf numFmtId="0" fontId="4" fillId="0" borderId="0" xfId="73" applyFont="1" applyAlignment="1">
      <alignment vertical="center" wrapText="1"/>
      <protection/>
    </xf>
    <xf numFmtId="0" fontId="6" fillId="0" borderId="0" xfId="119" applyFont="1" applyAlignment="1">
      <alignment vertical="center"/>
      <protection/>
    </xf>
    <xf numFmtId="0" fontId="86"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7" xfId="0" applyNumberFormat="1" applyFont="1" applyFill="1" applyBorder="1" applyAlignment="1">
      <alignment horizontal="center" vertical="center"/>
    </xf>
    <xf numFmtId="0" fontId="4" fillId="33" borderId="10" xfId="0" applyFont="1" applyFill="1" applyBorder="1" applyAlignment="1" applyProtection="1">
      <alignment vertical="center"/>
      <protection locked="0"/>
    </xf>
    <xf numFmtId="14" fontId="4" fillId="33" borderId="11" xfId="0" applyNumberFormat="1" applyFont="1" applyFill="1" applyBorder="1" applyAlignment="1" applyProtection="1">
      <alignment vertical="center"/>
      <protection locked="0"/>
    </xf>
    <xf numFmtId="14" fontId="4" fillId="33" borderId="11" xfId="0" applyNumberFormat="1" applyFont="1" applyFill="1" applyBorder="1" applyAlignment="1" applyProtection="1">
      <alignment horizontal="center" vertical="center"/>
      <protection locked="0"/>
    </xf>
    <xf numFmtId="3" fontId="4" fillId="33" borderId="13" xfId="0" applyNumberFormat="1" applyFont="1" applyFill="1" applyBorder="1" applyAlignment="1" applyProtection="1">
      <alignment vertical="center"/>
      <protection locked="0"/>
    </xf>
    <xf numFmtId="3" fontId="24" fillId="40" borderId="13" xfId="0" applyNumberFormat="1" applyFont="1" applyFill="1" applyBorder="1" applyAlignment="1" applyProtection="1">
      <alignment horizontal="center" vertical="center"/>
      <protection/>
    </xf>
    <xf numFmtId="3" fontId="5" fillId="35" borderId="13"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vertical="center"/>
      <protection/>
    </xf>
    <xf numFmtId="3" fontId="4" fillId="35" borderId="13" xfId="0" applyNumberFormat="1" applyFont="1" applyFill="1" applyBorder="1" applyAlignment="1" applyProtection="1">
      <alignment vertical="center"/>
      <protection/>
    </xf>
    <xf numFmtId="49" fontId="4" fillId="33" borderId="11" xfId="0" applyNumberFormat="1" applyFont="1" applyFill="1" applyBorder="1" applyAlignment="1" applyProtection="1">
      <alignment horizontal="center" vertical="center"/>
      <protection locked="0"/>
    </xf>
    <xf numFmtId="184" fontId="4" fillId="33" borderId="11" xfId="0" applyNumberFormat="1" applyFont="1" applyFill="1" applyBorder="1" applyAlignment="1" applyProtection="1">
      <alignment vertical="center"/>
      <protection locked="0"/>
    </xf>
    <xf numFmtId="184" fontId="4" fillId="33" borderId="11" xfId="0" applyNumberFormat="1" applyFont="1" applyFill="1" applyBorder="1" applyAlignment="1" applyProtection="1">
      <alignment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4" borderId="22" xfId="0" applyFont="1" applyFill="1" applyBorder="1" applyAlignment="1" applyProtection="1">
      <alignment vertical="center"/>
      <protection/>
    </xf>
    <xf numFmtId="0" fontId="18" fillId="34" borderId="22" xfId="0" applyFont="1" applyFill="1" applyBorder="1" applyAlignment="1" applyProtection="1">
      <alignment vertical="center"/>
      <protection locked="0"/>
    </xf>
    <xf numFmtId="0" fontId="18" fillId="36" borderId="11"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37" fontId="8" fillId="34" borderId="20" xfId="0" applyNumberFormat="1" applyFont="1" applyFill="1" applyBorder="1" applyAlignment="1" applyProtection="1">
      <alignment horizontal="center" vertical="center"/>
      <protection/>
    </xf>
    <xf numFmtId="1" fontId="8" fillId="34" borderId="20" xfId="0" applyNumberFormat="1" applyFont="1" applyFill="1" applyBorder="1" applyAlignment="1" applyProtection="1">
      <alignment horizontal="center" vertical="center"/>
      <protection/>
    </xf>
    <xf numFmtId="37" fontId="8" fillId="34" borderId="16" xfId="0" applyNumberFormat="1" applyFont="1" applyFill="1" applyBorder="1" applyAlignment="1" applyProtection="1">
      <alignment horizontal="center" vertical="center"/>
      <protection/>
    </xf>
    <xf numFmtId="190" fontId="19" fillId="39" borderId="19" xfId="75" applyNumberFormat="1" applyFont="1" applyFill="1" applyBorder="1" applyAlignment="1" applyProtection="1">
      <alignment horizontal="center" vertical="center"/>
      <protection/>
    </xf>
    <xf numFmtId="0" fontId="18" fillId="39" borderId="10" xfId="75" applyFont="1" applyFill="1" applyBorder="1" applyAlignment="1" applyProtection="1">
      <alignment vertical="center"/>
      <protection/>
    </xf>
    <xf numFmtId="0" fontId="4" fillId="39" borderId="10" xfId="75" applyFont="1" applyFill="1" applyBorder="1" applyAlignment="1" applyProtection="1">
      <alignment vertical="center"/>
      <protection/>
    </xf>
    <xf numFmtId="0" fontId="19" fillId="39" borderId="27" xfId="75" applyFont="1" applyFill="1" applyBorder="1" applyAlignment="1" applyProtection="1">
      <alignment vertical="center"/>
      <protection/>
    </xf>
    <xf numFmtId="0" fontId="19" fillId="34" borderId="19" xfId="75" applyFont="1" applyFill="1" applyBorder="1" applyAlignment="1" applyProtection="1">
      <alignment horizontal="center" vertical="center"/>
      <protection/>
    </xf>
    <xf numFmtId="190" fontId="18" fillId="33" borderId="11" xfId="75" applyNumberFormat="1" applyFont="1" applyFill="1" applyBorder="1" applyAlignment="1" applyProtection="1">
      <alignment horizontal="center" vertical="center"/>
      <protection locked="0"/>
    </xf>
    <xf numFmtId="0" fontId="18" fillId="34" borderId="28" xfId="75" applyFont="1" applyFill="1" applyBorder="1" applyAlignment="1" applyProtection="1">
      <alignment horizontal="left" vertical="center"/>
      <protection/>
    </xf>
    <xf numFmtId="190" fontId="18" fillId="34" borderId="24" xfId="75" applyNumberFormat="1" applyFont="1" applyFill="1" applyBorder="1" applyAlignment="1" applyProtection="1">
      <alignment horizontal="center" vertical="center"/>
      <protection/>
    </xf>
    <xf numFmtId="0" fontId="18" fillId="34" borderId="28" xfId="75" applyFont="1" applyFill="1" applyBorder="1" applyAlignment="1" applyProtection="1">
      <alignment vertical="center"/>
      <protection/>
    </xf>
    <xf numFmtId="0" fontId="0" fillId="34" borderId="15" xfId="75" applyFill="1" applyBorder="1" applyAlignment="1" applyProtection="1">
      <alignment vertical="center"/>
      <protection/>
    </xf>
    <xf numFmtId="0" fontId="28" fillId="34" borderId="14" xfId="75" applyFont="1" applyFill="1" applyBorder="1" applyAlignment="1" applyProtection="1">
      <alignment horizontal="center" vertical="center"/>
      <protection/>
    </xf>
    <xf numFmtId="0" fontId="18" fillId="34" borderId="14" xfId="75" applyFont="1" applyFill="1" applyBorder="1" applyAlignment="1" applyProtection="1">
      <alignment horizontal="left" vertical="center"/>
      <protection/>
    </xf>
    <xf numFmtId="184" fontId="28" fillId="34" borderId="13" xfId="75" applyNumberFormat="1" applyFont="1" applyFill="1" applyBorder="1" applyAlignment="1" applyProtection="1">
      <alignment horizontal="center" vertical="center"/>
      <protection/>
    </xf>
    <xf numFmtId="0" fontId="4" fillId="39" borderId="19" xfId="75" applyFont="1" applyFill="1" applyBorder="1" applyAlignment="1" applyProtection="1">
      <alignment vertical="center"/>
      <protection/>
    </xf>
    <xf numFmtId="0" fontId="18" fillId="39" borderId="19" xfId="75" applyFont="1" applyFill="1" applyBorder="1" applyAlignment="1" applyProtection="1">
      <alignment vertical="center"/>
      <protection/>
    </xf>
    <xf numFmtId="37" fontId="18" fillId="34" borderId="17" xfId="84" applyNumberFormat="1" applyFont="1" applyFill="1" applyBorder="1" applyAlignment="1" applyProtection="1">
      <alignment horizontal="center" vertical="center"/>
      <protection/>
    </xf>
    <xf numFmtId="37" fontId="18" fillId="34" borderId="12" xfId="84" applyNumberFormat="1" applyFont="1" applyFill="1" applyBorder="1" applyAlignment="1" applyProtection="1">
      <alignment horizontal="center" vertical="center"/>
      <protection/>
    </xf>
    <xf numFmtId="184" fontId="4" fillId="34" borderId="0" xfId="0" applyNumberFormat="1" applyFont="1" applyFill="1" applyAlignment="1">
      <alignment horizontal="center" vertical="center"/>
    </xf>
    <xf numFmtId="0" fontId="25" fillId="34" borderId="11" xfId="0" applyFont="1" applyFill="1" applyBorder="1" applyAlignment="1" applyProtection="1">
      <alignment horizontal="center" vertical="center"/>
      <protection/>
    </xf>
    <xf numFmtId="3" fontId="25" fillId="34" borderId="11" xfId="0" applyNumberFormat="1" applyFont="1" applyFill="1" applyBorder="1" applyAlignment="1" applyProtection="1">
      <alignment horizontal="center" vertical="center"/>
      <protection/>
    </xf>
    <xf numFmtId="3" fontId="24" fillId="40" borderId="16"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3" xfId="0" applyNumberFormat="1" applyFont="1" applyFill="1" applyBorder="1" applyAlignment="1" applyProtection="1">
      <alignment vertical="center"/>
      <protection/>
    </xf>
    <xf numFmtId="0" fontId="34" fillId="0" borderId="0" xfId="0" applyFont="1" applyAlignment="1">
      <alignment/>
    </xf>
    <xf numFmtId="0" fontId="33"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8" fillId="0" borderId="0" xfId="0" applyFont="1" applyAlignment="1">
      <alignment vertical="center"/>
    </xf>
    <xf numFmtId="0" fontId="39" fillId="0" borderId="0" xfId="0" applyFont="1" applyAlignment="1">
      <alignment horizontal="center"/>
    </xf>
    <xf numFmtId="37" fontId="4" fillId="34" borderId="12" xfId="75" applyNumberFormat="1" applyFont="1" applyFill="1" applyBorder="1" applyAlignment="1" applyProtection="1">
      <alignment horizontal="center" vertical="center"/>
      <protection/>
    </xf>
    <xf numFmtId="37" fontId="4" fillId="34" borderId="17" xfId="75" applyNumberFormat="1" applyFont="1" applyFill="1" applyBorder="1" applyAlignment="1" applyProtection="1">
      <alignment horizontal="center" vertical="center"/>
      <protection/>
    </xf>
    <xf numFmtId="0" fontId="19" fillId="39" borderId="10" xfId="75" applyFont="1" applyFill="1" applyBorder="1" applyAlignment="1" applyProtection="1">
      <alignment vertical="center"/>
      <protection/>
    </xf>
    <xf numFmtId="190" fontId="19" fillId="39" borderId="27" xfId="75" applyNumberFormat="1" applyFont="1" applyFill="1" applyBorder="1" applyAlignment="1" applyProtection="1">
      <alignment horizontal="center" vertical="center"/>
      <protection/>
    </xf>
    <xf numFmtId="190" fontId="18" fillId="34" borderId="28" xfId="75" applyNumberFormat="1" applyFont="1" applyFill="1" applyBorder="1" applyAlignment="1" applyProtection="1">
      <alignment vertical="center"/>
      <protection/>
    </xf>
    <xf numFmtId="190" fontId="18" fillId="34" borderId="27" xfId="75" applyNumberFormat="1" applyFont="1" applyFill="1" applyBorder="1" applyAlignment="1" applyProtection="1">
      <alignment horizontal="center" vertical="center"/>
      <protection/>
    </xf>
    <xf numFmtId="0" fontId="18" fillId="34" borderId="0" xfId="75" applyFont="1" applyFill="1" applyBorder="1" applyAlignment="1" applyProtection="1">
      <alignment vertical="center"/>
      <protection/>
    </xf>
    <xf numFmtId="0" fontId="18" fillId="34" borderId="24" xfId="75" applyFont="1" applyFill="1" applyBorder="1" applyAlignment="1" applyProtection="1">
      <alignment vertical="center"/>
      <protection/>
    </xf>
    <xf numFmtId="0" fontId="18" fillId="34" borderId="0" xfId="75" applyFont="1" applyFill="1" applyBorder="1" applyAlignment="1" applyProtection="1">
      <alignment horizontal="left" vertical="center"/>
      <protection/>
    </xf>
    <xf numFmtId="0" fontId="45" fillId="0" borderId="0" xfId="0" applyFont="1" applyAlignment="1">
      <alignment vertical="center"/>
    </xf>
    <xf numFmtId="190" fontId="18" fillId="34" borderId="28" xfId="75" applyNumberFormat="1" applyFont="1" applyFill="1" applyBorder="1" applyAlignment="1" applyProtection="1">
      <alignment horizontal="center" vertical="center"/>
      <protection/>
    </xf>
    <xf numFmtId="0" fontId="4" fillId="34" borderId="0" xfId="87" applyFont="1" applyFill="1" applyAlignment="1" applyProtection="1">
      <alignment horizontal="right" vertical="center"/>
      <protection/>
    </xf>
    <xf numFmtId="0" fontId="87" fillId="34" borderId="0" xfId="0" applyFont="1" applyFill="1" applyBorder="1" applyAlignment="1" applyProtection="1">
      <alignment horizontal="center" vertical="center"/>
      <protection/>
    </xf>
    <xf numFmtId="0" fontId="87"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75">
      <alignment/>
      <protection/>
    </xf>
    <xf numFmtId="37" fontId="4" fillId="34" borderId="16" xfId="75" applyNumberFormat="1" applyFont="1" applyFill="1" applyBorder="1" applyAlignment="1" applyProtection="1">
      <alignment horizontal="center"/>
      <protection/>
    </xf>
    <xf numFmtId="37" fontId="4" fillId="34" borderId="17" xfId="75" applyNumberFormat="1" applyFont="1" applyFill="1" applyBorder="1" applyAlignment="1" applyProtection="1">
      <alignment horizontal="center"/>
      <protection/>
    </xf>
    <xf numFmtId="0" fontId="4" fillId="34" borderId="0" xfId="75" applyFont="1" applyFill="1" applyBorder="1" applyAlignment="1" applyProtection="1">
      <alignment vertical="center"/>
      <protection/>
    </xf>
    <xf numFmtId="0" fontId="4" fillId="34" borderId="28" xfId="75" applyFont="1" applyFill="1" applyBorder="1" applyAlignment="1" applyProtection="1">
      <alignment vertical="center"/>
      <protection/>
    </xf>
    <xf numFmtId="0" fontId="4" fillId="34" borderId="24" xfId="75" applyFont="1" applyFill="1" applyBorder="1" applyAlignment="1" applyProtection="1">
      <alignment vertical="center"/>
      <protection/>
    </xf>
    <xf numFmtId="0" fontId="4" fillId="0" borderId="0" xfId="75" applyFont="1" applyFill="1" applyBorder="1" applyAlignment="1" applyProtection="1">
      <alignment vertical="center"/>
      <protection/>
    </xf>
    <xf numFmtId="0" fontId="18" fillId="41" borderId="28" xfId="84" applyFont="1" applyFill="1" applyBorder="1" applyProtection="1">
      <alignment/>
      <protection/>
    </xf>
    <xf numFmtId="0" fontId="4" fillId="41" borderId="0" xfId="84" applyFont="1" applyFill="1" applyBorder="1" applyProtection="1">
      <alignment/>
      <protection/>
    </xf>
    <xf numFmtId="190" fontId="4" fillId="41" borderId="24" xfId="84" applyNumberFormat="1" applyFont="1" applyFill="1" applyBorder="1" applyAlignment="1" applyProtection="1">
      <alignment horizontal="center"/>
      <protection/>
    </xf>
    <xf numFmtId="0" fontId="4" fillId="41" borderId="27" xfId="84" applyFont="1" applyFill="1" applyBorder="1" applyProtection="1">
      <alignment/>
      <protection/>
    </xf>
    <xf numFmtId="0" fontId="4" fillId="41" borderId="10" xfId="84" applyFont="1" applyFill="1" applyBorder="1" applyProtection="1">
      <alignment/>
      <protection/>
    </xf>
    <xf numFmtId="190" fontId="4" fillId="42" borderId="19" xfId="84" applyNumberFormat="1" applyFont="1" applyFill="1" applyBorder="1" applyAlignment="1" applyProtection="1">
      <alignment horizontal="center"/>
      <protection/>
    </xf>
    <xf numFmtId="0" fontId="4" fillId="0" borderId="0" xfId="84" applyFont="1" applyFill="1" applyBorder="1" applyProtection="1">
      <alignment/>
      <protection/>
    </xf>
    <xf numFmtId="0" fontId="4" fillId="41" borderId="28" xfId="84" applyFont="1" applyFill="1" applyBorder="1" applyProtection="1">
      <alignment/>
      <protection/>
    </xf>
    <xf numFmtId="0" fontId="4" fillId="41" borderId="24" xfId="84" applyFont="1" applyFill="1" applyBorder="1" applyProtection="1">
      <alignment/>
      <protection/>
    </xf>
    <xf numFmtId="183" fontId="4" fillId="41" borderId="24" xfId="84" applyNumberFormat="1" applyFont="1" applyFill="1" applyBorder="1" applyAlignment="1" applyProtection="1">
      <alignment horizontal="center"/>
      <protection/>
    </xf>
    <xf numFmtId="0" fontId="4" fillId="42" borderId="28" xfId="84" applyFont="1" applyFill="1" applyBorder="1" applyProtection="1">
      <alignment/>
      <protection/>
    </xf>
    <xf numFmtId="0" fontId="4" fillId="42" borderId="0" xfId="84" applyFont="1" applyFill="1" applyBorder="1" applyProtection="1">
      <alignment/>
      <protection/>
    </xf>
    <xf numFmtId="0" fontId="4" fillId="42" borderId="27" xfId="84" applyFont="1" applyFill="1" applyBorder="1" applyProtection="1">
      <alignment/>
      <protection/>
    </xf>
    <xf numFmtId="0" fontId="4" fillId="42" borderId="10" xfId="84" applyFont="1" applyFill="1" applyBorder="1" applyProtection="1">
      <alignment/>
      <protection/>
    </xf>
    <xf numFmtId="0" fontId="4" fillId="0" borderId="0" xfId="84" applyFont="1" applyProtection="1">
      <alignment/>
      <protection/>
    </xf>
    <xf numFmtId="190" fontId="4" fillId="41" borderId="19" xfId="84" applyNumberFormat="1" applyFont="1" applyFill="1" applyBorder="1" applyAlignment="1" applyProtection="1">
      <alignment horizontal="center"/>
      <protection/>
    </xf>
    <xf numFmtId="184" fontId="4" fillId="43" borderId="24" xfId="84" applyNumberFormat="1" applyFont="1" applyFill="1" applyBorder="1" applyAlignment="1" applyProtection="1">
      <alignment horizontal="center"/>
      <protection locked="0"/>
    </xf>
    <xf numFmtId="37" fontId="4" fillId="44" borderId="18" xfId="0" applyNumberFormat="1" applyFont="1" applyFill="1" applyBorder="1" applyAlignment="1" applyProtection="1">
      <alignment vertical="center"/>
      <protection/>
    </xf>
    <xf numFmtId="0" fontId="34" fillId="0" borderId="0" xfId="0" applyFont="1" applyAlignment="1">
      <alignment vertical="center"/>
    </xf>
    <xf numFmtId="0" fontId="47" fillId="0" borderId="0" xfId="0" applyFont="1" applyBorder="1" applyAlignment="1">
      <alignment horizontal="centerContinuous"/>
    </xf>
    <xf numFmtId="0" fontId="47" fillId="0" borderId="0" xfId="0" applyFont="1" applyBorder="1" applyAlignment="1">
      <alignment/>
    </xf>
    <xf numFmtId="0" fontId="47" fillId="0" borderId="0" xfId="0" applyFont="1" applyAlignment="1">
      <alignment/>
    </xf>
    <xf numFmtId="0" fontId="4" fillId="0" borderId="0" xfId="75" applyFont="1" applyAlignment="1">
      <alignment vertical="center"/>
      <protection/>
    </xf>
    <xf numFmtId="0" fontId="4" fillId="0" borderId="0" xfId="87" applyFont="1" applyAlignment="1">
      <alignment vertical="center"/>
      <protection/>
    </xf>
    <xf numFmtId="0" fontId="4" fillId="0" borderId="0" xfId="75" applyFont="1">
      <alignment/>
      <protection/>
    </xf>
    <xf numFmtId="0" fontId="48" fillId="0" borderId="0" xfId="75" applyFont="1" applyAlignment="1">
      <alignment horizontal="center"/>
      <protection/>
    </xf>
    <xf numFmtId="0" fontId="4" fillId="0" borderId="0" xfId="75" applyFont="1" applyAlignment="1">
      <alignment wrapText="1"/>
      <protection/>
    </xf>
    <xf numFmtId="0" fontId="49" fillId="0" borderId="0" xfId="65" applyFont="1" applyAlignment="1" applyProtection="1">
      <alignment/>
      <protection/>
    </xf>
    <xf numFmtId="1" fontId="8" fillId="34" borderId="16" xfId="0" applyNumberFormat="1" applyFont="1" applyFill="1" applyBorder="1" applyAlignment="1" applyProtection="1">
      <alignment horizontal="center" vertical="center"/>
      <protection/>
    </xf>
    <xf numFmtId="0" fontId="4" fillId="0" borderId="0" xfId="87" applyFont="1" applyAlignment="1">
      <alignment vertical="center" wrapText="1"/>
      <protection/>
    </xf>
    <xf numFmtId="192" fontId="18" fillId="34" borderId="11" xfId="0" applyNumberFormat="1" applyFont="1" applyFill="1" applyBorder="1" applyAlignment="1" applyProtection="1">
      <alignment vertical="center"/>
      <protection/>
    </xf>
    <xf numFmtId="0" fontId="88" fillId="41" borderId="0" xfId="0" applyFont="1" applyFill="1" applyAlignment="1">
      <alignment horizontal="center"/>
    </xf>
    <xf numFmtId="0" fontId="88" fillId="41" borderId="0" xfId="0" applyFont="1" applyFill="1" applyAlignment="1">
      <alignment/>
    </xf>
    <xf numFmtId="0" fontId="88" fillId="41" borderId="30" xfId="0" applyFont="1" applyFill="1" applyBorder="1" applyAlignment="1">
      <alignment/>
    </xf>
    <xf numFmtId="0" fontId="89" fillId="0" borderId="0" xfId="0" applyFont="1" applyBorder="1" applyAlignment="1">
      <alignment/>
    </xf>
    <xf numFmtId="0" fontId="88" fillId="0" borderId="0" xfId="0" applyFont="1" applyBorder="1" applyAlignment="1">
      <alignment horizontal="centerContinuous"/>
    </xf>
    <xf numFmtId="0" fontId="88" fillId="41" borderId="0" xfId="0" applyFont="1" applyFill="1" applyAlignment="1">
      <alignment horizontal="center" wrapText="1"/>
    </xf>
    <xf numFmtId="0" fontId="88" fillId="41" borderId="30" xfId="0" applyFont="1" applyFill="1" applyBorder="1" applyAlignment="1">
      <alignment/>
    </xf>
    <xf numFmtId="0" fontId="88" fillId="41" borderId="31" xfId="0" applyFont="1" applyFill="1" applyBorder="1" applyAlignment="1">
      <alignment horizontal="centerContinuous" vertical="center"/>
    </xf>
    <xf numFmtId="190" fontId="88" fillId="41" borderId="0" xfId="0" applyNumberFormat="1" applyFont="1" applyFill="1" applyBorder="1" applyAlignment="1">
      <alignment horizontal="centerContinuous" vertical="center"/>
    </xf>
    <xf numFmtId="0" fontId="88" fillId="41" borderId="0" xfId="0" applyFont="1" applyFill="1" applyBorder="1" applyAlignment="1">
      <alignment horizontal="centerContinuous" vertical="center"/>
    </xf>
    <xf numFmtId="184" fontId="88" fillId="41" borderId="0" xfId="0" applyNumberFormat="1" applyFont="1" applyFill="1" applyBorder="1" applyAlignment="1" applyProtection="1">
      <alignment horizontal="centerContinuous" vertical="center"/>
      <protection locked="0"/>
    </xf>
    <xf numFmtId="191" fontId="88" fillId="41" borderId="0" xfId="0" applyNumberFormat="1" applyFont="1" applyFill="1" applyBorder="1" applyAlignment="1">
      <alignment horizontal="centerContinuous" vertical="center"/>
    </xf>
    <xf numFmtId="0" fontId="88" fillId="41" borderId="32" xfId="0" applyFont="1" applyFill="1" applyBorder="1" applyAlignment="1">
      <alignment horizontal="centerContinuous" vertical="center"/>
    </xf>
    <xf numFmtId="0" fontId="88" fillId="41" borderId="31" xfId="0" applyFont="1" applyFill="1" applyBorder="1" applyAlignment="1">
      <alignment horizontal="centerContinuous"/>
    </xf>
    <xf numFmtId="190" fontId="88" fillId="41" borderId="0" xfId="0" applyNumberFormat="1" applyFont="1" applyFill="1" applyBorder="1" applyAlignment="1">
      <alignment horizontal="centerContinuous"/>
    </xf>
    <xf numFmtId="0" fontId="88" fillId="41" borderId="0" xfId="0" applyFont="1" applyFill="1" applyBorder="1" applyAlignment="1">
      <alignment horizontal="centerContinuous"/>
    </xf>
    <xf numFmtId="184" fontId="88" fillId="41" borderId="0" xfId="0" applyNumberFormat="1" applyFont="1" applyFill="1" applyBorder="1" applyAlignment="1" applyProtection="1">
      <alignment horizontal="centerContinuous"/>
      <protection locked="0"/>
    </xf>
    <xf numFmtId="191" fontId="88" fillId="41" borderId="0" xfId="0" applyNumberFormat="1" applyFont="1" applyFill="1" applyBorder="1" applyAlignment="1">
      <alignment horizontal="centerContinuous"/>
    </xf>
    <xf numFmtId="0" fontId="88" fillId="41" borderId="32" xfId="0" applyFont="1" applyFill="1" applyBorder="1" applyAlignment="1">
      <alignment horizontal="centerContinuous"/>
    </xf>
    <xf numFmtId="0" fontId="47" fillId="45" borderId="0" xfId="0" applyFont="1" applyFill="1" applyAlignment="1">
      <alignment/>
    </xf>
    <xf numFmtId="0" fontId="47" fillId="41" borderId="0" xfId="0" applyFont="1" applyFill="1" applyAlignment="1">
      <alignment/>
    </xf>
    <xf numFmtId="0" fontId="88" fillId="45" borderId="0" xfId="0" applyFont="1" applyFill="1" applyAlignment="1">
      <alignment horizontal="center" wrapText="1"/>
    </xf>
    <xf numFmtId="0" fontId="47" fillId="41" borderId="0" xfId="0" applyFont="1" applyFill="1" applyAlignment="1">
      <alignment horizontal="center"/>
    </xf>
    <xf numFmtId="190" fontId="47" fillId="41" borderId="0" xfId="0" applyNumberFormat="1" applyFont="1" applyFill="1" applyAlignment="1">
      <alignment horizontal="center"/>
    </xf>
    <xf numFmtId="0" fontId="47" fillId="41" borderId="33" xfId="0" applyFont="1" applyFill="1" applyBorder="1" applyAlignment="1">
      <alignment/>
    </xf>
    <xf numFmtId="0" fontId="47" fillId="41" borderId="34" xfId="0" applyFont="1" applyFill="1" applyBorder="1" applyAlignment="1">
      <alignment/>
    </xf>
    <xf numFmtId="190" fontId="47" fillId="41" borderId="35" xfId="0" applyNumberFormat="1" applyFont="1" applyFill="1" applyBorder="1" applyAlignment="1">
      <alignment/>
    </xf>
    <xf numFmtId="0" fontId="47" fillId="41" borderId="0" xfId="0" applyFont="1" applyFill="1" applyBorder="1" applyAlignment="1">
      <alignment/>
    </xf>
    <xf numFmtId="0" fontId="47" fillId="41" borderId="0" xfId="0" applyFont="1" applyFill="1" applyBorder="1" applyAlignment="1">
      <alignment horizontal="center"/>
    </xf>
    <xf numFmtId="190" fontId="47" fillId="41" borderId="10" xfId="0" applyNumberFormat="1" applyFont="1" applyFill="1" applyBorder="1" applyAlignment="1">
      <alignment horizontal="center"/>
    </xf>
    <xf numFmtId="0" fontId="47" fillId="41" borderId="32" xfId="0" applyFont="1" applyFill="1" applyBorder="1" applyAlignment="1">
      <alignment/>
    </xf>
    <xf numFmtId="0" fontId="47" fillId="41" borderId="36" xfId="0" applyFont="1" applyFill="1" applyBorder="1" applyAlignment="1">
      <alignment/>
    </xf>
    <xf numFmtId="0" fontId="47" fillId="41" borderId="37" xfId="0" applyFont="1" applyFill="1" applyBorder="1" applyAlignment="1">
      <alignment/>
    </xf>
    <xf numFmtId="0" fontId="47" fillId="41" borderId="38" xfId="0" applyFont="1" applyFill="1" applyBorder="1" applyAlignment="1">
      <alignment/>
    </xf>
    <xf numFmtId="190" fontId="47" fillId="41" borderId="0" xfId="0" applyNumberFormat="1" applyFont="1" applyFill="1" applyAlignment="1">
      <alignment/>
    </xf>
    <xf numFmtId="0" fontId="47" fillId="41" borderId="30" xfId="0" applyFont="1" applyFill="1" applyBorder="1" applyAlignment="1">
      <alignment/>
    </xf>
    <xf numFmtId="0" fontId="47" fillId="41" borderId="31" xfId="0" applyFont="1" applyFill="1" applyBorder="1" applyAlignment="1">
      <alignment/>
    </xf>
    <xf numFmtId="190" fontId="47" fillId="43" borderId="35" xfId="0" applyNumberFormat="1" applyFont="1" applyFill="1" applyBorder="1" applyAlignment="1" applyProtection="1">
      <alignment horizontal="center"/>
      <protection locked="0"/>
    </xf>
    <xf numFmtId="184" fontId="47" fillId="41" borderId="0" xfId="0" applyNumberFormat="1" applyFont="1" applyFill="1" applyBorder="1" applyAlignment="1">
      <alignment horizontal="center"/>
    </xf>
    <xf numFmtId="190" fontId="47" fillId="0" borderId="0" xfId="0" applyNumberFormat="1" applyFont="1" applyAlignment="1">
      <alignment/>
    </xf>
    <xf numFmtId="0" fontId="47" fillId="45" borderId="0" xfId="0" applyFont="1" applyFill="1" applyBorder="1" applyAlignment="1">
      <alignment/>
    </xf>
    <xf numFmtId="190" fontId="47" fillId="41" borderId="0" xfId="0" applyNumberFormat="1" applyFont="1" applyFill="1" applyBorder="1" applyAlignment="1">
      <alignment horizontal="center"/>
    </xf>
    <xf numFmtId="0" fontId="47" fillId="41" borderId="39" xfId="0" applyFont="1" applyFill="1" applyBorder="1" applyAlignment="1">
      <alignment/>
    </xf>
    <xf numFmtId="0" fontId="47" fillId="41" borderId="22" xfId="0" applyFont="1" applyFill="1" applyBorder="1" applyAlignment="1">
      <alignment/>
    </xf>
    <xf numFmtId="0" fontId="47" fillId="41" borderId="22" xfId="0" applyFont="1" applyFill="1" applyBorder="1" applyAlignment="1">
      <alignment horizontal="center"/>
    </xf>
    <xf numFmtId="0" fontId="47" fillId="41" borderId="40" xfId="0" applyFont="1" applyFill="1" applyBorder="1" applyAlignment="1">
      <alignment/>
    </xf>
    <xf numFmtId="191" fontId="47" fillId="41" borderId="0" xfId="0" applyNumberFormat="1" applyFont="1" applyFill="1" applyBorder="1" applyAlignment="1">
      <alignment horizontal="center"/>
    </xf>
    <xf numFmtId="5" fontId="47" fillId="41" borderId="37" xfId="0" applyNumberFormat="1" applyFont="1" applyFill="1" applyBorder="1" applyAlignment="1">
      <alignment horizontal="center"/>
    </xf>
    <xf numFmtId="0" fontId="47" fillId="41" borderId="37" xfId="0" applyFont="1" applyFill="1" applyBorder="1" applyAlignment="1">
      <alignment horizontal="center"/>
    </xf>
    <xf numFmtId="184" fontId="47" fillId="41" borderId="37" xfId="0" applyNumberFormat="1" applyFont="1" applyFill="1" applyBorder="1" applyAlignment="1">
      <alignment horizontal="center"/>
    </xf>
    <xf numFmtId="191" fontId="47" fillId="41" borderId="37" xfId="0" applyNumberFormat="1" applyFont="1" applyFill="1" applyBorder="1" applyAlignment="1">
      <alignment horizontal="center"/>
    </xf>
    <xf numFmtId="0" fontId="47" fillId="41" borderId="0" xfId="0" applyFont="1" applyFill="1" applyAlignment="1">
      <alignment horizontal="center" wrapText="1"/>
    </xf>
    <xf numFmtId="0" fontId="47" fillId="41" borderId="33" xfId="0" applyFont="1" applyFill="1" applyBorder="1" applyAlignment="1">
      <alignment/>
    </xf>
    <xf numFmtId="0" fontId="47" fillId="41" borderId="34" xfId="0" applyFont="1" applyFill="1" applyBorder="1" applyAlignment="1">
      <alignment/>
    </xf>
    <xf numFmtId="0" fontId="47" fillId="41" borderId="31" xfId="0" applyFont="1" applyFill="1" applyBorder="1" applyAlignment="1">
      <alignment/>
    </xf>
    <xf numFmtId="0" fontId="47" fillId="41" borderId="0" xfId="0" applyFont="1" applyFill="1" applyBorder="1" applyAlignment="1">
      <alignment/>
    </xf>
    <xf numFmtId="0" fontId="47" fillId="41" borderId="32" xfId="0" applyFont="1" applyFill="1" applyBorder="1" applyAlignment="1">
      <alignment/>
    </xf>
    <xf numFmtId="0" fontId="47" fillId="41" borderId="39" xfId="0" applyFont="1" applyFill="1" applyBorder="1" applyAlignment="1">
      <alignment/>
    </xf>
    <xf numFmtId="0" fontId="47" fillId="41" borderId="22" xfId="0" applyFont="1" applyFill="1" applyBorder="1" applyAlignment="1">
      <alignment/>
    </xf>
    <xf numFmtId="0" fontId="47" fillId="41" borderId="40" xfId="0" applyFont="1" applyFill="1" applyBorder="1" applyAlignment="1">
      <alignment/>
    </xf>
    <xf numFmtId="183" fontId="47" fillId="41" borderId="0" xfId="0" applyNumberFormat="1" applyFont="1" applyFill="1" applyBorder="1" applyAlignment="1">
      <alignment horizontal="center"/>
    </xf>
    <xf numFmtId="0" fontId="47" fillId="41" borderId="36" xfId="0" applyFont="1" applyFill="1" applyBorder="1" applyAlignment="1">
      <alignment/>
    </xf>
    <xf numFmtId="0" fontId="47" fillId="41" borderId="38" xfId="0" applyFont="1" applyFill="1" applyBorder="1" applyAlignment="1">
      <alignment/>
    </xf>
    <xf numFmtId="5" fontId="47" fillId="41" borderId="0" xfId="0" applyNumberFormat="1" applyFont="1" applyFill="1" applyBorder="1" applyAlignment="1">
      <alignment horizontal="center"/>
    </xf>
    <xf numFmtId="0" fontId="47" fillId="45" borderId="0" xfId="0" applyFont="1" applyFill="1" applyAlignment="1">
      <alignment/>
    </xf>
    <xf numFmtId="184" fontId="47" fillId="43" borderId="10" xfId="0" applyNumberFormat="1" applyFont="1" applyFill="1" applyBorder="1" applyAlignment="1" applyProtection="1">
      <alignment horizontal="center"/>
      <protection locked="0"/>
    </xf>
    <xf numFmtId="191" fontId="47" fillId="41" borderId="0" xfId="0" applyNumberFormat="1" applyFont="1" applyFill="1" applyBorder="1" applyAlignment="1">
      <alignment/>
    </xf>
    <xf numFmtId="190" fontId="47" fillId="41" borderId="37" xfId="0" applyNumberFormat="1" applyFont="1" applyFill="1" applyBorder="1" applyAlignment="1">
      <alignment horizontal="center"/>
    </xf>
    <xf numFmtId="184" fontId="47" fillId="41" borderId="37" xfId="0" applyNumberFormat="1" applyFont="1" applyFill="1" applyBorder="1" applyAlignment="1" applyProtection="1">
      <alignment horizontal="center"/>
      <protection locked="0"/>
    </xf>
    <xf numFmtId="191" fontId="47" fillId="41" borderId="37" xfId="0" applyNumberFormat="1" applyFont="1" applyFill="1" applyBorder="1" applyAlignment="1">
      <alignment/>
    </xf>
    <xf numFmtId="184" fontId="47" fillId="41" borderId="0" xfId="0" applyNumberFormat="1" applyFont="1" applyFill="1" applyBorder="1" applyAlignment="1" applyProtection="1">
      <alignment horizontal="center"/>
      <protection locked="0"/>
    </xf>
    <xf numFmtId="190" fontId="47" fillId="41" borderId="33" xfId="0" applyNumberFormat="1" applyFont="1" applyFill="1" applyBorder="1" applyAlignment="1">
      <alignment horizontal="center"/>
    </xf>
    <xf numFmtId="0" fontId="47" fillId="41" borderId="33" xfId="0" applyFont="1" applyFill="1" applyBorder="1" applyAlignment="1">
      <alignment horizontal="center"/>
    </xf>
    <xf numFmtId="184" fontId="47" fillId="41" borderId="33" xfId="0" applyNumberFormat="1" applyFont="1" applyFill="1" applyBorder="1" applyAlignment="1" applyProtection="1">
      <alignment horizontal="center"/>
      <protection locked="0"/>
    </xf>
    <xf numFmtId="191" fontId="47" fillId="41" borderId="33" xfId="0" applyNumberFormat="1" applyFont="1" applyFill="1" applyBorder="1" applyAlignment="1">
      <alignment/>
    </xf>
    <xf numFmtId="190" fontId="47" fillId="43" borderId="10" xfId="0" applyNumberFormat="1" applyFont="1" applyFill="1" applyBorder="1" applyAlignment="1" applyProtection="1">
      <alignment horizontal="center"/>
      <protection locked="0"/>
    </xf>
    <xf numFmtId="190" fontId="47" fillId="41" borderId="0" xfId="0" applyNumberFormat="1" applyFont="1" applyFill="1" applyBorder="1" applyAlignment="1" applyProtection="1">
      <alignment horizontal="center"/>
      <protection locked="0"/>
    </xf>
    <xf numFmtId="0" fontId="47" fillId="46" borderId="0" xfId="0" applyFont="1" applyFill="1" applyAlignment="1">
      <alignment/>
    </xf>
    <xf numFmtId="190" fontId="4" fillId="42" borderId="24" xfId="84" applyNumberFormat="1" applyFont="1" applyFill="1" applyBorder="1" applyAlignment="1" applyProtection="1">
      <alignment horizontal="center"/>
      <protection/>
    </xf>
    <xf numFmtId="0" fontId="4" fillId="42" borderId="27" xfId="0" applyFont="1" applyFill="1" applyBorder="1" applyAlignment="1">
      <alignment vertical="center"/>
    </xf>
    <xf numFmtId="0" fontId="4" fillId="42" borderId="10" xfId="0" applyFont="1" applyFill="1" applyBorder="1" applyAlignment="1">
      <alignment vertical="center"/>
    </xf>
    <xf numFmtId="190" fontId="4" fillId="42" borderId="19" xfId="0" applyNumberFormat="1" applyFont="1" applyFill="1" applyBorder="1" applyAlignment="1">
      <alignment horizontal="center" vertical="center"/>
    </xf>
    <xf numFmtId="1" fontId="8" fillId="34" borderId="0" xfId="0" applyNumberFormat="1" applyFont="1" applyFill="1" applyBorder="1" applyAlignment="1" applyProtection="1">
      <alignment horizontal="center" vertical="center"/>
      <protection/>
    </xf>
    <xf numFmtId="37" fontId="8" fillId="34" borderId="0"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locked="0"/>
    </xf>
    <xf numFmtId="0" fontId="4" fillId="34" borderId="0" xfId="0" applyFont="1" applyFill="1" applyBorder="1" applyAlignment="1" applyProtection="1">
      <alignment horizontal="left" vertical="center"/>
      <protection/>
    </xf>
    <xf numFmtId="3" fontId="4" fillId="34" borderId="0" xfId="0" applyNumberFormat="1" applyFont="1" applyFill="1" applyBorder="1" applyAlignment="1" applyProtection="1">
      <alignment horizontal="fill" vertical="center"/>
      <protection/>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3" fontId="24" fillId="40" borderId="0"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3" fontId="5" fillId="35" borderId="0" xfId="0" applyNumberFormat="1" applyFont="1" applyFill="1" applyBorder="1" applyAlignment="1" applyProtection="1">
      <alignment vertical="center"/>
      <protection/>
    </xf>
    <xf numFmtId="3" fontId="4" fillId="35" borderId="0" xfId="0" applyNumberFormat="1" applyFont="1" applyFill="1" applyBorder="1" applyAlignment="1" applyProtection="1">
      <alignment vertical="center"/>
      <protection/>
    </xf>
    <xf numFmtId="0" fontId="4" fillId="34" borderId="0" xfId="0" applyFont="1" applyFill="1" applyBorder="1" applyAlignment="1" applyProtection="1">
      <alignment horizontal="right" vertical="center"/>
      <protection/>
    </xf>
    <xf numFmtId="3" fontId="4" fillId="34" borderId="0" xfId="0" applyNumberFormat="1" applyFont="1" applyFill="1" applyBorder="1" applyAlignment="1" applyProtection="1">
      <alignment horizontal="center" vertical="center"/>
      <protection/>
    </xf>
    <xf numFmtId="0" fontId="4" fillId="34" borderId="0" xfId="87" applyFont="1" applyFill="1" applyBorder="1" applyAlignment="1" applyProtection="1">
      <alignment horizontal="right" vertical="center"/>
      <protection/>
    </xf>
    <xf numFmtId="0" fontId="25" fillId="34" borderId="0" xfId="0" applyFont="1" applyFill="1" applyBorder="1" applyAlignment="1" applyProtection="1">
      <alignment horizontal="center" vertical="center"/>
      <protection/>
    </xf>
    <xf numFmtId="37" fontId="4" fillId="34" borderId="0" xfId="0" applyNumberFormat="1" applyFont="1" applyFill="1" applyBorder="1" applyAlignment="1" applyProtection="1">
      <alignment horizontal="right" vertical="center"/>
      <protection/>
    </xf>
    <xf numFmtId="184" fontId="4" fillId="34" borderId="0" xfId="0" applyNumberFormat="1" applyFont="1" applyFill="1" applyBorder="1" applyAlignment="1">
      <alignment horizontal="center" vertical="center"/>
    </xf>
    <xf numFmtId="3" fontId="4" fillId="39" borderId="0" xfId="0" applyNumberFormat="1" applyFont="1" applyFill="1" applyBorder="1" applyAlignment="1" applyProtection="1">
      <alignment vertical="center"/>
      <protection/>
    </xf>
    <xf numFmtId="0" fontId="4" fillId="33" borderId="0" xfId="0" applyFont="1" applyFill="1" applyAlignment="1" applyProtection="1">
      <alignment horizontal="center" vertical="center"/>
      <protection locked="0"/>
    </xf>
    <xf numFmtId="37" fontId="4" fillId="34" borderId="0" xfId="0" applyNumberFormat="1" applyFont="1" applyFill="1" applyBorder="1" applyAlignment="1" applyProtection="1">
      <alignment horizontal="fill" vertical="center"/>
      <protection/>
    </xf>
    <xf numFmtId="0" fontId="4" fillId="34" borderId="0" xfId="0" applyFont="1" applyFill="1" applyAlignment="1">
      <alignment horizontal="right"/>
    </xf>
    <xf numFmtId="37" fontId="90" fillId="34" borderId="11" xfId="0" applyNumberFormat="1" applyFont="1" applyFill="1" applyBorder="1" applyAlignment="1" applyProtection="1">
      <alignment horizontal="center" vertical="center"/>
      <protection/>
    </xf>
    <xf numFmtId="0" fontId="4" fillId="0" borderId="0" xfId="0" applyFont="1" applyFill="1" applyAlignment="1" applyProtection="1">
      <alignment horizontal="left"/>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24" fillId="34" borderId="0" xfId="0" applyFont="1" applyFill="1" applyBorder="1" applyAlignment="1">
      <alignment vertical="center"/>
    </xf>
    <xf numFmtId="0" fontId="30" fillId="0" borderId="0" xfId="0" applyFont="1" applyAlignment="1">
      <alignment vertical="center"/>
    </xf>
    <xf numFmtId="0" fontId="4" fillId="0" borderId="0" xfId="380" applyFont="1" applyAlignment="1">
      <alignment horizontal="left" vertical="center" wrapText="1"/>
      <protection/>
    </xf>
    <xf numFmtId="0" fontId="12" fillId="0" borderId="0" xfId="380" applyFont="1" applyAlignment="1">
      <alignment horizontal="left" vertical="center" wrapText="1"/>
      <protection/>
    </xf>
    <xf numFmtId="0" fontId="23" fillId="0" borderId="0" xfId="380"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6" xfId="0" applyNumberFormat="1" applyFont="1" applyFill="1" applyBorder="1" applyAlignment="1" applyProtection="1">
      <alignment horizontal="center" vertical="center" wrapText="1"/>
      <protection/>
    </xf>
    <xf numFmtId="0" fontId="20" fillId="0" borderId="17"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3" xfId="0" applyNumberFormat="1" applyFont="1" applyFill="1" applyBorder="1" applyAlignment="1" applyProtection="1">
      <alignment horizontal="fill" vertical="center"/>
      <protection/>
    </xf>
    <xf numFmtId="0" fontId="0" fillId="0" borderId="15" xfId="0" applyBorder="1" applyAlignment="1">
      <alignment vertical="center"/>
    </xf>
    <xf numFmtId="0" fontId="18" fillId="34" borderId="0" xfId="0" applyFont="1" applyFill="1" applyAlignment="1" applyProtection="1">
      <alignment horizontal="center" vertical="center"/>
      <protection/>
    </xf>
    <xf numFmtId="0" fontId="18" fillId="36" borderId="16"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6" xfId="0" applyNumberFormat="1"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6"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5" fillId="34" borderId="0" xfId="0" applyNumberFormat="1" applyFont="1" applyFill="1" applyAlignment="1" applyProtection="1">
      <alignment horizontal="center"/>
      <protection/>
    </xf>
    <xf numFmtId="0" fontId="0" fillId="0" borderId="0" xfId="0" applyAlignment="1">
      <alignment/>
    </xf>
    <xf numFmtId="37" fontId="4" fillId="34" borderId="13" xfId="0" applyNumberFormat="1" applyFont="1" applyFill="1" applyBorder="1" applyAlignment="1" applyProtection="1">
      <alignment horizontal="center"/>
      <protection/>
    </xf>
    <xf numFmtId="0" fontId="0" fillId="0" borderId="14" xfId="0" applyBorder="1" applyAlignment="1">
      <alignment horizontal="center"/>
    </xf>
    <xf numFmtId="0" fontId="0" fillId="0" borderId="15" xfId="0" applyBorder="1" applyAlignment="1">
      <alignment horizontal="center"/>
    </xf>
    <xf numFmtId="0" fontId="4" fillId="34" borderId="27"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3" fontId="4" fillId="34" borderId="22" xfId="87" applyNumberFormat="1" applyFont="1" applyFill="1" applyBorder="1" applyAlignment="1" applyProtection="1">
      <alignment horizontal="right" vertical="center"/>
      <protection/>
    </xf>
    <xf numFmtId="0" fontId="0" fillId="0" borderId="21" xfId="87" applyBorder="1" applyAlignment="1">
      <alignment horizontal="right" vertical="center"/>
      <protection/>
    </xf>
    <xf numFmtId="0" fontId="4" fillId="34" borderId="0" xfId="87" applyFont="1" applyFill="1" applyAlignment="1" applyProtection="1">
      <alignment horizontal="right" vertical="center"/>
      <protection/>
    </xf>
    <xf numFmtId="0" fontId="4" fillId="0" borderId="24" xfId="87" applyFont="1" applyBorder="1" applyAlignment="1">
      <alignment horizontal="right" vertical="center"/>
      <protection/>
    </xf>
    <xf numFmtId="0" fontId="28" fillId="34" borderId="20" xfId="75" applyFont="1" applyFill="1" applyBorder="1" applyAlignment="1" applyProtection="1">
      <alignment horizontal="center" vertical="center"/>
      <protection/>
    </xf>
    <xf numFmtId="0" fontId="44" fillId="0" borderId="22" xfId="75" applyFont="1" applyBorder="1" applyAlignment="1" applyProtection="1">
      <alignment horizontal="center" vertical="center"/>
      <protection/>
    </xf>
    <xf numFmtId="0" fontId="0" fillId="0" borderId="21" xfId="75" applyBorder="1" applyAlignment="1" applyProtection="1">
      <alignment vertical="center"/>
      <protection/>
    </xf>
    <xf numFmtId="0" fontId="28" fillId="34" borderId="22" xfId="75" applyFont="1" applyFill="1" applyBorder="1" applyAlignment="1" applyProtection="1">
      <alignment horizontal="center"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7" fontId="4" fillId="34" borderId="0" xfId="0" applyNumberFormat="1" applyFont="1" applyFill="1" applyAlignment="1" applyProtection="1">
      <alignment horizontal="center" vertical="center"/>
      <protection/>
    </xf>
    <xf numFmtId="3" fontId="4" fillId="34" borderId="0" xfId="87" applyNumberFormat="1" applyFont="1" applyFill="1" applyBorder="1" applyAlignment="1" applyProtection="1">
      <alignment horizontal="right" vertical="center"/>
      <protection/>
    </xf>
    <xf numFmtId="0" fontId="0" fillId="0" borderId="0" xfId="87" applyBorder="1" applyAlignment="1">
      <alignment horizontal="right" vertical="center"/>
      <protection/>
    </xf>
    <xf numFmtId="0" fontId="4" fillId="34" borderId="0" xfId="87" applyFont="1" applyFill="1" applyBorder="1" applyAlignment="1" applyProtection="1">
      <alignment horizontal="right" vertical="center"/>
      <protection/>
    </xf>
    <xf numFmtId="0" fontId="4" fillId="0" borderId="0" xfId="87" applyFont="1" applyBorder="1" applyAlignment="1">
      <alignment horizontal="right" vertical="center"/>
      <protection/>
    </xf>
    <xf numFmtId="0" fontId="0" fillId="0" borderId="0" xfId="0" applyBorder="1" applyAlignment="1">
      <alignment horizontal="right"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37" fontId="23" fillId="34"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23" fillId="41" borderId="20" xfId="84" applyFont="1" applyFill="1" applyBorder="1" applyAlignment="1" applyProtection="1">
      <alignment horizontal="center"/>
      <protection/>
    </xf>
    <xf numFmtId="0" fontId="23" fillId="41" borderId="22" xfId="84" applyFont="1" applyFill="1" applyBorder="1" applyAlignment="1" applyProtection="1">
      <alignment horizontal="center"/>
      <protection/>
    </xf>
    <xf numFmtId="0" fontId="23" fillId="41" borderId="21" xfId="84" applyFont="1" applyFill="1" applyBorder="1" applyAlignment="1" applyProtection="1">
      <alignment horizontal="center"/>
      <protection/>
    </xf>
    <xf numFmtId="0" fontId="0" fillId="0" borderId="22" xfId="84" applyBorder="1" applyAlignment="1" applyProtection="1">
      <alignment horizontal="center"/>
      <protection/>
    </xf>
    <xf numFmtId="0" fontId="0" fillId="0" borderId="21" xfId="84" applyBorder="1" applyAlignment="1" applyProtection="1">
      <alignment horizontal="center"/>
      <protection/>
    </xf>
    <xf numFmtId="37" fontId="4" fillId="34" borderId="10" xfId="0" applyNumberFormat="1" applyFont="1" applyFill="1" applyBorder="1" applyAlignment="1" applyProtection="1">
      <alignment horizontal="fill" vertical="center"/>
      <protection locked="0"/>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183" fontId="47" fillId="43" borderId="10" xfId="0" applyNumberFormat="1" applyFont="1" applyFill="1" applyBorder="1" applyAlignment="1" applyProtection="1">
      <alignment horizontal="center"/>
      <protection locked="0"/>
    </xf>
    <xf numFmtId="190" fontId="47" fillId="41" borderId="0" xfId="0" applyNumberFormat="1" applyFont="1" applyFill="1" applyBorder="1" applyAlignment="1">
      <alignment horizontal="center"/>
    </xf>
    <xf numFmtId="190" fontId="47" fillId="0" borderId="32" xfId="0" applyNumberFormat="1" applyFont="1" applyBorder="1" applyAlignment="1">
      <alignment horizontal="center"/>
    </xf>
    <xf numFmtId="5" fontId="47" fillId="41" borderId="10" xfId="0" applyNumberFormat="1" applyFont="1" applyFill="1" applyBorder="1" applyAlignment="1">
      <alignment horizontal="center"/>
    </xf>
    <xf numFmtId="0" fontId="47" fillId="41" borderId="22" xfId="0" applyFont="1" applyFill="1" applyBorder="1" applyAlignment="1">
      <alignment horizontal="center"/>
    </xf>
    <xf numFmtId="0" fontId="47" fillId="41" borderId="31" xfId="0" applyFont="1" applyFill="1" applyBorder="1" applyAlignment="1">
      <alignment vertical="top" wrapText="1"/>
    </xf>
    <xf numFmtId="0" fontId="47" fillId="0" borderId="0" xfId="0" applyFont="1" applyAlignment="1">
      <alignment vertical="top" wrapText="1"/>
    </xf>
    <xf numFmtId="0" fontId="47" fillId="0" borderId="32" xfId="0" applyFont="1" applyBorder="1" applyAlignment="1">
      <alignment vertical="top" wrapText="1"/>
    </xf>
    <xf numFmtId="191" fontId="47" fillId="41" borderId="0" xfId="0" applyNumberFormat="1" applyFont="1" applyFill="1" applyBorder="1" applyAlignment="1">
      <alignment horizontal="center"/>
    </xf>
    <xf numFmtId="0" fontId="47" fillId="0" borderId="32" xfId="0" applyFont="1" applyBorder="1" applyAlignment="1">
      <alignment horizontal="center"/>
    </xf>
    <xf numFmtId="0" fontId="88" fillId="41" borderId="0" xfId="0" applyFont="1" applyFill="1" applyBorder="1" applyAlignment="1">
      <alignment horizontal="center" wrapText="1"/>
    </xf>
    <xf numFmtId="0" fontId="88" fillId="0" borderId="0" xfId="0" applyFont="1" applyAlignment="1">
      <alignment horizontal="center" wrapText="1"/>
    </xf>
    <xf numFmtId="0" fontId="88" fillId="41" borderId="0" xfId="0" applyFont="1" applyFill="1" applyAlignment="1">
      <alignment horizontal="center" wrapText="1"/>
    </xf>
    <xf numFmtId="0" fontId="47" fillId="41" borderId="0" xfId="0" applyFont="1" applyFill="1" applyAlignment="1">
      <alignment wrapText="1"/>
    </xf>
    <xf numFmtId="190" fontId="47" fillId="43" borderId="10" xfId="0" applyNumberFormat="1" applyFont="1" applyFill="1" applyBorder="1" applyAlignment="1" applyProtection="1">
      <alignment horizontal="center"/>
      <protection locked="0"/>
    </xf>
    <xf numFmtId="0" fontId="88" fillId="41" borderId="33" xfId="0" applyFont="1" applyFill="1" applyBorder="1" applyAlignment="1">
      <alignment horizontal="center" vertical="center"/>
    </xf>
    <xf numFmtId="0" fontId="47" fillId="0" borderId="33" xfId="0" applyFont="1" applyBorder="1" applyAlignment="1">
      <alignment horizontal="center" vertical="center"/>
    </xf>
    <xf numFmtId="0" fontId="47" fillId="0" borderId="0" xfId="0" applyFont="1" applyAlignment="1">
      <alignment horizontal="center" wrapText="1"/>
    </xf>
    <xf numFmtId="0" fontId="88" fillId="41" borderId="0" xfId="0" applyFont="1" applyFill="1" applyAlignment="1">
      <alignment horizontal="center"/>
    </xf>
    <xf numFmtId="0" fontId="47" fillId="0" borderId="0" xfId="0" applyFont="1" applyAlignment="1">
      <alignment wrapText="1"/>
    </xf>
    <xf numFmtId="190" fontId="47" fillId="41" borderId="0" xfId="0" applyNumberFormat="1" applyFont="1" applyFill="1" applyAlignment="1">
      <alignment horizontal="center"/>
    </xf>
    <xf numFmtId="0" fontId="47" fillId="41" borderId="0" xfId="0" applyFont="1" applyFill="1" applyBorder="1" applyAlignment="1">
      <alignment/>
    </xf>
    <xf numFmtId="0" fontId="47" fillId="0" borderId="0" xfId="0" applyFont="1" applyBorder="1" applyAlignment="1">
      <alignment/>
    </xf>
    <xf numFmtId="0" fontId="47" fillId="41" borderId="37" xfId="0" applyFont="1" applyFill="1" applyBorder="1" applyAlignment="1">
      <alignment/>
    </xf>
    <xf numFmtId="0" fontId="47" fillId="41" borderId="38" xfId="0" applyFont="1" applyFill="1" applyBorder="1" applyAlignment="1">
      <alignment/>
    </xf>
    <xf numFmtId="0" fontId="88" fillId="41" borderId="0" xfId="0" applyFont="1" applyFill="1" applyAlignment="1">
      <alignment horizontal="center" vertical="center"/>
    </xf>
    <xf numFmtId="0" fontId="88" fillId="0" borderId="0" xfId="0" applyFont="1" applyAlignment="1">
      <alignment horizontal="center" vertical="center"/>
    </xf>
    <xf numFmtId="190" fontId="47" fillId="41" borderId="0" xfId="0" applyNumberFormat="1" applyFont="1" applyFill="1" applyAlignment="1">
      <alignment/>
    </xf>
    <xf numFmtId="0" fontId="47" fillId="41" borderId="0" xfId="0" applyFont="1" applyFill="1" applyBorder="1" applyAlignment="1">
      <alignment wrapText="1"/>
    </xf>
    <xf numFmtId="0" fontId="47" fillId="41" borderId="0" xfId="0" applyFont="1" applyFill="1" applyBorder="1" applyAlignment="1">
      <alignment horizontal="center"/>
    </xf>
  </cellXfs>
  <cellStyles count="3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3 2" xfId="64"/>
    <cellStyle name="Hyperlink 7"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2 2" xfId="79"/>
    <cellStyle name="Normal 11 3" xfId="80"/>
    <cellStyle name="Normal 11 4" xfId="81"/>
    <cellStyle name="Normal 11 5" xfId="82"/>
    <cellStyle name="Normal 12" xfId="83"/>
    <cellStyle name="Normal 12 10" xfId="84"/>
    <cellStyle name="Normal 12 11" xfId="85"/>
    <cellStyle name="Normal 12 12" xfId="86"/>
    <cellStyle name="Normal 12 2" xfId="87"/>
    <cellStyle name="Normal 12 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10" xfId="97"/>
    <cellStyle name="Normal 13 11" xfId="98"/>
    <cellStyle name="Normal 13 12" xfId="99"/>
    <cellStyle name="Normal 13 2" xfId="100"/>
    <cellStyle name="Normal 13 2 2" xfId="101"/>
    <cellStyle name="Normal 13 3" xfId="102"/>
    <cellStyle name="Normal 13 4" xfId="103"/>
    <cellStyle name="Normal 13 5" xfId="104"/>
    <cellStyle name="Normal 13 6" xfId="105"/>
    <cellStyle name="Normal 13 7" xfId="106"/>
    <cellStyle name="Normal 13 8" xfId="107"/>
    <cellStyle name="Normal 13 9" xfId="108"/>
    <cellStyle name="Normal 14" xfId="109"/>
    <cellStyle name="Normal 14 2" xfId="110"/>
    <cellStyle name="Normal 14 3" xfId="111"/>
    <cellStyle name="Normal 14 4" xfId="112"/>
    <cellStyle name="Normal 14 5" xfId="113"/>
    <cellStyle name="Normal 14 6" xfId="114"/>
    <cellStyle name="Normal 15" xfId="115"/>
    <cellStyle name="Normal 15 2" xfId="116"/>
    <cellStyle name="Normal 15 3" xfId="117"/>
    <cellStyle name="Normal 15 4" xfId="118"/>
    <cellStyle name="Normal 16" xfId="119"/>
    <cellStyle name="Normal 16 2" xfId="120"/>
    <cellStyle name="Normal 16 3" xfId="121"/>
    <cellStyle name="Normal 16 4" xfId="122"/>
    <cellStyle name="Normal 17" xfId="123"/>
    <cellStyle name="Normal 17 2" xfId="124"/>
    <cellStyle name="Normal 17 3" xfId="125"/>
    <cellStyle name="Normal 17 4" xfId="126"/>
    <cellStyle name="Normal 18" xfId="127"/>
    <cellStyle name="Normal 18 2" xfId="128"/>
    <cellStyle name="Normal 18 2 2" xfId="129"/>
    <cellStyle name="Normal 18 2 3" xfId="130"/>
    <cellStyle name="Normal 18 3" xfId="131"/>
    <cellStyle name="Normal 18 4" xfId="132"/>
    <cellStyle name="Normal 18 5" xfId="133"/>
    <cellStyle name="Normal 18 6" xfId="134"/>
    <cellStyle name="Normal 18 7"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2" xfId="144"/>
    <cellStyle name="Normal 2 10" xfId="145"/>
    <cellStyle name="Normal 2 10 10" xfId="146"/>
    <cellStyle name="Normal 2 10 2" xfId="147"/>
    <cellStyle name="Normal 2 10 2 2" xfId="148"/>
    <cellStyle name="Normal 2 10 3" xfId="149"/>
    <cellStyle name="Normal 2 10 3 2" xfId="150"/>
    <cellStyle name="Normal 2 10 4" xfId="151"/>
    <cellStyle name="Normal 2 10 4 2" xfId="152"/>
    <cellStyle name="Normal 2 10 5" xfId="153"/>
    <cellStyle name="Normal 2 10 5 2" xfId="154"/>
    <cellStyle name="Normal 2 10 6" xfId="155"/>
    <cellStyle name="Normal 2 10 6 2" xfId="156"/>
    <cellStyle name="Normal 2 10 7" xfId="157"/>
    <cellStyle name="Normal 2 10 7 2" xfId="158"/>
    <cellStyle name="Normal 2 10 8" xfId="159"/>
    <cellStyle name="Normal 2 10 8 2" xfId="160"/>
    <cellStyle name="Normal 2 10 9" xfId="161"/>
    <cellStyle name="Normal 2 11" xfId="162"/>
    <cellStyle name="Normal 2 11 10" xfId="163"/>
    <cellStyle name="Normal 2 11 2" xfId="164"/>
    <cellStyle name="Normal 2 11 2 2" xfId="165"/>
    <cellStyle name="Normal 2 11 3" xfId="166"/>
    <cellStyle name="Normal 2 11 3 2" xfId="167"/>
    <cellStyle name="Normal 2 11 4" xfId="168"/>
    <cellStyle name="Normal 2 11 4 2" xfId="169"/>
    <cellStyle name="Normal 2 11 5" xfId="170"/>
    <cellStyle name="Normal 2 11 5 2" xfId="171"/>
    <cellStyle name="Normal 2 11 6" xfId="172"/>
    <cellStyle name="Normal 2 11 6 2" xfId="173"/>
    <cellStyle name="Normal 2 11 7" xfId="174"/>
    <cellStyle name="Normal 2 11 7 2" xfId="175"/>
    <cellStyle name="Normal 2 11 8" xfId="176"/>
    <cellStyle name="Normal 2 11 8 2" xfId="177"/>
    <cellStyle name="Normal 2 11 9" xfId="178"/>
    <cellStyle name="Normal 2 12" xfId="179"/>
    <cellStyle name="Normal 2 13" xfId="180"/>
    <cellStyle name="Normal 2 14" xfId="181"/>
    <cellStyle name="Normal 2 15" xfId="182"/>
    <cellStyle name="Normal 2 16"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3 3" xfId="240"/>
    <cellStyle name="Normal 2 3 4" xfId="241"/>
    <cellStyle name="Normal 2 3 5" xfId="242"/>
    <cellStyle name="Normal 2 3 6" xfId="243"/>
    <cellStyle name="Normal 2 3 7" xfId="244"/>
    <cellStyle name="Normal 2 3 8" xfId="245"/>
    <cellStyle name="Normal 2 3 9" xfId="246"/>
    <cellStyle name="Normal 2 4" xfId="247"/>
    <cellStyle name="Normal 2 4 10" xfId="248"/>
    <cellStyle name="Normal 2 4 11" xfId="249"/>
    <cellStyle name="Normal 2 4 2" xfId="250"/>
    <cellStyle name="Normal 2 4 2 2" xfId="251"/>
    <cellStyle name="Normal 2 4 3" xfId="252"/>
    <cellStyle name="Normal 2 4 3 2" xfId="253"/>
    <cellStyle name="Normal 2 4 3 3" xfId="254"/>
    <cellStyle name="Normal 2 4 4" xfId="255"/>
    <cellStyle name="Normal 2 4 5" xfId="256"/>
    <cellStyle name="Normal 2 4 6" xfId="257"/>
    <cellStyle name="Normal 2 4 7" xfId="258"/>
    <cellStyle name="Normal 2 4 8" xfId="259"/>
    <cellStyle name="Normal 2 4 9" xfId="260"/>
    <cellStyle name="Normal 2 5" xfId="261"/>
    <cellStyle name="Normal 2 5 10" xfId="262"/>
    <cellStyle name="Normal 2 5 11" xfId="263"/>
    <cellStyle name="Normal 2 5 12" xfId="264"/>
    <cellStyle name="Normal 2 5 2" xfId="265"/>
    <cellStyle name="Normal 2 5 2 2" xfId="266"/>
    <cellStyle name="Normal 2 5 3" xfId="267"/>
    <cellStyle name="Normal 2 5 3 2" xfId="268"/>
    <cellStyle name="Normal 2 5 4" xfId="269"/>
    <cellStyle name="Normal 2 5 5" xfId="270"/>
    <cellStyle name="Normal 2 5 6" xfId="271"/>
    <cellStyle name="Normal 2 5 7" xfId="272"/>
    <cellStyle name="Normal 2 5 8" xfId="273"/>
    <cellStyle name="Normal 2 5 9" xfId="274"/>
    <cellStyle name="Normal 2 6" xfId="275"/>
    <cellStyle name="Normal 2 6 10" xfId="276"/>
    <cellStyle name="Normal 2 6 11" xfId="277"/>
    <cellStyle name="Normal 2 6 12" xfId="278"/>
    <cellStyle name="Normal 2 6 2" xfId="279"/>
    <cellStyle name="Normal 2 6 2 2" xfId="280"/>
    <cellStyle name="Normal 2 6 3" xfId="281"/>
    <cellStyle name="Normal 2 6 3 2" xfId="282"/>
    <cellStyle name="Normal 2 6 4" xfId="283"/>
    <cellStyle name="Normal 2 6 5" xfId="284"/>
    <cellStyle name="Normal 2 6 6" xfId="285"/>
    <cellStyle name="Normal 2 6 7" xfId="286"/>
    <cellStyle name="Normal 2 6 8" xfId="287"/>
    <cellStyle name="Normal 2 6 9" xfId="288"/>
    <cellStyle name="Normal 2 7" xfId="289"/>
    <cellStyle name="Normal 2 7 10"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2" xfId="309"/>
    <cellStyle name="Normal 2 8 2 2" xfId="310"/>
    <cellStyle name="Normal 2 8 3" xfId="311"/>
    <cellStyle name="Normal 2 8 3 2" xfId="312"/>
    <cellStyle name="Normal 2 8 4" xfId="313"/>
    <cellStyle name="Normal 2 8 4 2" xfId="314"/>
    <cellStyle name="Normal 2 8 5" xfId="315"/>
    <cellStyle name="Normal 2 8 5 2" xfId="316"/>
    <cellStyle name="Normal 2 8 6" xfId="317"/>
    <cellStyle name="Normal 2 8 6 2" xfId="318"/>
    <cellStyle name="Normal 2 8 7" xfId="319"/>
    <cellStyle name="Normal 2 8 7 2" xfId="320"/>
    <cellStyle name="Normal 2 8 8" xfId="321"/>
    <cellStyle name="Normal 2 8 8 2" xfId="322"/>
    <cellStyle name="Normal 2 8 9" xfId="323"/>
    <cellStyle name="Normal 2 9" xfId="324"/>
    <cellStyle name="Normal 2 9 10" xfId="325"/>
    <cellStyle name="Normal 2 9 2" xfId="326"/>
    <cellStyle name="Normal 2 9 2 2" xfId="327"/>
    <cellStyle name="Normal 2 9 3" xfId="328"/>
    <cellStyle name="Normal 2 9 3 2" xfId="329"/>
    <cellStyle name="Normal 2 9 4" xfId="330"/>
    <cellStyle name="Normal 2 9 4 2" xfId="331"/>
    <cellStyle name="Normal 2 9 5" xfId="332"/>
    <cellStyle name="Normal 2 9 5 2" xfId="333"/>
    <cellStyle name="Normal 2 9 6" xfId="334"/>
    <cellStyle name="Normal 2 9 6 2" xfId="335"/>
    <cellStyle name="Normal 2 9 7" xfId="336"/>
    <cellStyle name="Normal 2 9 7 2" xfId="337"/>
    <cellStyle name="Normal 2 9 8" xfId="338"/>
    <cellStyle name="Normal 2 9 8 2" xfId="339"/>
    <cellStyle name="Normal 2 9 9" xfId="340"/>
    <cellStyle name="Normal 20" xfId="341"/>
    <cellStyle name="Normal 20 2" xfId="342"/>
    <cellStyle name="Normal 20 3" xfId="343"/>
    <cellStyle name="Normal 22" xfId="344"/>
    <cellStyle name="Normal 22 2" xfId="345"/>
    <cellStyle name="Normal 22 3" xfId="346"/>
    <cellStyle name="Normal 23" xfId="347"/>
    <cellStyle name="Normal 23 2" xfId="348"/>
    <cellStyle name="Normal 23 3" xfId="349"/>
    <cellStyle name="Normal 24" xfId="350"/>
    <cellStyle name="Normal 24 2" xfId="351"/>
    <cellStyle name="Normal 24 3" xfId="352"/>
    <cellStyle name="Normal 25" xfId="353"/>
    <cellStyle name="Normal 25 2" xfId="354"/>
    <cellStyle name="Normal 25 3" xfId="355"/>
    <cellStyle name="Normal 3" xfId="356"/>
    <cellStyle name="Normal 3 2" xfId="357"/>
    <cellStyle name="Normal 3 3" xfId="358"/>
    <cellStyle name="Normal 3 3 2" xfId="359"/>
    <cellStyle name="Normal 3 3 3" xfId="360"/>
    <cellStyle name="Normal 3 4" xfId="361"/>
    <cellStyle name="Normal 3 5" xfId="362"/>
    <cellStyle name="Normal 3 6" xfId="363"/>
    <cellStyle name="Normal 3 7" xfId="364"/>
    <cellStyle name="Normal 4" xfId="365"/>
    <cellStyle name="Normal 4 2" xfId="366"/>
    <cellStyle name="Normal 4 3" xfId="367"/>
    <cellStyle name="Normal 4 3 2" xfId="368"/>
    <cellStyle name="Normal 4 3 3" xfId="369"/>
    <cellStyle name="Normal 4 4" xfId="370"/>
    <cellStyle name="Normal 4 5" xfId="371"/>
    <cellStyle name="Normal 5" xfId="372"/>
    <cellStyle name="Normal 5 2" xfId="373"/>
    <cellStyle name="Normal 5 3" xfId="374"/>
    <cellStyle name="Normal 6" xfId="375"/>
    <cellStyle name="Normal 6 2" xfId="376"/>
    <cellStyle name="Normal 6 3" xfId="377"/>
    <cellStyle name="Normal 6 4" xfId="378"/>
    <cellStyle name="Normal 6 5" xfId="379"/>
    <cellStyle name="Normal 7" xfId="380"/>
    <cellStyle name="Normal 7 2" xfId="381"/>
    <cellStyle name="Normal 7 2 2" xfId="382"/>
    <cellStyle name="Normal 7 2 2 2" xfId="383"/>
    <cellStyle name="Normal 7 2 3" xfId="384"/>
    <cellStyle name="Normal 7 2 4" xfId="385"/>
    <cellStyle name="Normal 7 3" xfId="386"/>
    <cellStyle name="Normal 7 4" xfId="387"/>
    <cellStyle name="Normal 7 5" xfId="388"/>
    <cellStyle name="Normal 7 5 2" xfId="389"/>
    <cellStyle name="Normal 7 5 3" xfId="390"/>
    <cellStyle name="Normal 7 6" xfId="391"/>
    <cellStyle name="Normal 8" xfId="392"/>
    <cellStyle name="Normal 8 2" xfId="393"/>
    <cellStyle name="Normal 9" xfId="394"/>
    <cellStyle name="Normal 9 2" xfId="395"/>
    <cellStyle name="Normal 9 2 2" xfId="396"/>
    <cellStyle name="Normal 9 3" xfId="397"/>
    <cellStyle name="Normal 9 4" xfId="398"/>
    <cellStyle name="Normal 9 5" xfId="399"/>
    <cellStyle name="Normal_debt" xfId="400"/>
    <cellStyle name="Normal_lpform" xfId="401"/>
    <cellStyle name="Normal_Township 07" xfId="402"/>
    <cellStyle name="Note" xfId="403"/>
    <cellStyle name="Output" xfId="404"/>
    <cellStyle name="Percent" xfId="405"/>
    <cellStyle name="Title" xfId="406"/>
    <cellStyle name="Total" xfId="407"/>
    <cellStyle name="Warning Text" xfId="408"/>
  </cellStyles>
  <dxfs count="164">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6"/>
  <sheetViews>
    <sheetView zoomScale="75" zoomScaleNormal="75" zoomScalePageLayoutView="0" workbookViewId="0" topLeftCell="A88">
      <selection activeCell="A91" sqref="A91"/>
    </sheetView>
  </sheetViews>
  <sheetFormatPr defaultColWidth="8.796875" defaultRowHeight="15"/>
  <cols>
    <col min="1" max="1" width="88.796875" style="75" customWidth="1"/>
    <col min="2" max="16384" width="8.8984375" style="75" customWidth="1"/>
  </cols>
  <sheetData>
    <row r="1" ht="15.75">
      <c r="A1" s="74" t="s">
        <v>308</v>
      </c>
    </row>
    <row r="3" ht="34.5" customHeight="1">
      <c r="A3" s="76" t="s">
        <v>33</v>
      </c>
    </row>
    <row r="4" ht="15.75">
      <c r="A4" s="77"/>
    </row>
    <row r="5" ht="52.5" customHeight="1">
      <c r="A5" s="78" t="s">
        <v>309</v>
      </c>
    </row>
    <row r="6" ht="15.75">
      <c r="A6" s="78"/>
    </row>
    <row r="7" ht="31.5">
      <c r="A7" s="78" t="s">
        <v>96</v>
      </c>
    </row>
    <row r="8" ht="15.75">
      <c r="A8" s="78"/>
    </row>
    <row r="9" ht="54.75" customHeight="1">
      <c r="A9" s="78" t="s">
        <v>81</v>
      </c>
    </row>
    <row r="10" ht="15.75">
      <c r="A10" s="78"/>
    </row>
    <row r="11" ht="15.75">
      <c r="A11" s="78" t="s">
        <v>304</v>
      </c>
    </row>
    <row r="13" ht="118.5" customHeight="1">
      <c r="A13" s="78" t="s">
        <v>76</v>
      </c>
    </row>
    <row r="14" ht="15.75">
      <c r="A14" s="78"/>
    </row>
    <row r="15" ht="106.5" customHeight="1">
      <c r="A15" s="78" t="s">
        <v>77</v>
      </c>
    </row>
    <row r="17" ht="15.75">
      <c r="A17" s="74" t="s">
        <v>623</v>
      </c>
    </row>
    <row r="18" ht="15.75">
      <c r="A18" s="74"/>
    </row>
    <row r="19" ht="15.75">
      <c r="A19" s="77" t="s">
        <v>79</v>
      </c>
    </row>
    <row r="20" ht="15.75">
      <c r="A20" s="77"/>
    </row>
    <row r="21" ht="15.75">
      <c r="A21" s="75" t="s">
        <v>341</v>
      </c>
    </row>
    <row r="23" ht="72" customHeight="1">
      <c r="A23" s="79" t="s">
        <v>80</v>
      </c>
    </row>
    <row r="24" ht="13.5" customHeight="1">
      <c r="A24" s="79"/>
    </row>
    <row r="27" ht="15.75">
      <c r="A27" s="74" t="s">
        <v>123</v>
      </c>
    </row>
    <row r="29" ht="34.5" customHeight="1">
      <c r="A29" s="78" t="s">
        <v>75</v>
      </c>
    </row>
    <row r="30" ht="9.75" customHeight="1">
      <c r="A30" s="78"/>
    </row>
    <row r="31" ht="15.75">
      <c r="A31" s="80" t="s">
        <v>34</v>
      </c>
    </row>
    <row r="32" ht="15.75">
      <c r="A32" s="78"/>
    </row>
    <row r="33" ht="17.25" customHeight="1">
      <c r="A33" s="81" t="s">
        <v>273</v>
      </c>
    </row>
    <row r="34" ht="17.25" customHeight="1">
      <c r="A34" s="82"/>
    </row>
    <row r="35" ht="87.75" customHeight="1">
      <c r="A35" s="83" t="s">
        <v>60</v>
      </c>
    </row>
    <row r="37" ht="15.75">
      <c r="A37" s="84" t="s">
        <v>35</v>
      </c>
    </row>
    <row r="39" ht="15.75">
      <c r="A39" s="85" t="s">
        <v>78</v>
      </c>
    </row>
    <row r="41" ht="15.75">
      <c r="A41" s="78" t="s">
        <v>124</v>
      </c>
    </row>
    <row r="43" ht="15.75">
      <c r="A43" s="74" t="s">
        <v>125</v>
      </c>
    </row>
    <row r="45" ht="70.5" customHeight="1">
      <c r="A45" s="78" t="s">
        <v>790</v>
      </c>
    </row>
    <row r="46" ht="52.5" customHeight="1">
      <c r="A46" s="86" t="s">
        <v>50</v>
      </c>
    </row>
    <row r="47" ht="9" customHeight="1">
      <c r="A47" s="78"/>
    </row>
    <row r="48" ht="69.75" customHeight="1">
      <c r="A48" s="78" t="s">
        <v>791</v>
      </c>
    </row>
    <row r="49" ht="53.25" customHeight="1">
      <c r="A49" s="78" t="s">
        <v>51</v>
      </c>
    </row>
    <row r="50" ht="102.75" customHeight="1">
      <c r="A50" s="78" t="s">
        <v>116</v>
      </c>
    </row>
    <row r="51" ht="73.5" customHeight="1">
      <c r="A51" s="439" t="s">
        <v>624</v>
      </c>
    </row>
    <row r="52" ht="69.75" customHeight="1">
      <c r="A52" s="440" t="s">
        <v>625</v>
      </c>
    </row>
    <row r="53" ht="12" customHeight="1">
      <c r="A53" s="78"/>
    </row>
    <row r="54" ht="68.25" customHeight="1">
      <c r="A54" s="78" t="s">
        <v>626</v>
      </c>
    </row>
    <row r="55" ht="68.25" customHeight="1">
      <c r="A55" s="78" t="s">
        <v>627</v>
      </c>
    </row>
    <row r="56" ht="31.5">
      <c r="A56" s="78" t="s">
        <v>628</v>
      </c>
    </row>
    <row r="57" ht="31.5">
      <c r="A57" s="78" t="s">
        <v>629</v>
      </c>
    </row>
    <row r="58" ht="12" customHeight="1"/>
    <row r="59" ht="68.25" customHeight="1">
      <c r="A59" s="78" t="s">
        <v>630</v>
      </c>
    </row>
    <row r="60" ht="128.25" customHeight="1">
      <c r="A60" s="78" t="s">
        <v>631</v>
      </c>
    </row>
    <row r="61" ht="35.25" customHeight="1">
      <c r="A61" s="78" t="s">
        <v>632</v>
      </c>
    </row>
    <row r="62" ht="10.5" customHeight="1">
      <c r="A62" s="78"/>
    </row>
    <row r="63" ht="68.25" customHeight="1">
      <c r="A63" s="78" t="s">
        <v>633</v>
      </c>
    </row>
    <row r="64" ht="10.5" customHeight="1">
      <c r="A64" s="78"/>
    </row>
    <row r="65" ht="72.75" customHeight="1">
      <c r="A65" s="78" t="s">
        <v>634</v>
      </c>
    </row>
    <row r="66" ht="31.5" customHeight="1">
      <c r="A66" s="78" t="s">
        <v>649</v>
      </c>
    </row>
    <row r="67" ht="82.5" customHeight="1">
      <c r="A67" s="78" t="s">
        <v>650</v>
      </c>
    </row>
    <row r="68" ht="37.5" customHeight="1">
      <c r="A68" s="413" t="s">
        <v>648</v>
      </c>
    </row>
    <row r="69" ht="12" customHeight="1">
      <c r="A69" s="78"/>
    </row>
    <row r="70" ht="54" customHeight="1">
      <c r="A70" s="78" t="s">
        <v>635</v>
      </c>
    </row>
    <row r="71" ht="12" customHeight="1"/>
    <row r="72" s="78" customFormat="1" ht="69" customHeight="1">
      <c r="A72" s="78" t="s">
        <v>636</v>
      </c>
    </row>
    <row r="73" ht="12" customHeight="1"/>
    <row r="74" ht="87" customHeight="1">
      <c r="A74" s="78" t="s">
        <v>637</v>
      </c>
    </row>
    <row r="75" ht="87" customHeight="1">
      <c r="A75" s="554" t="s">
        <v>792</v>
      </c>
    </row>
    <row r="76" ht="87" customHeight="1">
      <c r="A76" s="554" t="s">
        <v>793</v>
      </c>
    </row>
    <row r="77" ht="72" customHeight="1">
      <c r="A77" s="78" t="s">
        <v>794</v>
      </c>
    </row>
    <row r="78" ht="116.25" customHeight="1">
      <c r="A78" s="78" t="s">
        <v>795</v>
      </c>
    </row>
    <row r="79" ht="132.75" customHeight="1">
      <c r="A79" s="78" t="s">
        <v>796</v>
      </c>
    </row>
    <row r="80" ht="84" customHeight="1">
      <c r="A80" s="554" t="s">
        <v>797</v>
      </c>
    </row>
    <row r="81" ht="124.5" customHeight="1">
      <c r="A81" s="78" t="s">
        <v>798</v>
      </c>
    </row>
    <row r="82" ht="38.25" customHeight="1">
      <c r="A82" s="78" t="s">
        <v>799</v>
      </c>
    </row>
    <row r="83" ht="85.5" customHeight="1">
      <c r="A83" s="78" t="s">
        <v>800</v>
      </c>
    </row>
    <row r="84" ht="40.5" customHeight="1">
      <c r="A84" s="78" t="s">
        <v>801</v>
      </c>
    </row>
    <row r="85" ht="140.25" customHeight="1">
      <c r="A85" s="410" t="s">
        <v>802</v>
      </c>
    </row>
    <row r="86" ht="119.25" customHeight="1">
      <c r="A86" s="411" t="s">
        <v>803</v>
      </c>
    </row>
    <row r="87" ht="59.25" customHeight="1">
      <c r="A87" s="412" t="s">
        <v>804</v>
      </c>
    </row>
    <row r="89" ht="154.5" customHeight="1">
      <c r="A89" s="78" t="s">
        <v>638</v>
      </c>
    </row>
    <row r="90" ht="132" customHeight="1">
      <c r="A90" s="78" t="s">
        <v>639</v>
      </c>
    </row>
    <row r="91" ht="54" customHeight="1">
      <c r="A91" s="78" t="s">
        <v>640</v>
      </c>
    </row>
    <row r="92" ht="21.75" customHeight="1">
      <c r="A92" s="78" t="s">
        <v>641</v>
      </c>
    </row>
    <row r="94" ht="52.5" customHeight="1">
      <c r="A94" s="78" t="s">
        <v>642</v>
      </c>
    </row>
    <row r="95" ht="22.5" customHeight="1">
      <c r="A95" s="78" t="s">
        <v>643</v>
      </c>
    </row>
    <row r="96" ht="79.5" customHeight="1">
      <c r="A96" s="554" t="s">
        <v>805</v>
      </c>
    </row>
    <row r="97" ht="90.75" customHeight="1">
      <c r="A97" s="554" t="s">
        <v>806</v>
      </c>
    </row>
    <row r="98" ht="37.5" customHeight="1">
      <c r="A98" s="78" t="s">
        <v>807</v>
      </c>
    </row>
    <row r="99" ht="57.75" customHeight="1">
      <c r="A99" s="78" t="s">
        <v>808</v>
      </c>
    </row>
    <row r="100" ht="57.75" customHeight="1">
      <c r="A100" s="78" t="s">
        <v>809</v>
      </c>
    </row>
    <row r="101" ht="10.5" customHeight="1"/>
    <row r="102" ht="57" customHeight="1">
      <c r="A102" s="78" t="s">
        <v>644</v>
      </c>
    </row>
    <row r="103" ht="15.75" customHeight="1"/>
    <row r="104" ht="54" customHeight="1">
      <c r="A104" s="554" t="s">
        <v>810</v>
      </c>
    </row>
    <row r="105" ht="93" customHeight="1">
      <c r="A105" s="554" t="s">
        <v>811</v>
      </c>
    </row>
    <row r="106" ht="104.25" customHeight="1">
      <c r="A106" s="554" t="s">
        <v>812</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8.796875" defaultRowHeight="15"/>
  <cols>
    <col min="1" max="1" width="70.3984375" style="168" customWidth="1"/>
    <col min="2" max="16384" width="8.8984375" style="168" customWidth="1"/>
  </cols>
  <sheetData>
    <row r="1" spans="1:7" ht="30" customHeight="1">
      <c r="A1" s="497" t="s">
        <v>344</v>
      </c>
      <c r="B1" s="496"/>
      <c r="C1" s="496"/>
      <c r="D1" s="496"/>
      <c r="E1" s="496"/>
      <c r="F1" s="496"/>
      <c r="G1" s="496"/>
    </row>
    <row r="2" ht="15.75" customHeight="1">
      <c r="A2" s="2"/>
    </row>
    <row r="3" ht="54" customHeight="1">
      <c r="A3" s="495" t="s">
        <v>668</v>
      </c>
    </row>
    <row r="4" ht="15.75" customHeight="1">
      <c r="A4" s="2"/>
    </row>
    <row r="5" ht="52.5" customHeight="1">
      <c r="A5" s="495" t="s">
        <v>669</v>
      </c>
    </row>
    <row r="6" ht="15.75" customHeight="1">
      <c r="A6" s="2"/>
    </row>
    <row r="7" s="493" customFormat="1" ht="45.75" customHeight="1">
      <c r="A7" s="494" t="s">
        <v>384</v>
      </c>
    </row>
    <row r="8" ht="15.75" customHeight="1">
      <c r="A8" s="2"/>
    </row>
    <row r="9" ht="46.5" customHeight="1">
      <c r="A9" s="494" t="s">
        <v>385</v>
      </c>
    </row>
    <row r="10" ht="15.75" customHeight="1"/>
    <row r="11" ht="45.75" customHeight="1">
      <c r="A11" s="494" t="s">
        <v>386</v>
      </c>
    </row>
    <row r="12" ht="15.75" customHeight="1">
      <c r="A12" s="2"/>
    </row>
    <row r="13" ht="62.25" customHeight="1">
      <c r="A13" s="494" t="s">
        <v>387</v>
      </c>
    </row>
    <row r="14" ht="15.75" customHeight="1">
      <c r="A14" s="2"/>
    </row>
    <row r="15" ht="32.25" customHeight="1">
      <c r="A15" s="494" t="s">
        <v>388</v>
      </c>
    </row>
    <row r="16" ht="15.75" customHeight="1"/>
    <row r="17" ht="67.5" customHeight="1">
      <c r="A17" s="492" t="s">
        <v>670</v>
      </c>
    </row>
    <row r="18" ht="15.75" customHeight="1"/>
    <row r="19" ht="81" customHeight="1">
      <c r="A19" s="492" t="s">
        <v>389</v>
      </c>
    </row>
    <row r="20" ht="15.75" customHeight="1">
      <c r="A20" s="2"/>
    </row>
    <row r="21" ht="78" customHeight="1">
      <c r="A21" s="494" t="s">
        <v>390</v>
      </c>
    </row>
    <row r="22" ht="15.75" customHeight="1">
      <c r="A22" s="2"/>
    </row>
    <row r="23" ht="44.25" customHeight="1">
      <c r="A23" s="494" t="s">
        <v>391</v>
      </c>
    </row>
    <row r="24" ht="15.75" customHeight="1"/>
    <row r="25" ht="53.25" customHeight="1">
      <c r="A25" s="492" t="s">
        <v>392</v>
      </c>
    </row>
    <row r="26" ht="16.5" customHeight="1">
      <c r="A26" s="2"/>
    </row>
    <row r="27" ht="40.5" customHeight="1">
      <c r="A27" s="495" t="s">
        <v>671</v>
      </c>
    </row>
    <row r="28" ht="16.5" customHeight="1">
      <c r="A28" s="2"/>
    </row>
    <row r="29" ht="69.75" customHeight="1">
      <c r="A29" s="494" t="s">
        <v>393</v>
      </c>
    </row>
    <row r="30" ht="15.75" customHeight="1">
      <c r="A30" s="2"/>
    </row>
    <row r="31" ht="58.5" customHeight="1">
      <c r="A31" s="494" t="s">
        <v>394</v>
      </c>
    </row>
    <row r="33" ht="60.75" customHeight="1">
      <c r="A33" s="494" t="s">
        <v>395</v>
      </c>
    </row>
    <row r="34" ht="15.75">
      <c r="A34" s="2"/>
    </row>
    <row r="35" ht="82.5" customHeight="1">
      <c r="A35" s="494" t="s">
        <v>396</v>
      </c>
    </row>
    <row r="36" ht="15.75">
      <c r="A36" s="491"/>
    </row>
    <row r="37" ht="15.75">
      <c r="A37" s="491"/>
    </row>
    <row r="39" ht="15.75">
      <c r="A39" s="491"/>
    </row>
    <row r="40" ht="15.75">
      <c r="A40" s="491"/>
    </row>
    <row r="42" ht="15.75">
      <c r="A42" s="2"/>
    </row>
    <row r="43" ht="15.75">
      <c r="A43" s="491"/>
    </row>
    <row r="45" ht="15.75">
      <c r="A45" s="491"/>
    </row>
    <row r="46" ht="15.75">
      <c r="A46" s="491"/>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B42"/>
  <sheetViews>
    <sheetView zoomScale="75" zoomScaleNormal="75" zoomScalePageLayoutView="0" workbookViewId="0" topLeftCell="A1">
      <selection activeCell="C47" sqref="C47"/>
    </sheetView>
  </sheetViews>
  <sheetFormatPr defaultColWidth="8.796875" defaultRowHeight="15"/>
  <cols>
    <col min="1" max="1" width="20.796875" style="146" customWidth="1"/>
    <col min="2" max="2" width="9.3984375" style="146" customWidth="1"/>
    <col min="3" max="3" width="9.796875" style="146" customWidth="1"/>
    <col min="4" max="4" width="8.796875" style="146" customWidth="1"/>
    <col min="5" max="5" width="12.796875" style="146" customWidth="1"/>
    <col min="6" max="6" width="14" style="146" customWidth="1"/>
    <col min="7" max="12" width="9.796875" style="146" customWidth="1"/>
    <col min="13" max="16384" width="8.8984375" style="146" customWidth="1"/>
  </cols>
  <sheetData>
    <row r="1" spans="1:12" ht="15.75">
      <c r="A1" s="237" t="str">
        <f>inputPrYr!$C$2</f>
        <v>Sheridan County</v>
      </c>
      <c r="B1" s="88"/>
      <c r="C1" s="88"/>
      <c r="D1" s="88"/>
      <c r="E1" s="88"/>
      <c r="F1" s="88"/>
      <c r="G1" s="88"/>
      <c r="H1" s="88"/>
      <c r="I1" s="88"/>
      <c r="J1" s="88"/>
      <c r="K1" s="88"/>
      <c r="L1" s="264">
        <f>inputPrYr!$C$4</f>
        <v>2012</v>
      </c>
    </row>
    <row r="2" spans="1:12" ht="15.75">
      <c r="A2" s="237"/>
      <c r="B2" s="88"/>
      <c r="C2" s="88"/>
      <c r="D2" s="88"/>
      <c r="E2" s="88"/>
      <c r="F2" s="88"/>
      <c r="G2" s="88"/>
      <c r="H2" s="88"/>
      <c r="I2" s="88"/>
      <c r="J2" s="88"/>
      <c r="K2" s="88"/>
      <c r="L2" s="249"/>
    </row>
    <row r="3" spans="1:12" ht="15.75">
      <c r="A3" s="265" t="s">
        <v>232</v>
      </c>
      <c r="B3" s="96"/>
      <c r="C3" s="96"/>
      <c r="D3" s="96"/>
      <c r="E3" s="96"/>
      <c r="F3" s="96"/>
      <c r="G3" s="96"/>
      <c r="H3" s="96"/>
      <c r="I3" s="96"/>
      <c r="J3" s="96"/>
      <c r="K3" s="96"/>
      <c r="L3" s="96"/>
    </row>
    <row r="4" spans="1:12" ht="15.75">
      <c r="A4" s="88"/>
      <c r="B4" s="266"/>
      <c r="C4" s="266"/>
      <c r="D4" s="266"/>
      <c r="E4" s="266"/>
      <c r="F4" s="266"/>
      <c r="G4" s="266"/>
      <c r="H4" s="266"/>
      <c r="I4" s="266"/>
      <c r="J4" s="266"/>
      <c r="K4" s="266"/>
      <c r="L4" s="266"/>
    </row>
    <row r="5" spans="1:12" ht="15.75">
      <c r="A5" s="88"/>
      <c r="B5" s="267" t="s">
        <v>200</v>
      </c>
      <c r="C5" s="267" t="s">
        <v>200</v>
      </c>
      <c r="D5" s="267" t="s">
        <v>215</v>
      </c>
      <c r="E5" s="267"/>
      <c r="F5" s="267" t="s">
        <v>334</v>
      </c>
      <c r="G5" s="88"/>
      <c r="H5" s="88"/>
      <c r="I5" s="268" t="s">
        <v>201</v>
      </c>
      <c r="J5" s="269"/>
      <c r="K5" s="268" t="s">
        <v>201</v>
      </c>
      <c r="L5" s="269"/>
    </row>
    <row r="6" spans="1:12" ht="15.75">
      <c r="A6" s="88"/>
      <c r="B6" s="270" t="s">
        <v>202</v>
      </c>
      <c r="C6" s="270" t="s">
        <v>335</v>
      </c>
      <c r="D6" s="270" t="s">
        <v>203</v>
      </c>
      <c r="E6" s="270" t="s">
        <v>148</v>
      </c>
      <c r="F6" s="270" t="s">
        <v>276</v>
      </c>
      <c r="G6" s="703" t="s">
        <v>204</v>
      </c>
      <c r="H6" s="704"/>
      <c r="I6" s="705">
        <f>L1-1</f>
        <v>2011</v>
      </c>
      <c r="J6" s="706"/>
      <c r="K6" s="705">
        <f>L1</f>
        <v>2012</v>
      </c>
      <c r="L6" s="706"/>
    </row>
    <row r="7" spans="1:12" ht="15.75">
      <c r="A7" s="272" t="s">
        <v>205</v>
      </c>
      <c r="B7" s="273" t="s">
        <v>206</v>
      </c>
      <c r="C7" s="273" t="s">
        <v>336</v>
      </c>
      <c r="D7" s="273" t="s">
        <v>165</v>
      </c>
      <c r="E7" s="273" t="s">
        <v>207</v>
      </c>
      <c r="F7" s="271" t="str">
        <f>CONCATENATE("Jan 1,",L1-1,"")</f>
        <v>Jan 1,2011</v>
      </c>
      <c r="G7" s="262" t="s">
        <v>215</v>
      </c>
      <c r="H7" s="262" t="s">
        <v>216</v>
      </c>
      <c r="I7" s="262" t="s">
        <v>215</v>
      </c>
      <c r="J7" s="262" t="s">
        <v>216</v>
      </c>
      <c r="K7" s="262" t="s">
        <v>215</v>
      </c>
      <c r="L7" s="262" t="s">
        <v>216</v>
      </c>
    </row>
    <row r="8" spans="1:12" ht="15.75">
      <c r="A8" s="272" t="s">
        <v>208</v>
      </c>
      <c r="B8" s="111"/>
      <c r="C8" s="111"/>
      <c r="D8" s="274"/>
      <c r="E8" s="275"/>
      <c r="F8" s="275"/>
      <c r="G8" s="111"/>
      <c r="H8" s="111"/>
      <c r="I8" s="275"/>
      <c r="J8" s="275"/>
      <c r="K8" s="275"/>
      <c r="L8" s="275"/>
    </row>
    <row r="9" spans="1:12" ht="15.75">
      <c r="A9" s="276" t="s">
        <v>864</v>
      </c>
      <c r="B9" s="447"/>
      <c r="C9" s="447"/>
      <c r="D9" s="277"/>
      <c r="E9" s="278"/>
      <c r="F9" s="279"/>
      <c r="G9" s="280"/>
      <c r="H9" s="280"/>
      <c r="I9" s="279"/>
      <c r="J9" s="279"/>
      <c r="K9" s="279"/>
      <c r="L9" s="279"/>
    </row>
    <row r="10" spans="1:12" ht="15.75">
      <c r="A10" s="276"/>
      <c r="B10" s="447"/>
      <c r="C10" s="447"/>
      <c r="D10" s="277"/>
      <c r="E10" s="278"/>
      <c r="F10" s="279"/>
      <c r="G10" s="280"/>
      <c r="H10" s="280"/>
      <c r="I10" s="279"/>
      <c r="J10" s="279"/>
      <c r="K10" s="279"/>
      <c r="L10" s="279"/>
    </row>
    <row r="11" spans="1:12" ht="15.75">
      <c r="A11" s="276"/>
      <c r="B11" s="447"/>
      <c r="C11" s="447"/>
      <c r="D11" s="277"/>
      <c r="E11" s="278"/>
      <c r="F11" s="279"/>
      <c r="G11" s="280"/>
      <c r="H11" s="280"/>
      <c r="I11" s="279"/>
      <c r="J11" s="279"/>
      <c r="K11" s="279"/>
      <c r="L11" s="279"/>
    </row>
    <row r="12" spans="1:12" ht="15.75">
      <c r="A12" s="276"/>
      <c r="B12" s="447"/>
      <c r="C12" s="447"/>
      <c r="D12" s="277"/>
      <c r="E12" s="278"/>
      <c r="F12" s="279"/>
      <c r="G12" s="280"/>
      <c r="H12" s="280"/>
      <c r="I12" s="279"/>
      <c r="J12" s="279"/>
      <c r="K12" s="279"/>
      <c r="L12" s="279"/>
    </row>
    <row r="13" spans="1:12" ht="15.75">
      <c r="A13" s="276"/>
      <c r="B13" s="447"/>
      <c r="C13" s="447"/>
      <c r="D13" s="277"/>
      <c r="E13" s="278"/>
      <c r="F13" s="279"/>
      <c r="G13" s="280"/>
      <c r="H13" s="280"/>
      <c r="I13" s="279"/>
      <c r="J13" s="279"/>
      <c r="K13" s="279"/>
      <c r="L13" s="279"/>
    </row>
    <row r="14" spans="1:12" ht="15.75">
      <c r="A14" s="276"/>
      <c r="B14" s="447"/>
      <c r="C14" s="447"/>
      <c r="D14" s="277"/>
      <c r="E14" s="278"/>
      <c r="F14" s="279"/>
      <c r="G14" s="280"/>
      <c r="H14" s="280"/>
      <c r="I14" s="279"/>
      <c r="J14" s="279"/>
      <c r="K14" s="279"/>
      <c r="L14" s="279"/>
    </row>
    <row r="15" spans="1:12" ht="15.75">
      <c r="A15" s="276"/>
      <c r="B15" s="447"/>
      <c r="C15" s="447"/>
      <c r="D15" s="277"/>
      <c r="E15" s="278"/>
      <c r="F15" s="279"/>
      <c r="G15" s="280"/>
      <c r="H15" s="280"/>
      <c r="I15" s="279"/>
      <c r="J15" s="279"/>
      <c r="K15" s="279"/>
      <c r="L15" s="279"/>
    </row>
    <row r="16" spans="1:12" ht="15.75">
      <c r="A16" s="276"/>
      <c r="B16" s="447"/>
      <c r="C16" s="447"/>
      <c r="D16" s="277"/>
      <c r="E16" s="278"/>
      <c r="F16" s="279"/>
      <c r="G16" s="280"/>
      <c r="H16" s="280"/>
      <c r="I16" s="279"/>
      <c r="J16" s="279"/>
      <c r="K16" s="279"/>
      <c r="L16" s="279"/>
    </row>
    <row r="17" spans="1:12" ht="15.75">
      <c r="A17" s="276"/>
      <c r="B17" s="447"/>
      <c r="C17" s="447"/>
      <c r="D17" s="277"/>
      <c r="E17" s="278"/>
      <c r="F17" s="279"/>
      <c r="G17" s="280"/>
      <c r="H17" s="280"/>
      <c r="I17" s="279"/>
      <c r="J17" s="279"/>
      <c r="K17" s="279"/>
      <c r="L17" s="279"/>
    </row>
    <row r="18" spans="1:12" ht="15.75">
      <c r="A18" s="276"/>
      <c r="B18" s="447"/>
      <c r="C18" s="447"/>
      <c r="D18" s="277"/>
      <c r="E18" s="278"/>
      <c r="F18" s="279"/>
      <c r="G18" s="280"/>
      <c r="H18" s="280"/>
      <c r="I18" s="279"/>
      <c r="J18" s="279"/>
      <c r="K18" s="279"/>
      <c r="L18" s="279"/>
    </row>
    <row r="19" spans="1:12" ht="15.75">
      <c r="A19" s="281" t="s">
        <v>209</v>
      </c>
      <c r="B19" s="282"/>
      <c r="C19" s="282"/>
      <c r="D19" s="283"/>
      <c r="E19" s="284"/>
      <c r="F19" s="285">
        <f>SUM(F9:F18)</f>
        <v>0</v>
      </c>
      <c r="G19" s="286"/>
      <c r="H19" s="286"/>
      <c r="I19" s="285">
        <f>SUM(I9:I18)</f>
        <v>0</v>
      </c>
      <c r="J19" s="285">
        <f>SUM(J9:J18)</f>
        <v>0</v>
      </c>
      <c r="K19" s="285">
        <f>SUM(K9:K18)</f>
        <v>0</v>
      </c>
      <c r="L19" s="285">
        <f>SUM(L9:L18)</f>
        <v>0</v>
      </c>
    </row>
    <row r="20" spans="1:12" ht="15.75">
      <c r="A20" s="262" t="s">
        <v>210</v>
      </c>
      <c r="B20" s="287"/>
      <c r="C20" s="287"/>
      <c r="D20" s="288"/>
      <c r="E20" s="289"/>
      <c r="F20" s="289"/>
      <c r="G20" s="290"/>
      <c r="H20" s="290"/>
      <c r="I20" s="289"/>
      <c r="J20" s="289"/>
      <c r="K20" s="289"/>
      <c r="L20" s="289"/>
    </row>
    <row r="21" spans="1:12" ht="15.75">
      <c r="A21" s="276" t="s">
        <v>864</v>
      </c>
      <c r="B21" s="447"/>
      <c r="C21" s="447"/>
      <c r="D21" s="277"/>
      <c r="E21" s="278"/>
      <c r="F21" s="279"/>
      <c r="G21" s="280"/>
      <c r="H21" s="280"/>
      <c r="I21" s="279"/>
      <c r="J21" s="279"/>
      <c r="K21" s="279"/>
      <c r="L21" s="279"/>
    </row>
    <row r="22" spans="1:12" ht="15.75">
      <c r="A22" s="276"/>
      <c r="B22" s="447"/>
      <c r="C22" s="447"/>
      <c r="D22" s="277"/>
      <c r="E22" s="278"/>
      <c r="F22" s="279"/>
      <c r="G22" s="280"/>
      <c r="H22" s="280"/>
      <c r="I22" s="279"/>
      <c r="J22" s="279"/>
      <c r="K22" s="279"/>
      <c r="L22" s="279"/>
    </row>
    <row r="23" spans="1:12" ht="15.75">
      <c r="A23" s="276"/>
      <c r="B23" s="447"/>
      <c r="C23" s="447"/>
      <c r="D23" s="277"/>
      <c r="E23" s="278"/>
      <c r="F23" s="279"/>
      <c r="G23" s="280"/>
      <c r="H23" s="280"/>
      <c r="I23" s="279"/>
      <c r="J23" s="279"/>
      <c r="K23" s="279"/>
      <c r="L23" s="279"/>
    </row>
    <row r="24" spans="1:12" ht="15.75">
      <c r="A24" s="276"/>
      <c r="B24" s="447"/>
      <c r="C24" s="447"/>
      <c r="D24" s="277"/>
      <c r="E24" s="278"/>
      <c r="F24" s="279"/>
      <c r="G24" s="280"/>
      <c r="H24" s="280"/>
      <c r="I24" s="279"/>
      <c r="J24" s="279"/>
      <c r="K24" s="279"/>
      <c r="L24" s="279"/>
    </row>
    <row r="25" spans="1:12" ht="15.75">
      <c r="A25" s="276"/>
      <c r="B25" s="447"/>
      <c r="C25" s="447"/>
      <c r="D25" s="277"/>
      <c r="E25" s="278"/>
      <c r="F25" s="279"/>
      <c r="G25" s="280"/>
      <c r="H25" s="280"/>
      <c r="I25" s="279"/>
      <c r="J25" s="279"/>
      <c r="K25" s="279"/>
      <c r="L25" s="279"/>
    </row>
    <row r="26" spans="1:12" ht="15.75">
      <c r="A26" s="276"/>
      <c r="B26" s="447"/>
      <c r="C26" s="447"/>
      <c r="D26" s="277"/>
      <c r="E26" s="278"/>
      <c r="F26" s="279"/>
      <c r="G26" s="280"/>
      <c r="H26" s="280"/>
      <c r="I26" s="279"/>
      <c r="J26" s="279"/>
      <c r="K26" s="279"/>
      <c r="L26" s="279"/>
    </row>
    <row r="27" spans="1:12" ht="15.75">
      <c r="A27" s="281" t="s">
        <v>211</v>
      </c>
      <c r="B27" s="282"/>
      <c r="C27" s="282"/>
      <c r="D27" s="291"/>
      <c r="E27" s="284"/>
      <c r="F27" s="292">
        <f>SUM(F21:F26)</f>
        <v>0</v>
      </c>
      <c r="G27" s="286"/>
      <c r="H27" s="286"/>
      <c r="I27" s="292">
        <f>SUM(I21:I26)</f>
        <v>0</v>
      </c>
      <c r="J27" s="292">
        <f>SUM(J21:J26)</f>
        <v>0</v>
      </c>
      <c r="K27" s="285">
        <f>SUM(K21:K26)</f>
        <v>0</v>
      </c>
      <c r="L27" s="292">
        <f>SUM(L21:L26)</f>
        <v>0</v>
      </c>
    </row>
    <row r="28" spans="1:12" ht="15.75">
      <c r="A28" s="262" t="s">
        <v>212</v>
      </c>
      <c r="B28" s="287"/>
      <c r="C28" s="287"/>
      <c r="D28" s="288"/>
      <c r="E28" s="289"/>
      <c r="F28" s="293"/>
      <c r="G28" s="290"/>
      <c r="H28" s="290"/>
      <c r="I28" s="289"/>
      <c r="J28" s="289"/>
      <c r="K28" s="289"/>
      <c r="L28" s="289"/>
    </row>
    <row r="29" spans="1:12" ht="15.75">
      <c r="A29" s="276" t="s">
        <v>864</v>
      </c>
      <c r="B29" s="447"/>
      <c r="C29" s="447"/>
      <c r="D29" s="277"/>
      <c r="E29" s="278"/>
      <c r="F29" s="279"/>
      <c r="G29" s="280"/>
      <c r="H29" s="280"/>
      <c r="I29" s="279"/>
      <c r="J29" s="279"/>
      <c r="K29" s="279"/>
      <c r="L29" s="279"/>
    </row>
    <row r="30" spans="1:12" ht="15.75">
      <c r="A30" s="276"/>
      <c r="B30" s="447"/>
      <c r="C30" s="447"/>
      <c r="D30" s="277"/>
      <c r="E30" s="278"/>
      <c r="F30" s="279"/>
      <c r="G30" s="280"/>
      <c r="H30" s="280"/>
      <c r="I30" s="279"/>
      <c r="J30" s="279"/>
      <c r="K30" s="279"/>
      <c r="L30" s="279"/>
    </row>
    <row r="31" spans="1:12" ht="15.75">
      <c r="A31" s="276"/>
      <c r="B31" s="447"/>
      <c r="C31" s="447"/>
      <c r="D31" s="277"/>
      <c r="E31" s="278"/>
      <c r="F31" s="279"/>
      <c r="G31" s="280"/>
      <c r="H31" s="280"/>
      <c r="I31" s="279"/>
      <c r="J31" s="279"/>
      <c r="K31" s="279"/>
      <c r="L31" s="279"/>
    </row>
    <row r="32" spans="1:12" ht="15.75">
      <c r="A32" s="276"/>
      <c r="B32" s="447"/>
      <c r="C32" s="447"/>
      <c r="D32" s="277"/>
      <c r="E32" s="278"/>
      <c r="F32" s="279"/>
      <c r="G32" s="280"/>
      <c r="H32" s="280"/>
      <c r="I32" s="279"/>
      <c r="J32" s="279"/>
      <c r="K32" s="279"/>
      <c r="L32" s="279"/>
    </row>
    <row r="33" spans="1:12" ht="15.75">
      <c r="A33" s="276"/>
      <c r="B33" s="447"/>
      <c r="C33" s="447"/>
      <c r="D33" s="277"/>
      <c r="E33" s="278"/>
      <c r="F33" s="279"/>
      <c r="G33" s="280"/>
      <c r="H33" s="280"/>
      <c r="I33" s="279"/>
      <c r="J33" s="279"/>
      <c r="K33" s="279"/>
      <c r="L33" s="279"/>
    </row>
    <row r="34" spans="1:12" ht="15.75">
      <c r="A34" s="276"/>
      <c r="B34" s="447"/>
      <c r="C34" s="447"/>
      <c r="D34" s="277"/>
      <c r="E34" s="278"/>
      <c r="F34" s="279"/>
      <c r="G34" s="280"/>
      <c r="H34" s="280"/>
      <c r="I34" s="279"/>
      <c r="J34" s="279"/>
      <c r="K34" s="279"/>
      <c r="L34" s="279"/>
    </row>
    <row r="35" spans="1:28" ht="15.75">
      <c r="A35" s="276"/>
      <c r="B35" s="447"/>
      <c r="C35" s="447"/>
      <c r="D35" s="277"/>
      <c r="E35" s="278"/>
      <c r="F35" s="279"/>
      <c r="G35" s="280"/>
      <c r="H35" s="280"/>
      <c r="I35" s="279"/>
      <c r="J35" s="279"/>
      <c r="K35" s="279"/>
      <c r="L35" s="279"/>
      <c r="M35" s="75"/>
      <c r="N35" s="75"/>
      <c r="O35" s="75"/>
      <c r="P35" s="75"/>
      <c r="Q35" s="75"/>
      <c r="R35" s="75"/>
      <c r="S35" s="75"/>
      <c r="T35" s="75"/>
      <c r="U35" s="75"/>
      <c r="V35" s="75"/>
      <c r="W35" s="75"/>
      <c r="X35" s="75"/>
      <c r="Y35" s="75"/>
      <c r="Z35" s="75"/>
      <c r="AA35" s="75"/>
      <c r="AB35" s="75"/>
    </row>
    <row r="36" spans="1:12" ht="15.75">
      <c r="A36" s="281" t="s">
        <v>337</v>
      </c>
      <c r="B36" s="281"/>
      <c r="C36" s="281"/>
      <c r="D36" s="291"/>
      <c r="E36" s="284"/>
      <c r="F36" s="292">
        <f>SUM(F29:F35)</f>
        <v>0</v>
      </c>
      <c r="G36" s="284"/>
      <c r="H36" s="284"/>
      <c r="I36" s="292">
        <f>SUM(I29:I35)</f>
        <v>0</v>
      </c>
      <c r="J36" s="292">
        <f>SUM(J29:J35)</f>
        <v>0</v>
      </c>
      <c r="K36" s="292">
        <f>SUM(K29:K35)</f>
        <v>0</v>
      </c>
      <c r="L36" s="292">
        <f>SUM(L29:L35)</f>
        <v>0</v>
      </c>
    </row>
    <row r="37" spans="1:12" ht="15.75">
      <c r="A37" s="281" t="s">
        <v>213</v>
      </c>
      <c r="B37" s="281"/>
      <c r="C37" s="281"/>
      <c r="D37" s="281"/>
      <c r="E37" s="284"/>
      <c r="F37" s="292">
        <f>SUM(F19+F27+F36)</f>
        <v>0</v>
      </c>
      <c r="G37" s="284"/>
      <c r="H37" s="284"/>
      <c r="I37" s="292">
        <f>SUM(I19+I27+I36)</f>
        <v>0</v>
      </c>
      <c r="J37" s="292">
        <f>SUM(J19+J27+J36)</f>
        <v>0</v>
      </c>
      <c r="K37" s="292">
        <f>SUM(K19+K27+K36)</f>
        <v>0</v>
      </c>
      <c r="L37" s="292">
        <f>SUM(L19+L27+L36)</f>
        <v>0</v>
      </c>
    </row>
    <row r="38" spans="1:12" ht="15.75">
      <c r="A38" s="75"/>
      <c r="B38" s="75"/>
      <c r="C38" s="75"/>
      <c r="D38" s="75"/>
      <c r="E38" s="75"/>
      <c r="F38" s="75"/>
      <c r="G38" s="75"/>
      <c r="H38" s="75"/>
      <c r="I38" s="75"/>
      <c r="J38" s="75"/>
      <c r="K38" s="75"/>
      <c r="L38" s="75"/>
    </row>
    <row r="39" spans="5:12" ht="15.75">
      <c r="E39" s="294"/>
      <c r="F39" s="294"/>
      <c r="I39" s="294"/>
      <c r="J39" s="294"/>
      <c r="K39" s="294"/>
      <c r="L39" s="294"/>
    </row>
    <row r="40" spans="5:13" ht="15.75">
      <c r="E40" s="75"/>
      <c r="G40" s="295"/>
      <c r="M40" s="75"/>
    </row>
    <row r="41" spans="1:12" ht="15.75">
      <c r="A41" s="75"/>
      <c r="B41" s="75"/>
      <c r="C41" s="75"/>
      <c r="D41" s="75"/>
      <c r="E41" s="75"/>
      <c r="F41" s="75"/>
      <c r="G41" s="75"/>
      <c r="H41" s="75"/>
      <c r="I41" s="75"/>
      <c r="J41" s="75"/>
      <c r="K41" s="75"/>
      <c r="L41" s="75"/>
    </row>
    <row r="42" spans="1:12" ht="15.75">
      <c r="A42" s="75"/>
      <c r="B42" s="75"/>
      <c r="C42" s="75"/>
      <c r="D42" s="75"/>
      <c r="E42" s="75"/>
      <c r="F42" s="75"/>
      <c r="G42" s="75"/>
      <c r="H42" s="75"/>
      <c r="I42" s="75"/>
      <c r="J42" s="75"/>
      <c r="K42" s="75"/>
      <c r="L42" s="75"/>
    </row>
  </sheetData>
  <sheetProtection sheet="1"/>
  <mergeCells count="3">
    <mergeCell ref="G6:H6"/>
    <mergeCell ref="I6:J6"/>
    <mergeCell ref="K6:L6"/>
  </mergeCells>
  <printOptions/>
  <pageMargins left="1" right="0.5" top="0.78" bottom="0.4" header="0.5" footer="0"/>
  <pageSetup blackAndWhite="1" fitToHeight="1" fitToWidth="1" horizontalDpi="120" verticalDpi="120" orientation="landscape" scale="75"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48"/>
  <sheetViews>
    <sheetView zoomScale="75" zoomScaleNormal="75" zoomScalePageLayoutView="0" workbookViewId="0" topLeftCell="A1">
      <selection activeCell="C47" sqref="C47"/>
    </sheetView>
  </sheetViews>
  <sheetFormatPr defaultColWidth="8.796875" defaultRowHeight="15"/>
  <cols>
    <col min="1" max="1" width="25.796875" style="75" customWidth="1"/>
    <col min="2" max="4" width="9.796875" style="75" customWidth="1"/>
    <col min="5" max="5" width="17.09765625" style="75" customWidth="1"/>
    <col min="6" max="8" width="15.796875" style="75" customWidth="1"/>
    <col min="9" max="16384" width="8.8984375" style="75" customWidth="1"/>
  </cols>
  <sheetData>
    <row r="1" spans="1:8" ht="15.75">
      <c r="A1" s="237" t="str">
        <f>inputPrYr!$C$2</f>
        <v>Sheridan County</v>
      </c>
      <c r="B1" s="88"/>
      <c r="C1" s="88"/>
      <c r="D1" s="88"/>
      <c r="E1" s="88"/>
      <c r="F1" s="88"/>
      <c r="G1" s="88"/>
      <c r="H1" s="296">
        <f>inputPrYr!C4</f>
        <v>2012</v>
      </c>
    </row>
    <row r="2" spans="1:8" ht="15.75">
      <c r="A2" s="88"/>
      <c r="B2" s="88"/>
      <c r="C2" s="88"/>
      <c r="D2" s="88"/>
      <c r="E2" s="88"/>
      <c r="F2" s="88"/>
      <c r="G2" s="88"/>
      <c r="H2" s="249"/>
    </row>
    <row r="3" spans="1:8" ht="15.75">
      <c r="A3" s="88"/>
      <c r="B3" s="96"/>
      <c r="C3" s="96"/>
      <c r="D3" s="96"/>
      <c r="E3" s="96"/>
      <c r="F3" s="96"/>
      <c r="G3" s="96"/>
      <c r="H3" s="297"/>
    </row>
    <row r="4" spans="1:8" ht="15.75">
      <c r="A4" s="265" t="s">
        <v>225</v>
      </c>
      <c r="B4" s="96"/>
      <c r="C4" s="96"/>
      <c r="D4" s="96"/>
      <c r="E4" s="96"/>
      <c r="F4" s="96"/>
      <c r="G4" s="96"/>
      <c r="H4" s="96"/>
    </row>
    <row r="5" spans="1:8" ht="15.75">
      <c r="A5" s="117"/>
      <c r="B5" s="266"/>
      <c r="C5" s="266"/>
      <c r="D5" s="266"/>
      <c r="E5" s="266"/>
      <c r="F5" s="266"/>
      <c r="G5" s="266"/>
      <c r="H5" s="266"/>
    </row>
    <row r="6" spans="1:8" ht="15.75">
      <c r="A6" s="298"/>
      <c r="B6" s="299"/>
      <c r="C6" s="299"/>
      <c r="D6" s="299"/>
      <c r="E6" s="267" t="s">
        <v>128</v>
      </c>
      <c r="F6" s="299"/>
      <c r="G6" s="299"/>
      <c r="H6" s="299"/>
    </row>
    <row r="7" spans="1:8" ht="15.75">
      <c r="A7" s="298"/>
      <c r="B7" s="270"/>
      <c r="C7" s="270" t="s">
        <v>214</v>
      </c>
      <c r="D7" s="270" t="s">
        <v>215</v>
      </c>
      <c r="E7" s="270" t="s">
        <v>148</v>
      </c>
      <c r="F7" s="270" t="s">
        <v>216</v>
      </c>
      <c r="G7" s="270" t="s">
        <v>217</v>
      </c>
      <c r="H7" s="270" t="s">
        <v>217</v>
      </c>
    </row>
    <row r="8" spans="1:8" ht="15.75">
      <c r="A8" s="298"/>
      <c r="B8" s="270" t="s">
        <v>218</v>
      </c>
      <c r="C8" s="270" t="s">
        <v>219</v>
      </c>
      <c r="D8" s="270" t="s">
        <v>203</v>
      </c>
      <c r="E8" s="270" t="s">
        <v>220</v>
      </c>
      <c r="F8" s="270" t="s">
        <v>257</v>
      </c>
      <c r="G8" s="270" t="s">
        <v>221</v>
      </c>
      <c r="H8" s="270" t="s">
        <v>221</v>
      </c>
    </row>
    <row r="9" spans="1:8" ht="15.75">
      <c r="A9" s="300" t="s">
        <v>222</v>
      </c>
      <c r="B9" s="273" t="s">
        <v>200</v>
      </c>
      <c r="C9" s="301" t="s">
        <v>223</v>
      </c>
      <c r="D9" s="273" t="s">
        <v>165</v>
      </c>
      <c r="E9" s="301" t="s">
        <v>277</v>
      </c>
      <c r="F9" s="302" t="str">
        <f>CONCATENATE("Jan 1,",H1-1,"")</f>
        <v>Jan 1,2011</v>
      </c>
      <c r="G9" s="273">
        <f>H1-1</f>
        <v>2011</v>
      </c>
      <c r="H9" s="273">
        <f>H1</f>
        <v>2012</v>
      </c>
    </row>
    <row r="10" spans="1:8" ht="15.75">
      <c r="A10" s="303" t="s">
        <v>864</v>
      </c>
      <c r="B10" s="303"/>
      <c r="C10" s="304"/>
      <c r="D10" s="305"/>
      <c r="E10" s="115"/>
      <c r="F10" s="115"/>
      <c r="G10" s="115"/>
      <c r="H10" s="115"/>
    </row>
    <row r="11" spans="1:8" ht="15.75">
      <c r="A11" s="303"/>
      <c r="B11" s="303"/>
      <c r="C11" s="304"/>
      <c r="D11" s="305"/>
      <c r="E11" s="115"/>
      <c r="F11" s="115"/>
      <c r="G11" s="115"/>
      <c r="H11" s="115"/>
    </row>
    <row r="12" spans="1:8" ht="15.75">
      <c r="A12" s="303"/>
      <c r="B12" s="446"/>
      <c r="C12" s="304"/>
      <c r="D12" s="305"/>
      <c r="E12" s="115"/>
      <c r="F12" s="115"/>
      <c r="G12" s="115"/>
      <c r="H12" s="115"/>
    </row>
    <row r="13" spans="1:8" ht="15.75">
      <c r="A13" s="303"/>
      <c r="B13" s="303"/>
      <c r="C13" s="304"/>
      <c r="D13" s="305"/>
      <c r="E13" s="115"/>
      <c r="F13" s="115"/>
      <c r="G13" s="115"/>
      <c r="H13" s="115"/>
    </row>
    <row r="14" spans="1:8" ht="15.75">
      <c r="A14" s="303"/>
      <c r="B14" s="303"/>
      <c r="C14" s="304"/>
      <c r="D14" s="305"/>
      <c r="E14" s="115"/>
      <c r="F14" s="115"/>
      <c r="G14" s="115"/>
      <c r="H14" s="115"/>
    </row>
    <row r="15" spans="1:8" ht="15.75">
      <c r="A15" s="303"/>
      <c r="B15" s="303"/>
      <c r="C15" s="304"/>
      <c r="D15" s="305"/>
      <c r="E15" s="115"/>
      <c r="F15" s="115"/>
      <c r="G15" s="115"/>
      <c r="H15" s="115"/>
    </row>
    <row r="16" spans="1:8" ht="15.75">
      <c r="A16" s="303"/>
      <c r="B16" s="303"/>
      <c r="C16" s="304"/>
      <c r="D16" s="305"/>
      <c r="E16" s="115"/>
      <c r="F16" s="115"/>
      <c r="G16" s="115"/>
      <c r="H16" s="115"/>
    </row>
    <row r="17" spans="1:8" ht="15.75">
      <c r="A17" s="303"/>
      <c r="B17" s="303"/>
      <c r="C17" s="304"/>
      <c r="D17" s="305"/>
      <c r="E17" s="115"/>
      <c r="F17" s="115"/>
      <c r="G17" s="115"/>
      <c r="H17" s="115"/>
    </row>
    <row r="18" spans="1:8" ht="15.75">
      <c r="A18" s="303"/>
      <c r="B18" s="303"/>
      <c r="C18" s="304"/>
      <c r="D18" s="305"/>
      <c r="E18" s="115"/>
      <c r="F18" s="115"/>
      <c r="G18" s="115"/>
      <c r="H18" s="115"/>
    </row>
    <row r="19" spans="1:8" ht="15.75">
      <c r="A19" s="303"/>
      <c r="B19" s="303"/>
      <c r="C19" s="304"/>
      <c r="D19" s="305"/>
      <c r="E19" s="115"/>
      <c r="F19" s="115"/>
      <c r="G19" s="115"/>
      <c r="H19" s="115"/>
    </row>
    <row r="20" spans="1:8" ht="15.75">
      <c r="A20" s="303"/>
      <c r="B20" s="303"/>
      <c r="C20" s="304"/>
      <c r="D20" s="305"/>
      <c r="E20" s="115"/>
      <c r="F20" s="115"/>
      <c r="G20" s="115"/>
      <c r="H20" s="115"/>
    </row>
    <row r="21" spans="1:8" ht="15.75">
      <c r="A21" s="303"/>
      <c r="B21" s="303"/>
      <c r="C21" s="304"/>
      <c r="D21" s="305"/>
      <c r="E21" s="115"/>
      <c r="F21" s="115"/>
      <c r="G21" s="115"/>
      <c r="H21" s="115"/>
    </row>
    <row r="22" spans="1:8" ht="15.75">
      <c r="A22" s="303"/>
      <c r="B22" s="303"/>
      <c r="C22" s="304"/>
      <c r="D22" s="305"/>
      <c r="E22" s="115"/>
      <c r="F22" s="115"/>
      <c r="G22" s="115"/>
      <c r="H22" s="115"/>
    </row>
    <row r="23" spans="1:8" ht="15.75">
      <c r="A23" s="303"/>
      <c r="B23" s="303"/>
      <c r="C23" s="304"/>
      <c r="D23" s="305"/>
      <c r="E23" s="115"/>
      <c r="F23" s="115"/>
      <c r="G23" s="115"/>
      <c r="H23" s="115"/>
    </row>
    <row r="24" spans="1:8" ht="15.75">
      <c r="A24" s="303"/>
      <c r="B24" s="303"/>
      <c r="C24" s="304"/>
      <c r="D24" s="305"/>
      <c r="E24" s="115"/>
      <c r="F24" s="115"/>
      <c r="G24" s="115"/>
      <c r="H24" s="115"/>
    </row>
    <row r="25" spans="1:8" ht="15.75">
      <c r="A25" s="303"/>
      <c r="B25" s="303"/>
      <c r="C25" s="304"/>
      <c r="D25" s="305"/>
      <c r="E25" s="115"/>
      <c r="F25" s="115"/>
      <c r="G25" s="115"/>
      <c r="H25" s="115"/>
    </row>
    <row r="26" spans="1:8" ht="15.75">
      <c r="A26" s="303"/>
      <c r="B26" s="303"/>
      <c r="C26" s="304"/>
      <c r="D26" s="305"/>
      <c r="E26" s="115"/>
      <c r="F26" s="115"/>
      <c r="G26" s="115"/>
      <c r="H26" s="115"/>
    </row>
    <row r="27" spans="1:8" ht="15.75">
      <c r="A27" s="303"/>
      <c r="B27" s="303"/>
      <c r="C27" s="304"/>
      <c r="D27" s="305"/>
      <c r="E27" s="115"/>
      <c r="F27" s="115"/>
      <c r="G27" s="115"/>
      <c r="H27" s="115"/>
    </row>
    <row r="28" spans="1:8" ht="15.75">
      <c r="A28" s="303"/>
      <c r="B28" s="303"/>
      <c r="C28" s="304"/>
      <c r="D28" s="305"/>
      <c r="E28" s="115"/>
      <c r="F28" s="115"/>
      <c r="G28" s="115"/>
      <c r="H28" s="115"/>
    </row>
    <row r="29" spans="1:8" ht="15.75">
      <c r="A29" s="303"/>
      <c r="B29" s="303"/>
      <c r="C29" s="304"/>
      <c r="D29" s="305"/>
      <c r="E29" s="115"/>
      <c r="F29" s="115"/>
      <c r="G29" s="115"/>
      <c r="H29" s="115"/>
    </row>
    <row r="30" spans="1:8" ht="15.75">
      <c r="A30" s="303"/>
      <c r="B30" s="303"/>
      <c r="C30" s="304"/>
      <c r="D30" s="305"/>
      <c r="E30" s="115"/>
      <c r="F30" s="115"/>
      <c r="G30" s="115"/>
      <c r="H30" s="115"/>
    </row>
    <row r="31" spans="1:8" ht="15.75">
      <c r="A31" s="303"/>
      <c r="B31" s="303"/>
      <c r="C31" s="304"/>
      <c r="D31" s="305"/>
      <c r="E31" s="115"/>
      <c r="F31" s="115"/>
      <c r="G31" s="115"/>
      <c r="H31" s="115"/>
    </row>
    <row r="32" spans="1:8" ht="15.75">
      <c r="A32" s="303"/>
      <c r="B32" s="303"/>
      <c r="C32" s="304"/>
      <c r="D32" s="305"/>
      <c r="E32" s="115"/>
      <c r="F32" s="115"/>
      <c r="G32" s="115"/>
      <c r="H32" s="115"/>
    </row>
    <row r="33" spans="1:8" ht="15.75">
      <c r="A33" s="303"/>
      <c r="B33" s="303"/>
      <c r="C33" s="304"/>
      <c r="D33" s="305"/>
      <c r="E33" s="115"/>
      <c r="F33" s="115"/>
      <c r="G33" s="115"/>
      <c r="H33" s="115"/>
    </row>
    <row r="34" spans="1:8" ht="15.75">
      <c r="A34" s="303"/>
      <c r="B34" s="303"/>
      <c r="C34" s="304"/>
      <c r="D34" s="305"/>
      <c r="E34" s="115"/>
      <c r="F34" s="115"/>
      <c r="G34" s="115"/>
      <c r="H34" s="115"/>
    </row>
    <row r="35" spans="1:8" ht="15.75">
      <c r="A35" s="303"/>
      <c r="B35" s="303"/>
      <c r="C35" s="304"/>
      <c r="D35" s="305"/>
      <c r="E35" s="115"/>
      <c r="F35" s="115"/>
      <c r="G35" s="115"/>
      <c r="H35" s="115"/>
    </row>
    <row r="36" spans="1:8" ht="15.75">
      <c r="A36" s="303"/>
      <c r="B36" s="303"/>
      <c r="C36" s="304"/>
      <c r="D36" s="305"/>
      <c r="E36" s="115"/>
      <c r="F36" s="115"/>
      <c r="G36" s="115"/>
      <c r="H36" s="115"/>
    </row>
    <row r="37" spans="1:9" ht="16.5" thickBot="1">
      <c r="A37" s="272" t="s">
        <v>155</v>
      </c>
      <c r="B37" s="88"/>
      <c r="C37" s="88"/>
      <c r="D37" s="88"/>
      <c r="E37" s="88"/>
      <c r="F37" s="306">
        <f>SUM(F10:F36)</f>
        <v>0</v>
      </c>
      <c r="G37" s="306">
        <f>SUM(G10:G36)</f>
        <v>0</v>
      </c>
      <c r="H37" s="306">
        <f>SUM(H10:H36)</f>
        <v>0</v>
      </c>
      <c r="I37" s="307"/>
    </row>
    <row r="38" spans="1:8" ht="16.5" thickTop="1">
      <c r="A38" s="88"/>
      <c r="B38" s="88"/>
      <c r="C38" s="88"/>
      <c r="D38" s="88"/>
      <c r="E38" s="88"/>
      <c r="F38" s="88"/>
      <c r="G38" s="237"/>
      <c r="H38" s="237"/>
    </row>
    <row r="39" spans="1:8" ht="15.75">
      <c r="A39" s="308" t="s">
        <v>85</v>
      </c>
      <c r="B39" s="309"/>
      <c r="C39" s="309"/>
      <c r="D39" s="309"/>
      <c r="E39" s="309"/>
      <c r="F39" s="309"/>
      <c r="G39" s="237"/>
      <c r="H39" s="237"/>
    </row>
    <row r="40" spans="1:8" ht="15.75">
      <c r="A40" s="146"/>
      <c r="B40" s="146"/>
      <c r="C40" s="295"/>
      <c r="D40" s="146"/>
      <c r="E40" s="146"/>
      <c r="F40" s="146"/>
      <c r="G40" s="294"/>
      <c r="H40" s="294"/>
    </row>
    <row r="41" spans="1:8" ht="15.75">
      <c r="A41" s="146"/>
      <c r="B41" s="146"/>
      <c r="C41" s="146"/>
      <c r="D41" s="146"/>
      <c r="E41" s="146"/>
      <c r="F41" s="146"/>
      <c r="G41" s="146"/>
      <c r="H41" s="146"/>
    </row>
    <row r="42" spans="1:8" ht="15.75">
      <c r="A42" s="146"/>
      <c r="B42" s="146"/>
      <c r="C42" s="146"/>
      <c r="D42" s="146"/>
      <c r="E42" s="146"/>
      <c r="F42" s="146"/>
      <c r="G42" s="146"/>
      <c r="H42" s="146"/>
    </row>
    <row r="43" spans="1:8" ht="15.75">
      <c r="A43" s="146"/>
      <c r="B43" s="146"/>
      <c r="C43" s="146"/>
      <c r="D43" s="146"/>
      <c r="E43" s="146"/>
      <c r="F43" s="146"/>
      <c r="G43" s="146"/>
      <c r="H43" s="146"/>
    </row>
    <row r="44" spans="1:8" ht="15.75">
      <c r="A44" s="146"/>
      <c r="B44" s="146"/>
      <c r="C44" s="146"/>
      <c r="D44" s="146"/>
      <c r="E44" s="146"/>
      <c r="F44" s="146"/>
      <c r="G44" s="146"/>
      <c r="H44" s="146"/>
    </row>
    <row r="45" spans="1:8" ht="15.75">
      <c r="A45" s="146"/>
      <c r="B45" s="146"/>
      <c r="C45" s="146"/>
      <c r="D45" s="146"/>
      <c r="E45" s="146"/>
      <c r="F45" s="146"/>
      <c r="G45" s="146"/>
      <c r="H45" s="146"/>
    </row>
    <row r="46" spans="1:8" ht="15.75">
      <c r="A46" s="146"/>
      <c r="B46" s="146"/>
      <c r="C46" s="146"/>
      <c r="D46" s="146"/>
      <c r="E46" s="146"/>
      <c r="F46" s="146"/>
      <c r="G46" s="146"/>
      <c r="H46" s="146"/>
    </row>
    <row r="47" spans="1:8" ht="15.75">
      <c r="A47" s="146"/>
      <c r="B47" s="146"/>
      <c r="C47" s="146"/>
      <c r="D47" s="146"/>
      <c r="E47" s="146"/>
      <c r="F47" s="146"/>
      <c r="G47" s="146"/>
      <c r="H47" s="146"/>
    </row>
    <row r="48" spans="1:8" ht="15.75">
      <c r="A48" s="146"/>
      <c r="B48" s="146"/>
      <c r="C48" s="146"/>
      <c r="D48" s="146"/>
      <c r="E48" s="146"/>
      <c r="F48" s="146"/>
      <c r="G48" s="146"/>
      <c r="H48" s="146"/>
    </row>
  </sheetData>
  <sheetProtection sheet="1"/>
  <printOptions/>
  <pageMargins left="1" right="0.5" top="0.78" bottom="0.4" header="0.5" footer="0"/>
  <pageSetup blackAndWhite="1" fitToHeight="1" fitToWidth="1" horizontalDpi="120" verticalDpi="120" orientation="landscape" scale="84"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J113"/>
  <sheetViews>
    <sheetView zoomScalePageLayoutView="0" workbookViewId="0" topLeftCell="A70">
      <selection activeCell="H88" sqref="H88"/>
    </sheetView>
  </sheetViews>
  <sheetFormatPr defaultColWidth="8.796875" defaultRowHeight="15"/>
  <cols>
    <col min="1" max="1" width="2.3984375" style="75" customWidth="1"/>
    <col min="2" max="2" width="32.3984375" style="75" customWidth="1"/>
    <col min="3" max="5" width="17.09765625" style="75" customWidth="1"/>
    <col min="6" max="6" width="7.3984375" style="75" customWidth="1"/>
    <col min="7" max="7" width="7.09765625" style="75" customWidth="1"/>
    <col min="8" max="8" width="8.8984375" style="75" customWidth="1"/>
    <col min="9" max="9" width="5" style="75" customWidth="1"/>
    <col min="10" max="10" width="7.796875" style="75" customWidth="1"/>
    <col min="11" max="16384" width="8.8984375" style="75" customWidth="1"/>
  </cols>
  <sheetData>
    <row r="1" spans="2:5" ht="15.75">
      <c r="B1" s="237" t="str">
        <f>inputPrYr!C2</f>
        <v>Sheridan County</v>
      </c>
      <c r="C1" s="88"/>
      <c r="D1" s="88"/>
      <c r="E1" s="296">
        <f>inputPrYr!C4</f>
        <v>2012</v>
      </c>
    </row>
    <row r="2" spans="2:5" ht="15.75">
      <c r="B2" s="88"/>
      <c r="C2" s="88"/>
      <c r="D2" s="88"/>
      <c r="E2" s="249"/>
    </row>
    <row r="3" spans="2:5" ht="15.75">
      <c r="B3" s="155" t="s">
        <v>230</v>
      </c>
      <c r="C3" s="88"/>
      <c r="D3" s="88"/>
      <c r="E3" s="310"/>
    </row>
    <row r="4" spans="2:5" ht="15.75">
      <c r="B4" s="311" t="s">
        <v>157</v>
      </c>
      <c r="C4" s="464" t="s">
        <v>184</v>
      </c>
      <c r="D4" s="463" t="s">
        <v>318</v>
      </c>
      <c r="E4" s="465" t="s">
        <v>319</v>
      </c>
    </row>
    <row r="5" spans="2:5" ht="15.75">
      <c r="B5" s="489" t="str">
        <f>inputPrYr!B16</f>
        <v>General</v>
      </c>
      <c r="C5" s="451">
        <f>E1-2</f>
        <v>2010</v>
      </c>
      <c r="D5" s="451">
        <f>E1-1</f>
        <v>2011</v>
      </c>
      <c r="E5" s="312">
        <f>E1</f>
        <v>2012</v>
      </c>
    </row>
    <row r="6" spans="2:5" ht="15.75">
      <c r="B6" s="313" t="s">
        <v>270</v>
      </c>
      <c r="C6" s="448">
        <v>756773</v>
      </c>
      <c r="D6" s="452">
        <f>C94</f>
        <v>507144</v>
      </c>
      <c r="E6" s="275">
        <f>D94</f>
        <v>466568</v>
      </c>
    </row>
    <row r="7" spans="2:5" ht="15.75">
      <c r="B7" s="300" t="s">
        <v>272</v>
      </c>
      <c r="C7" s="315"/>
      <c r="D7" s="315"/>
      <c r="E7" s="130"/>
    </row>
    <row r="8" spans="2:5" ht="15.75">
      <c r="B8" s="313" t="s">
        <v>865</v>
      </c>
      <c r="C8" s="448">
        <v>1144762</v>
      </c>
      <c r="D8" s="452">
        <f>inputPrYr!E16</f>
        <v>1765003</v>
      </c>
      <c r="E8" s="230" t="s">
        <v>144</v>
      </c>
    </row>
    <row r="9" spans="2:5" ht="15.75">
      <c r="B9" s="313" t="s">
        <v>866</v>
      </c>
      <c r="C9" s="448">
        <v>15114</v>
      </c>
      <c r="D9" s="448">
        <v>6859</v>
      </c>
      <c r="E9" s="316">
        <v>7500</v>
      </c>
    </row>
    <row r="10" spans="2:5" ht="15.75">
      <c r="B10" s="313" t="s">
        <v>867</v>
      </c>
      <c r="C10" s="448">
        <v>132251</v>
      </c>
      <c r="D10" s="448">
        <v>133280</v>
      </c>
      <c r="E10" s="275">
        <f>mvalloc!D8</f>
        <v>185361.84999999998</v>
      </c>
    </row>
    <row r="11" spans="2:5" ht="15.75">
      <c r="B11" s="313" t="s">
        <v>868</v>
      </c>
      <c r="C11" s="448">
        <v>2763</v>
      </c>
      <c r="D11" s="448">
        <v>2872</v>
      </c>
      <c r="E11" s="275">
        <f>mvalloc!E8</f>
        <v>3994.2799999999997</v>
      </c>
    </row>
    <row r="12" spans="2:5" ht="15.75">
      <c r="B12" s="315" t="s">
        <v>869</v>
      </c>
      <c r="C12" s="448">
        <v>18517</v>
      </c>
      <c r="D12" s="448">
        <v>20016</v>
      </c>
      <c r="E12" s="275">
        <f>mvalloc!F8</f>
        <v>26036.92</v>
      </c>
    </row>
    <row r="13" spans="2:5" ht="15.75">
      <c r="B13" s="317" t="s">
        <v>871</v>
      </c>
      <c r="C13" s="448">
        <v>19047</v>
      </c>
      <c r="D13" s="448">
        <v>21455</v>
      </c>
      <c r="E13" s="316">
        <v>25000</v>
      </c>
    </row>
    <row r="14" spans="2:5" ht="15.75">
      <c r="B14" s="317" t="s">
        <v>870</v>
      </c>
      <c r="C14" s="448">
        <v>989</v>
      </c>
      <c r="D14" s="448">
        <v>1094</v>
      </c>
      <c r="E14" s="316">
        <v>1200</v>
      </c>
    </row>
    <row r="15" spans="2:5" ht="15.75">
      <c r="B15" s="317" t="s">
        <v>872</v>
      </c>
      <c r="C15" s="448">
        <v>235436</v>
      </c>
      <c r="D15" s="448">
        <v>236000</v>
      </c>
      <c r="E15" s="316">
        <v>245000</v>
      </c>
    </row>
    <row r="16" spans="2:5" ht="15.75">
      <c r="B16" s="318" t="s">
        <v>873</v>
      </c>
      <c r="C16" s="448">
        <f>7030+2794+410</f>
        <v>10234</v>
      </c>
      <c r="D16" s="448">
        <v>8200</v>
      </c>
      <c r="E16" s="316">
        <v>9500</v>
      </c>
    </row>
    <row r="17" spans="2:5" ht="15.75">
      <c r="B17" s="318" t="s">
        <v>874</v>
      </c>
      <c r="C17" s="448">
        <v>54917</v>
      </c>
      <c r="D17" s="448">
        <v>53000</v>
      </c>
      <c r="E17" s="316">
        <v>90000</v>
      </c>
    </row>
    <row r="18" spans="2:5" ht="15.75">
      <c r="B18" s="317" t="s">
        <v>875</v>
      </c>
      <c r="C18" s="448">
        <v>1845</v>
      </c>
      <c r="D18" s="448">
        <v>1830</v>
      </c>
      <c r="E18" s="316">
        <v>1900</v>
      </c>
    </row>
    <row r="19" spans="2:5" ht="15.75">
      <c r="B19" s="317" t="s">
        <v>876</v>
      </c>
      <c r="C19" s="448">
        <v>242</v>
      </c>
      <c r="D19" s="448"/>
      <c r="E19" s="316">
        <v>250</v>
      </c>
    </row>
    <row r="20" spans="2:5" ht="15.75">
      <c r="B20" s="317" t="s">
        <v>877</v>
      </c>
      <c r="C20" s="448">
        <v>16323</v>
      </c>
      <c r="D20" s="448">
        <v>16770</v>
      </c>
      <c r="E20" s="316">
        <v>19000</v>
      </c>
    </row>
    <row r="21" spans="2:5" ht="15.75">
      <c r="B21" s="317" t="s">
        <v>878</v>
      </c>
      <c r="C21" s="448">
        <f>19697+788</f>
        <v>20485</v>
      </c>
      <c r="D21" s="448">
        <v>26900</v>
      </c>
      <c r="E21" s="316">
        <v>25000</v>
      </c>
    </row>
    <row r="22" spans="2:5" ht="15.75">
      <c r="B22" s="317" t="s">
        <v>879</v>
      </c>
      <c r="C22" s="448">
        <v>30</v>
      </c>
      <c r="D22" s="448">
        <v>30</v>
      </c>
      <c r="E22" s="316">
        <v>50</v>
      </c>
    </row>
    <row r="23" spans="2:5" ht="15.75">
      <c r="B23" s="317" t="s">
        <v>880</v>
      </c>
      <c r="C23" s="448">
        <v>4800</v>
      </c>
      <c r="D23" s="448">
        <v>4800</v>
      </c>
      <c r="E23" s="316">
        <v>4800</v>
      </c>
    </row>
    <row r="24" spans="2:5" ht="15.75">
      <c r="B24" s="317" t="s">
        <v>881</v>
      </c>
      <c r="C24" s="448">
        <v>242</v>
      </c>
      <c r="D24" s="448">
        <v>60</v>
      </c>
      <c r="E24" s="316">
        <v>250</v>
      </c>
    </row>
    <row r="25" spans="2:5" ht="15.75">
      <c r="B25" s="317" t="s">
        <v>882</v>
      </c>
      <c r="C25" s="448"/>
      <c r="D25" s="448"/>
      <c r="E25" s="316"/>
    </row>
    <row r="26" spans="2:5" ht="15.75">
      <c r="B26" s="317" t="s">
        <v>883</v>
      </c>
      <c r="C26" s="448">
        <v>2127</v>
      </c>
      <c r="D26" s="448">
        <v>1720</v>
      </c>
      <c r="E26" s="316">
        <v>1800</v>
      </c>
    </row>
    <row r="27" spans="2:5" ht="15.75">
      <c r="B27" s="317" t="s">
        <v>884</v>
      </c>
      <c r="C27" s="448">
        <v>24935</v>
      </c>
      <c r="D27" s="448">
        <v>12000</v>
      </c>
      <c r="E27" s="316">
        <v>15000</v>
      </c>
    </row>
    <row r="28" spans="2:5" ht="15.75">
      <c r="B28" s="317" t="s">
        <v>885</v>
      </c>
      <c r="C28" s="448">
        <v>360</v>
      </c>
      <c r="D28" s="448"/>
      <c r="E28" s="316"/>
    </row>
    <row r="29" spans="2:5" ht="15.75">
      <c r="B29" s="317" t="s">
        <v>886</v>
      </c>
      <c r="C29" s="448">
        <v>15</v>
      </c>
      <c r="D29" s="448"/>
      <c r="E29" s="316">
        <v>50</v>
      </c>
    </row>
    <row r="30" spans="2:5" ht="15.75">
      <c r="B30" s="317" t="s">
        <v>887</v>
      </c>
      <c r="C30" s="448">
        <v>7007</v>
      </c>
      <c r="D30" s="448">
        <v>6500</v>
      </c>
      <c r="E30" s="316">
        <v>6500</v>
      </c>
    </row>
    <row r="31" spans="2:5" ht="15.75">
      <c r="B31" s="317" t="s">
        <v>888</v>
      </c>
      <c r="C31" s="448">
        <v>329</v>
      </c>
      <c r="D31" s="448"/>
      <c r="E31" s="316"/>
    </row>
    <row r="32" spans="2:5" ht="15.75">
      <c r="B32" s="317" t="s">
        <v>889</v>
      </c>
      <c r="C32" s="448">
        <v>221</v>
      </c>
      <c r="D32" s="448"/>
      <c r="E32" s="316"/>
    </row>
    <row r="33" spans="2:5" ht="15.75">
      <c r="B33" s="317" t="s">
        <v>890</v>
      </c>
      <c r="C33" s="448"/>
      <c r="D33" s="448"/>
      <c r="E33" s="316"/>
    </row>
    <row r="34" spans="2:5" ht="15.75">
      <c r="B34" s="317" t="s">
        <v>1005</v>
      </c>
      <c r="C34" s="448">
        <v>3600</v>
      </c>
      <c r="D34" s="448"/>
      <c r="E34" s="316"/>
    </row>
    <row r="35" spans="2:5" ht="15.75">
      <c r="B35" s="317" t="s">
        <v>891</v>
      </c>
      <c r="C35" s="448">
        <f>3196+1944</f>
        <v>5140</v>
      </c>
      <c r="D35" s="448">
        <v>18073</v>
      </c>
      <c r="E35" s="316">
        <v>4500</v>
      </c>
    </row>
    <row r="36" spans="2:5" ht="15.75">
      <c r="B36" s="317"/>
      <c r="C36" s="448"/>
      <c r="D36" s="448"/>
      <c r="E36" s="316"/>
    </row>
    <row r="37" spans="2:5" ht="15.75">
      <c r="B37" s="317" t="s">
        <v>892</v>
      </c>
      <c r="C37" s="448"/>
      <c r="D37" s="448"/>
      <c r="E37" s="316"/>
    </row>
    <row r="38" spans="2:5" ht="15.75">
      <c r="B38" s="317" t="s">
        <v>893</v>
      </c>
      <c r="C38" s="448">
        <v>15924</v>
      </c>
      <c r="D38" s="448">
        <v>15000</v>
      </c>
      <c r="E38" s="316">
        <v>16500</v>
      </c>
    </row>
    <row r="39" spans="2:5" ht="15.75">
      <c r="B39" s="317"/>
      <c r="C39" s="448"/>
      <c r="D39" s="448"/>
      <c r="E39" s="316"/>
    </row>
    <row r="40" spans="2:5" ht="15.75">
      <c r="B40" s="317"/>
      <c r="C40" s="448"/>
      <c r="D40" s="448"/>
      <c r="E40" s="316"/>
    </row>
    <row r="41" spans="2:5" ht="15.75">
      <c r="B41" s="317"/>
      <c r="C41" s="448"/>
      <c r="D41" s="448"/>
      <c r="E41" s="316"/>
    </row>
    <row r="42" spans="2:5" ht="15.75">
      <c r="B42" s="317"/>
      <c r="C42" s="448"/>
      <c r="D42" s="448"/>
      <c r="E42" s="316"/>
    </row>
    <row r="43" spans="2:5" ht="15.75">
      <c r="B43" s="317"/>
      <c r="C43" s="448"/>
      <c r="D43" s="448"/>
      <c r="E43" s="316"/>
    </row>
    <row r="44" spans="2:5" ht="15.75">
      <c r="B44" s="319" t="s">
        <v>673</v>
      </c>
      <c r="C44" s="449">
        <f>IF(C45*0.1&lt;C35,"Exceed 10% Rule","")</f>
      </c>
      <c r="D44" s="449">
        <f>IF(D45*0.1&lt;D35,"Exceed 10% Rule","")</f>
      </c>
      <c r="E44" s="346">
        <f>IF(E45*0.1+E100&lt;E35,"Exceed 10% Rule","")</f>
      </c>
    </row>
    <row r="45" spans="2:5" ht="15.75">
      <c r="B45" s="321" t="s">
        <v>158</v>
      </c>
      <c r="C45" s="450">
        <f>SUM(C8:C43)</f>
        <v>1737655</v>
      </c>
      <c r="D45" s="450">
        <f>SUM(D8:D43)</f>
        <v>2351462</v>
      </c>
      <c r="E45" s="351">
        <f>SUM(E9:E43)</f>
        <v>689193.05</v>
      </c>
    </row>
    <row r="46" spans="2:5" ht="15.75">
      <c r="B46" s="321" t="s">
        <v>159</v>
      </c>
      <c r="C46" s="450">
        <f>C6+C45</f>
        <v>2494428</v>
      </c>
      <c r="D46" s="450">
        <f>D6+D45</f>
        <v>2858606</v>
      </c>
      <c r="E46" s="351">
        <f>E6+E45</f>
        <v>1155761.05</v>
      </c>
    </row>
    <row r="47" spans="2:5" ht="15.75">
      <c r="B47" s="88"/>
      <c r="C47" s="237"/>
      <c r="D47" s="237"/>
      <c r="E47" s="237"/>
    </row>
    <row r="48" spans="2:5" ht="15.75">
      <c r="B48" s="88"/>
      <c r="C48" s="237"/>
      <c r="D48" s="237"/>
      <c r="E48" s="237"/>
    </row>
    <row r="49" spans="2:5" ht="15.75">
      <c r="B49" s="88"/>
      <c r="C49" s="237"/>
      <c r="D49" s="237"/>
      <c r="E49" s="237"/>
    </row>
    <row r="50" spans="2:5" ht="15.75">
      <c r="B50" s="88"/>
      <c r="C50" s="237"/>
      <c r="D50" s="237"/>
      <c r="E50" s="237"/>
    </row>
    <row r="51" spans="2:5" ht="15.75">
      <c r="B51" s="715" t="s">
        <v>280</v>
      </c>
      <c r="C51" s="715"/>
      <c r="D51" s="715"/>
      <c r="E51" s="715"/>
    </row>
    <row r="52" spans="2:5" ht="15.75">
      <c r="B52" s="237" t="str">
        <f>inputPrYr!C2</f>
        <v>Sheridan County</v>
      </c>
      <c r="C52" s="237"/>
      <c r="D52" s="237"/>
      <c r="E52" s="296">
        <f>inputPrYr!C4</f>
        <v>2012</v>
      </c>
    </row>
    <row r="53" spans="2:5" ht="15.75">
      <c r="B53" s="88"/>
      <c r="C53" s="237"/>
      <c r="D53" s="237"/>
      <c r="E53" s="249"/>
    </row>
    <row r="54" spans="2:5" ht="15.75">
      <c r="B54" s="323" t="s">
        <v>228</v>
      </c>
      <c r="C54" s="324"/>
      <c r="D54" s="324"/>
      <c r="E54" s="324"/>
    </row>
    <row r="55" spans="2:5" ht="15.75">
      <c r="B55" s="88" t="s">
        <v>157</v>
      </c>
      <c r="C55" s="464" t="s">
        <v>184</v>
      </c>
      <c r="D55" s="463" t="s">
        <v>318</v>
      </c>
      <c r="E55" s="465" t="str">
        <f>E4</f>
        <v>Proposed Budget Year</v>
      </c>
    </row>
    <row r="56" spans="2:5" ht="15.75">
      <c r="B56" s="117" t="s">
        <v>161</v>
      </c>
      <c r="C56" s="451">
        <f>E52-2</f>
        <v>2010</v>
      </c>
      <c r="D56" s="451">
        <f>E52-1</f>
        <v>2011</v>
      </c>
      <c r="E56" s="325">
        <f>E5</f>
        <v>2012</v>
      </c>
    </row>
    <row r="57" spans="2:5" ht="15.75">
      <c r="B57" s="321" t="s">
        <v>159</v>
      </c>
      <c r="C57" s="452">
        <f>C46</f>
        <v>2494428</v>
      </c>
      <c r="D57" s="452">
        <f>D46</f>
        <v>2858606</v>
      </c>
      <c r="E57" s="275">
        <f>E46</f>
        <v>1155761.05</v>
      </c>
    </row>
    <row r="58" spans="2:5" ht="15.75">
      <c r="B58" s="313" t="s">
        <v>162</v>
      </c>
      <c r="C58" s="452"/>
      <c r="D58" s="452"/>
      <c r="E58" s="275"/>
    </row>
    <row r="59" spans="2:5" ht="15.75">
      <c r="B59" s="315" t="str">
        <f>'gen-detail'!A7</f>
        <v>General Administration</v>
      </c>
      <c r="C59" s="452">
        <f>'gen-detail'!B18</f>
        <v>211221</v>
      </c>
      <c r="D59" s="452">
        <f>'gen-detail'!C18</f>
        <v>547012</v>
      </c>
      <c r="E59" s="275">
        <f>'gen-detail'!D18</f>
        <v>483500</v>
      </c>
    </row>
    <row r="60" spans="2:5" ht="15.75">
      <c r="B60" s="315" t="str">
        <f>'gen-detail'!A19</f>
        <v>Apportionments</v>
      </c>
      <c r="C60" s="452">
        <f>'gen-detail'!B26</f>
        <v>156770</v>
      </c>
      <c r="D60" s="452">
        <f>'gen-detail'!C26</f>
        <v>163169</v>
      </c>
      <c r="E60" s="275">
        <f>'gen-detail'!D26</f>
        <v>103511</v>
      </c>
    </row>
    <row r="61" spans="2:5" ht="15.75">
      <c r="B61" s="315" t="str">
        <f>'gen-detail'!A27</f>
        <v>Ambulance</v>
      </c>
      <c r="C61" s="452">
        <f>'gen-detail'!B34</f>
        <v>172868</v>
      </c>
      <c r="D61" s="452">
        <f>'gen-detail'!C34</f>
        <v>192532</v>
      </c>
      <c r="E61" s="275">
        <f>'gen-detail'!D34</f>
        <v>266589</v>
      </c>
    </row>
    <row r="62" spans="2:5" ht="15.75">
      <c r="B62" s="315" t="str">
        <f>'gen-detail'!A35</f>
        <v>Appraiser</v>
      </c>
      <c r="C62" s="452">
        <f>'gen-detail'!B38</f>
        <v>80220</v>
      </c>
      <c r="D62" s="452">
        <f>'gen-detail'!C38</f>
        <v>94940</v>
      </c>
      <c r="E62" s="275">
        <f>'gen-detail'!D38</f>
        <v>110300</v>
      </c>
    </row>
    <row r="63" spans="2:5" ht="15.75">
      <c r="B63" s="315" t="str">
        <f>'gen-detail'!A39</f>
        <v>County Attorney  </v>
      </c>
      <c r="C63" s="452">
        <f>'gen-detail'!B42</f>
        <v>40937</v>
      </c>
      <c r="D63" s="452">
        <f>'gen-detail'!C42</f>
        <v>41000</v>
      </c>
      <c r="E63" s="275">
        <f>'gen-detail'!D42</f>
        <v>43850</v>
      </c>
    </row>
    <row r="64" spans="2:5" ht="15.75">
      <c r="B64" s="315" t="str">
        <f>'gen-detail'!A43</f>
        <v>County Clerk</v>
      </c>
      <c r="C64" s="452">
        <f>'gen-detail'!B46</f>
        <v>61867</v>
      </c>
      <c r="D64" s="452">
        <f>'gen-detail'!C46</f>
        <v>63362</v>
      </c>
      <c r="E64" s="275">
        <f>'gen-detail'!D46</f>
        <v>74100</v>
      </c>
    </row>
    <row r="65" spans="2:5" ht="15.75">
      <c r="B65" s="315" t="str">
        <f>'gen-detail'!A47</f>
        <v>County Commissioners</v>
      </c>
      <c r="C65" s="452">
        <f>'gen-detail'!B50</f>
        <v>36913</v>
      </c>
      <c r="D65" s="452">
        <f>'gen-detail'!C50</f>
        <v>38402</v>
      </c>
      <c r="E65" s="275">
        <f>'gen-detail'!D50</f>
        <v>46200</v>
      </c>
    </row>
    <row r="66" spans="2:5" ht="15.75">
      <c r="B66" s="315" t="str">
        <f>'gen-detail'!A63</f>
        <v>County Register of Deeds</v>
      </c>
      <c r="C66" s="452">
        <f>'gen-detail'!B66</f>
        <v>46457</v>
      </c>
      <c r="D66" s="452">
        <f>'gen-detail'!C66</f>
        <v>43500</v>
      </c>
      <c r="E66" s="275">
        <f>'gen-detail'!D66</f>
        <v>57800</v>
      </c>
    </row>
    <row r="67" spans="2:5" ht="15.75">
      <c r="B67" s="315" t="str">
        <f>'gen-detail'!A67</f>
        <v>County Sheriff</v>
      </c>
      <c r="C67" s="452">
        <f>'gen-detail'!B70</f>
        <v>123045</v>
      </c>
      <c r="D67" s="452">
        <f>'gen-detail'!C70</f>
        <v>126000</v>
      </c>
      <c r="E67" s="275">
        <f>'gen-detail'!D70</f>
        <v>147550</v>
      </c>
    </row>
    <row r="68" spans="2:5" ht="15.75">
      <c r="B68" s="315" t="str">
        <f>'gen-detail'!A71</f>
        <v>County Treasurer</v>
      </c>
      <c r="C68" s="452">
        <f>'gen-detail'!B74</f>
        <v>72565</v>
      </c>
      <c r="D68" s="452">
        <f>'gen-detail'!C74</f>
        <v>73658</v>
      </c>
      <c r="E68" s="275">
        <f>'gen-detail'!D74</f>
        <v>81755</v>
      </c>
    </row>
    <row r="69" spans="2:5" ht="15.75">
      <c r="B69" s="315" t="str">
        <f>'gen-detail'!A75</f>
        <v>County Health Officer</v>
      </c>
      <c r="C69" s="452">
        <f>'gen-detail'!B77</f>
        <v>1000</v>
      </c>
      <c r="D69" s="452">
        <f>'gen-detail'!C77</f>
        <v>1000</v>
      </c>
      <c r="E69" s="275">
        <f>'gen-detail'!D77</f>
        <v>1000</v>
      </c>
    </row>
    <row r="70" spans="2:5" ht="15.75">
      <c r="B70" s="315" t="str">
        <f>'gen-detail'!A78</f>
        <v>District Court</v>
      </c>
      <c r="C70" s="452">
        <f>'gen-detail'!B80</f>
        <v>23596</v>
      </c>
      <c r="D70" s="452">
        <f>'gen-detail'!C80</f>
        <v>25000</v>
      </c>
      <c r="E70" s="275">
        <f>'gen-detail'!D80</f>
        <v>28660</v>
      </c>
    </row>
    <row r="71" spans="2:5" ht="15.75">
      <c r="B71" s="315" t="str">
        <f>'gen-detail'!A81</f>
        <v>Election</v>
      </c>
      <c r="C71" s="452">
        <f>'gen-detail'!B84</f>
        <v>14407</v>
      </c>
      <c r="D71" s="452">
        <f>'gen-detail'!C84</f>
        <v>3562</v>
      </c>
      <c r="E71" s="275">
        <f>'gen-detail'!D84</f>
        <v>21000</v>
      </c>
    </row>
    <row r="72" spans="2:5" ht="15.75">
      <c r="B72" s="315" t="str">
        <f>'gen-detail'!A85</f>
        <v>Custodian</v>
      </c>
      <c r="C72" s="452">
        <f>'gen-detail'!B87</f>
        <v>20224</v>
      </c>
      <c r="D72" s="452">
        <f>'gen-detail'!C87</f>
        <v>20400</v>
      </c>
      <c r="E72" s="275">
        <f>'gen-detail'!D87</f>
        <v>22063</v>
      </c>
    </row>
    <row r="73" spans="2:5" ht="15.75">
      <c r="B73" s="315" t="str">
        <f>'gen-detail'!A88</f>
        <v>Dispatch</v>
      </c>
      <c r="C73" s="452">
        <f>'gen-detail'!B90</f>
        <v>95542</v>
      </c>
      <c r="D73" s="452">
        <f>'gen-detail'!C90</f>
        <v>97000</v>
      </c>
      <c r="E73" s="275">
        <f>'gen-detail'!D90</f>
        <v>105000</v>
      </c>
    </row>
    <row r="74" spans="2:5" ht="15.75">
      <c r="B74" s="315" t="str">
        <f>'gen-detail'!A91</f>
        <v>Emergency Preparedness</v>
      </c>
      <c r="C74" s="452">
        <f>'gen-detail'!B93</f>
        <v>15768</v>
      </c>
      <c r="D74" s="452">
        <f>'gen-detail'!C93</f>
        <v>16400</v>
      </c>
      <c r="E74" s="275">
        <f>'gen-detail'!D93</f>
        <v>26000</v>
      </c>
    </row>
    <row r="75" spans="2:5" ht="15.75">
      <c r="B75" s="315" t="str">
        <f>'gen-detail'!A94</f>
        <v>Employee Benefits</v>
      </c>
      <c r="C75" s="452">
        <f>'gen-detail'!B101</f>
        <v>711182</v>
      </c>
      <c r="D75" s="452">
        <f>'gen-detail'!C101</f>
        <v>754426</v>
      </c>
      <c r="E75" s="275">
        <f>'gen-detail'!D101</f>
        <v>842000</v>
      </c>
    </row>
    <row r="76" spans="2:5" ht="15.75">
      <c r="B76" s="315" t="str">
        <f>'gen-detail'!A102</f>
        <v>District Coroner</v>
      </c>
      <c r="C76" s="452">
        <f>'gen-detail'!B104</f>
        <v>3238</v>
      </c>
      <c r="D76" s="452">
        <f>'gen-detail'!C104</f>
        <v>4500</v>
      </c>
      <c r="E76" s="275">
        <f>'gen-detail'!D104</f>
        <v>4725</v>
      </c>
    </row>
    <row r="77" spans="2:5" ht="15.75">
      <c r="B77" s="315" t="str">
        <f>'gen-detail'!A105</f>
        <v>Prisoner Care</v>
      </c>
      <c r="C77" s="452">
        <f>'gen-detail'!B107</f>
        <v>9519</v>
      </c>
      <c r="D77" s="452">
        <f>'gen-detail'!C107</f>
        <v>10000</v>
      </c>
      <c r="E77" s="275">
        <f>'gen-detail'!D107</f>
        <v>12500</v>
      </c>
    </row>
    <row r="78" spans="2:5" ht="15.75">
      <c r="B78" s="315" t="str">
        <f>'gen-detail'!A118</f>
        <v>Area Council on Aging</v>
      </c>
      <c r="C78" s="452">
        <f>'gen-detail'!B120</f>
        <v>15</v>
      </c>
      <c r="D78" s="452">
        <f>'gen-detail'!C120</f>
        <v>3500</v>
      </c>
      <c r="E78" s="275">
        <f>'gen-detail'!D120</f>
        <v>4000</v>
      </c>
    </row>
    <row r="79" spans="2:5" ht="15.75">
      <c r="B79" s="315" t="str">
        <f>'gen-detail'!A121</f>
        <v>Solid Waste</v>
      </c>
      <c r="C79" s="452">
        <f>'gen-detail'!B123</f>
        <v>0</v>
      </c>
      <c r="D79" s="452">
        <f>'gen-detail'!C123</f>
        <v>0</v>
      </c>
      <c r="E79" s="275">
        <f>'gen-detail'!D123</f>
        <v>65000</v>
      </c>
    </row>
    <row r="80" spans="2:5" ht="15.75">
      <c r="B80" s="315" t="str">
        <f>'gen-detail'!A124</f>
        <v>Vehicle Replacement</v>
      </c>
      <c r="C80" s="452">
        <f>'gen-detail'!B126</f>
        <v>25484</v>
      </c>
      <c r="D80" s="452">
        <f>'gen-detail'!C126</f>
        <v>26000</v>
      </c>
      <c r="E80" s="275">
        <f>'gen-detail'!D126</f>
        <v>28000</v>
      </c>
    </row>
    <row r="81" spans="2:5" ht="15.75">
      <c r="B81" s="315" t="str">
        <f>'gen-detail'!A127</f>
        <v>Juvenile Justice Authority</v>
      </c>
      <c r="C81" s="452">
        <f>'gen-detail'!B129</f>
        <v>0</v>
      </c>
      <c r="D81" s="452">
        <f>'gen-detail'!C129</f>
        <v>1000</v>
      </c>
      <c r="E81" s="275">
        <f>'gen-detail'!D129</f>
        <v>1000</v>
      </c>
    </row>
    <row r="82" spans="2:5" ht="15.75">
      <c r="B82" s="315" t="str">
        <f>'gen-detail'!A130</f>
        <v>Information Technology</v>
      </c>
      <c r="C82" s="452">
        <f>'gen-detail'!B132</f>
        <v>9446</v>
      </c>
      <c r="D82" s="452">
        <f>'gen-detail'!C132</f>
        <v>9675</v>
      </c>
      <c r="E82" s="275">
        <f>'gen-detail'!D132</f>
        <v>22600</v>
      </c>
    </row>
    <row r="83" spans="2:5" ht="15.75">
      <c r="B83" s="315" t="str">
        <f>'gen-detail'!A133</f>
        <v>Vehicle   </v>
      </c>
      <c r="C83" s="452">
        <f>'gen-detail'!B135</f>
        <v>0</v>
      </c>
      <c r="D83" s="452">
        <f>'gen-detail'!C135</f>
        <v>0</v>
      </c>
      <c r="E83" s="275">
        <f>'gen-detail'!D135</f>
        <v>0</v>
      </c>
    </row>
    <row r="84" spans="2:5" ht="15.75">
      <c r="B84" s="315" t="str">
        <f>'gen-detail'!A136</f>
        <v>Child Advocacy Group</v>
      </c>
      <c r="C84" s="452">
        <f>'gen-detail'!B138</f>
        <v>0</v>
      </c>
      <c r="D84" s="452">
        <f>'gen-detail'!C138</f>
        <v>1000</v>
      </c>
      <c r="E84" s="275">
        <f>'gen-detail'!D138</f>
        <v>1000</v>
      </c>
    </row>
    <row r="85" spans="2:5" ht="15.75">
      <c r="B85" s="315" t="str">
        <f>'gen-detail'!A139</f>
        <v>Transfer to:</v>
      </c>
      <c r="C85" s="452">
        <v>0</v>
      </c>
      <c r="D85" s="452">
        <v>0</v>
      </c>
      <c r="E85" s="275">
        <v>0</v>
      </c>
    </row>
    <row r="86" spans="2:5" ht="15.75">
      <c r="B86" s="315" t="str">
        <f>'gen-detail'!A140</f>
        <v>  Special Ambulance</v>
      </c>
      <c r="C86" s="452">
        <f>'gen-detail'!B141</f>
        <v>55000</v>
      </c>
      <c r="D86" s="452">
        <f>'gen-detail'!C141</f>
        <v>35000</v>
      </c>
      <c r="E86" s="275">
        <f>'gen-detail'!D141</f>
        <v>50000</v>
      </c>
    </row>
    <row r="87" spans="2:5" ht="15.75">
      <c r="B87" s="315"/>
      <c r="C87" s="452"/>
      <c r="D87" s="452"/>
      <c r="E87" s="275"/>
    </row>
    <row r="88" spans="2:5" ht="15.75">
      <c r="B88" s="326" t="s">
        <v>26</v>
      </c>
      <c r="C88" s="490">
        <f>SUM(C59:C87)</f>
        <v>1987284</v>
      </c>
      <c r="D88" s="490">
        <f>SUM(D59:D87)</f>
        <v>2392038</v>
      </c>
      <c r="E88" s="347">
        <f>SUM(E59:E87)</f>
        <v>2649703</v>
      </c>
    </row>
    <row r="89" spans="2:5" ht="15.75">
      <c r="B89" s="327"/>
      <c r="C89" s="448"/>
      <c r="D89" s="448"/>
      <c r="E89" s="115"/>
    </row>
    <row r="90" spans="2:5" ht="15.75">
      <c r="B90" s="319" t="s">
        <v>74</v>
      </c>
      <c r="C90" s="448"/>
      <c r="D90" s="448"/>
      <c r="E90" s="123">
        <f>Nhood!$E6</f>
        <v>1257</v>
      </c>
    </row>
    <row r="91" spans="2:5" ht="15.75">
      <c r="B91" s="319" t="s">
        <v>73</v>
      </c>
      <c r="C91" s="448"/>
      <c r="D91" s="448"/>
      <c r="E91" s="115"/>
    </row>
    <row r="92" spans="2:10" ht="15.75">
      <c r="B92" s="319" t="s">
        <v>672</v>
      </c>
      <c r="C92" s="449">
        <f>IF(C93*0.1&lt;C91,"Exceed 10% Rule","")</f>
      </c>
      <c r="D92" s="449">
        <f>IF(D93*0.1&lt;D91,"Exceed 10% Rule","")</f>
      </c>
      <c r="E92" s="346">
        <f>IF(E93*0.1&lt;E91,"Exceed 10% Rule","")</f>
      </c>
      <c r="G92" s="711" t="str">
        <f>CONCATENATE("Projected Carryover Into ",E1+1,"")</f>
        <v>Projected Carryover Into 2013</v>
      </c>
      <c r="H92" s="712"/>
      <c r="I92" s="712"/>
      <c r="J92" s="713"/>
    </row>
    <row r="93" spans="2:10" ht="15.75">
      <c r="B93" s="321" t="s">
        <v>163</v>
      </c>
      <c r="C93" s="450">
        <f>SUM(C88:C91)</f>
        <v>1987284</v>
      </c>
      <c r="D93" s="450">
        <f>SUM(D88:D91)</f>
        <v>2392038</v>
      </c>
      <c r="E93" s="351">
        <f>SUM(E88:E91)</f>
        <v>2650960</v>
      </c>
      <c r="G93" s="522"/>
      <c r="H93" s="521"/>
      <c r="I93" s="521"/>
      <c r="J93" s="523"/>
    </row>
    <row r="94" spans="2:10" ht="15.75">
      <c r="B94" s="151" t="s">
        <v>271</v>
      </c>
      <c r="C94" s="453">
        <f>C46-C93</f>
        <v>507144</v>
      </c>
      <c r="D94" s="453">
        <f>D46-D93</f>
        <v>466568</v>
      </c>
      <c r="E94" s="230" t="s">
        <v>144</v>
      </c>
      <c r="G94" s="508">
        <f>D94</f>
        <v>466568</v>
      </c>
      <c r="H94" s="506" t="str">
        <f>CONCATENATE("",E1-1," Ending Cash Balance (est.)")</f>
        <v>2011 Ending Cash Balance (est.)</v>
      </c>
      <c r="I94" s="505"/>
      <c r="J94" s="523"/>
    </row>
    <row r="95" spans="2:10" ht="15.75">
      <c r="B95" s="297" t="str">
        <f>CONCATENATE("",E$1-2,"/",E$1-1," Budget Authority Amount:")</f>
        <v>2010/2011 Budget Authority Amount:</v>
      </c>
      <c r="C95" s="289">
        <f>inputOth!$B31</f>
        <v>2416111</v>
      </c>
      <c r="D95" s="289">
        <f>inputPrYr!$D16</f>
        <v>2664981</v>
      </c>
      <c r="E95" s="230" t="s">
        <v>144</v>
      </c>
      <c r="F95" s="329"/>
      <c r="G95" s="508">
        <f>E45</f>
        <v>689193.05</v>
      </c>
      <c r="H95" s="504" t="str">
        <f>CONCATENATE("",E1," Non-AV Receipts (est.)")</f>
        <v>2012 Non-AV Receipts (est.)</v>
      </c>
      <c r="I95" s="505"/>
      <c r="J95" s="523"/>
    </row>
    <row r="96" spans="2:10" ht="15.75">
      <c r="B96" s="297"/>
      <c r="C96" s="707" t="s">
        <v>675</v>
      </c>
      <c r="D96" s="708"/>
      <c r="E96" s="115"/>
      <c r="F96" s="507">
        <f>IF(E93/0.95-E93&lt;E96,"Exceeds 5%","")</f>
      </c>
      <c r="G96" s="503">
        <f>E100</f>
        <v>1510150.9394999999</v>
      </c>
      <c r="H96" s="504" t="str">
        <f>CONCATENATE("",E1," Ad Valorem Tax (est.)")</f>
        <v>2012 Ad Valorem Tax (est.)</v>
      </c>
      <c r="I96" s="505"/>
      <c r="J96" s="523"/>
    </row>
    <row r="97" spans="2:10" ht="15.75">
      <c r="B97" s="511" t="str">
        <f>CONCATENATE(C112,"     ",D112)</f>
        <v>     </v>
      </c>
      <c r="C97" s="709" t="s">
        <v>676</v>
      </c>
      <c r="D97" s="710"/>
      <c r="E97" s="275">
        <f>E93+E96</f>
        <v>2650960</v>
      </c>
      <c r="G97" s="508">
        <f>SUM(G94:G96)</f>
        <v>2665911.9895</v>
      </c>
      <c r="H97" s="504" t="str">
        <f>CONCATENATE("Total ",E1," Resources Available")</f>
        <v>Total 2012 Resources Available</v>
      </c>
      <c r="I97" s="505"/>
      <c r="J97" s="523"/>
    </row>
    <row r="98" spans="2:10" ht="15.75">
      <c r="B98" s="511" t="str">
        <f>CONCATENATE(C113,"     ",D113)</f>
        <v>     </v>
      </c>
      <c r="C98" s="330"/>
      <c r="D98" s="249" t="s">
        <v>164</v>
      </c>
      <c r="E98" s="123">
        <f>IF(E97-E46&gt;0,E97-E46,0)</f>
        <v>1495198.95</v>
      </c>
      <c r="G98" s="502"/>
      <c r="H98" s="504"/>
      <c r="I98" s="504"/>
      <c r="J98" s="523"/>
    </row>
    <row r="99" spans="2:10" ht="15.75">
      <c r="B99" s="297"/>
      <c r="C99" s="509" t="s">
        <v>677</v>
      </c>
      <c r="D99" s="483">
        <f>inputOth!$E$24</f>
        <v>0.01</v>
      </c>
      <c r="E99" s="275">
        <f>IF(D99&gt;0,(E98*D99),0)</f>
        <v>14951.9895</v>
      </c>
      <c r="G99" s="503">
        <f>C93*0.05+C93</f>
        <v>2086648.2</v>
      </c>
      <c r="H99" s="504" t="str">
        <f>CONCATENATE("Less ",E1-2," Expenditures + 5%")</f>
        <v>Less 2010 Expenditures + 5%</v>
      </c>
      <c r="I99" s="505"/>
      <c r="J99" s="523"/>
    </row>
    <row r="100" spans="2:10" ht="15.75">
      <c r="B100" s="88"/>
      <c r="C100" s="716" t="str">
        <f>CONCATENATE("Amount of  ",$E$1-1," Ad Valorem Tax")</f>
        <v>Amount of  2011 Ad Valorem Tax</v>
      </c>
      <c r="D100" s="717"/>
      <c r="E100" s="347">
        <f>E98+E99</f>
        <v>1510150.9394999999</v>
      </c>
      <c r="G100" s="501">
        <f>G97-G99</f>
        <v>579263.7895000002</v>
      </c>
      <c r="H100" s="500" t="str">
        <f>CONCATENATE("Projected ",E1," Carryover (est.)")</f>
        <v>Projected 2012 Carryover (est.)</v>
      </c>
      <c r="I100" s="480"/>
      <c r="J100" s="479"/>
    </row>
    <row r="101" spans="2:10" ht="15.75">
      <c r="B101" s="88"/>
      <c r="C101" s="88"/>
      <c r="D101" s="88"/>
      <c r="E101" s="88"/>
      <c r="G101" s="518"/>
      <c r="H101" s="518"/>
      <c r="I101" s="518"/>
      <c r="J101" s="518"/>
    </row>
    <row r="102" spans="2:10" ht="15.75">
      <c r="B102" s="715" t="s">
        <v>281</v>
      </c>
      <c r="C102" s="715"/>
      <c r="D102" s="715"/>
      <c r="E102" s="715"/>
      <c r="G102" s="478">
        <f>IF(inputOth!E6=0,"",ROUND(general!E100/inputOth!E6*1000,3))</f>
        <v>34.305</v>
      </c>
      <c r="H102" s="477" t="str">
        <f>CONCATENATE("Projected ",E1-1," Mill Rate (est.)")</f>
        <v>Projected 2011 Mill Rate (est.)</v>
      </c>
      <c r="I102" s="476"/>
      <c r="J102" s="475"/>
    </row>
    <row r="103" spans="7:10" ht="15.75">
      <c r="G103" s="524"/>
      <c r="H103" s="524"/>
      <c r="I103" s="524"/>
      <c r="J103" s="524"/>
    </row>
    <row r="104" spans="7:10" ht="15.75">
      <c r="G104" s="711" t="str">
        <f>CONCATENATE("Desired Carryover Into ",E1+1,"")</f>
        <v>Desired Carryover Into 2013</v>
      </c>
      <c r="H104" s="714"/>
      <c r="I104" s="714"/>
      <c r="J104" s="713"/>
    </row>
    <row r="105" spans="7:10" ht="15.75">
      <c r="G105" s="474"/>
      <c r="H105" s="521"/>
      <c r="I105" s="504"/>
      <c r="J105" s="473"/>
    </row>
    <row r="106" spans="7:10" ht="15.75">
      <c r="G106" s="472" t="s">
        <v>678</v>
      </c>
      <c r="H106" s="504"/>
      <c r="I106" s="504"/>
      <c r="J106" s="471"/>
    </row>
    <row r="107" spans="7:10" ht="15.75">
      <c r="G107" s="474" t="s">
        <v>679</v>
      </c>
      <c r="H107" s="521"/>
      <c r="I107" s="521"/>
      <c r="J107" s="470">
        <f>IF(J106=0,"",ROUND((J106+E100-G100)/inputOth!E6*1000,3)-general!G102)</f>
      </c>
    </row>
    <row r="108" spans="7:10" ht="15.75">
      <c r="G108" s="469" t="str">
        <f>CONCATENATE("",E1," Total Expenditures Must Be:")</f>
        <v>2012 Total Expenditures Must Be:</v>
      </c>
      <c r="H108" s="468"/>
      <c r="I108" s="467"/>
      <c r="J108" s="466">
        <f>IF((J106&gt;0),(E93+J106-G100),0)</f>
        <v>0</v>
      </c>
    </row>
    <row r="112" spans="3:4" ht="15.75" hidden="1">
      <c r="C112" s="75">
        <f>IF(C93&gt;C95,"See Tab A","")</f>
      </c>
      <c r="D112" s="75">
        <f>IF(D93&gt;D95,"See Tab C","")</f>
      </c>
    </row>
    <row r="113" spans="3:4" ht="15.75" hidden="1">
      <c r="C113" s="75">
        <f>IF(C94&lt;0,"See Tab B","")</f>
      </c>
      <c r="D113" s="75">
        <f>IF(D94&lt;0,"See Tab D","")</f>
      </c>
    </row>
  </sheetData>
  <sheetProtection/>
  <mergeCells count="7">
    <mergeCell ref="C96:D96"/>
    <mergeCell ref="C97:D97"/>
    <mergeCell ref="G92:J92"/>
    <mergeCell ref="G104:J104"/>
    <mergeCell ref="B51:E51"/>
    <mergeCell ref="B102:E102"/>
    <mergeCell ref="C100:D100"/>
  </mergeCells>
  <conditionalFormatting sqref="E91">
    <cfRule type="cellIs" priority="2" dxfId="163" operator="greaterThan" stopIfTrue="1">
      <formula>$E$93*0.1</formula>
    </cfRule>
  </conditionalFormatting>
  <conditionalFormatting sqref="E96">
    <cfRule type="cellIs" priority="3" dxfId="163" operator="greaterThan" stopIfTrue="1">
      <formula>$E$93/0.95-$E$93</formula>
    </cfRule>
  </conditionalFormatting>
  <conditionalFormatting sqref="D91">
    <cfRule type="cellIs" priority="4" dxfId="1" operator="greaterThan" stopIfTrue="1">
      <formula>$D$93*0.1</formula>
    </cfRule>
  </conditionalFormatting>
  <conditionalFormatting sqref="C91">
    <cfRule type="cellIs" priority="5" dxfId="1" operator="greaterThan" stopIfTrue="1">
      <formula>$C$93*0.1</formula>
    </cfRule>
  </conditionalFormatting>
  <conditionalFormatting sqref="C94">
    <cfRule type="cellIs" priority="6" dxfId="1" operator="lessThan" stopIfTrue="1">
      <formula>0</formula>
    </cfRule>
  </conditionalFormatting>
  <conditionalFormatting sqref="D93">
    <cfRule type="cellIs" priority="7" dxfId="1" operator="greaterThan" stopIfTrue="1">
      <formula>$D$95</formula>
    </cfRule>
  </conditionalFormatting>
  <conditionalFormatting sqref="C93">
    <cfRule type="cellIs" priority="8" dxfId="1" operator="greaterThan" stopIfTrue="1">
      <formula>$C$95</formula>
    </cfRule>
  </conditionalFormatting>
  <conditionalFormatting sqref="D94">
    <cfRule type="cellIs" priority="1" dxfId="0" operator="lessThan" stopIfTrue="1">
      <formula>0</formula>
    </cfRule>
  </conditionalFormatting>
  <printOptions/>
  <pageMargins left="0.6" right="0.5" top="0.7" bottom="0.36" header="0.33" footer="0"/>
  <pageSetup blackAndWhite="1" fitToHeight="2" horizontalDpi="120" verticalDpi="120" orientation="portrait" scale="88" r:id="rId1"/>
  <headerFooter alignWithMargins="0">
    <oddHeader>&amp;RState of Kansas
County
</oddHeader>
  </headerFooter>
  <rowBreaks count="2" manualBreakCount="2">
    <brk id="51" max="255" man="1"/>
    <brk id="102"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D268"/>
  <sheetViews>
    <sheetView zoomScalePageLayoutView="0" workbookViewId="0" topLeftCell="A94">
      <selection activeCell="C47" sqref="C47"/>
    </sheetView>
  </sheetViews>
  <sheetFormatPr defaultColWidth="8.796875" defaultRowHeight="15"/>
  <cols>
    <col min="1" max="1" width="31.796875" style="75" customWidth="1"/>
    <col min="2" max="4" width="17.19921875" style="75" customWidth="1"/>
    <col min="5" max="16384" width="8.8984375" style="75" customWidth="1"/>
  </cols>
  <sheetData>
    <row r="1" spans="1:4" ht="15.75">
      <c r="A1" s="237" t="str">
        <f>inputPrYr!C2</f>
        <v>Sheridan County</v>
      </c>
      <c r="B1" s="88"/>
      <c r="C1" s="311"/>
      <c r="D1" s="88">
        <f>inputPrYr!C4</f>
        <v>2012</v>
      </c>
    </row>
    <row r="2" spans="1:4" ht="15.75">
      <c r="A2" s="88"/>
      <c r="B2" s="88"/>
      <c r="C2" s="88"/>
      <c r="D2" s="311"/>
    </row>
    <row r="3" spans="1:4" ht="15.75">
      <c r="A3" s="155" t="s">
        <v>229</v>
      </c>
      <c r="B3" s="324"/>
      <c r="C3" s="324"/>
      <c r="D3" s="324"/>
    </row>
    <row r="4" spans="1:4" ht="15.75">
      <c r="A4" s="311" t="s">
        <v>157</v>
      </c>
      <c r="B4" s="553" t="str">
        <f>general!C4</f>
        <v>Prior Year Actual</v>
      </c>
      <c r="C4" s="465" t="str">
        <f>general!D4</f>
        <v>Current Year Estimate</v>
      </c>
      <c r="D4" s="465" t="str">
        <f>general!E4</f>
        <v>Proposed Budget Year</v>
      </c>
    </row>
    <row r="5" spans="1:4" ht="15.75">
      <c r="A5" s="487" t="s">
        <v>674</v>
      </c>
      <c r="B5" s="325">
        <f>general!C5</f>
        <v>2010</v>
      </c>
      <c r="C5" s="325">
        <f>general!D5</f>
        <v>2011</v>
      </c>
      <c r="D5" s="312">
        <f>general!E5</f>
        <v>2012</v>
      </c>
    </row>
    <row r="6" spans="1:4" ht="15.75">
      <c r="A6" s="272" t="s">
        <v>162</v>
      </c>
      <c r="B6" s="130"/>
      <c r="C6" s="130"/>
      <c r="D6" s="130"/>
    </row>
    <row r="7" spans="1:4" ht="15.75">
      <c r="A7" s="333" t="s">
        <v>167</v>
      </c>
      <c r="B7" s="130"/>
      <c r="C7" s="130"/>
      <c r="D7" s="130"/>
    </row>
    <row r="8" spans="1:4" ht="15.75">
      <c r="A8" s="113" t="s">
        <v>895</v>
      </c>
      <c r="B8" s="316">
        <v>34815</v>
      </c>
      <c r="C8" s="316">
        <v>45000</v>
      </c>
      <c r="D8" s="316">
        <v>49000</v>
      </c>
    </row>
    <row r="9" spans="1:4" ht="15.75">
      <c r="A9" s="113" t="s">
        <v>894</v>
      </c>
      <c r="B9" s="316">
        <v>57773</v>
      </c>
      <c r="C9" s="316">
        <v>65512</v>
      </c>
      <c r="D9" s="316">
        <v>69000</v>
      </c>
    </row>
    <row r="10" spans="1:4" ht="15.75">
      <c r="A10" s="113" t="s">
        <v>896</v>
      </c>
      <c r="B10" s="316">
        <v>8786</v>
      </c>
      <c r="C10" s="316">
        <v>8500</v>
      </c>
      <c r="D10" s="316">
        <v>12000</v>
      </c>
    </row>
    <row r="11" spans="1:4" ht="15.75">
      <c r="A11" s="113" t="s">
        <v>897</v>
      </c>
      <c r="B11" s="316"/>
      <c r="C11" s="316"/>
      <c r="D11" s="316"/>
    </row>
    <row r="12" spans="1:4" ht="15.75">
      <c r="A12" s="113" t="s">
        <v>898</v>
      </c>
      <c r="B12" s="316">
        <v>21433</v>
      </c>
      <c r="C12" s="316">
        <v>22000</v>
      </c>
      <c r="D12" s="316">
        <v>50000</v>
      </c>
    </row>
    <row r="13" spans="1:4" ht="15.75">
      <c r="A13" s="113" t="s">
        <v>899</v>
      </c>
      <c r="B13" s="316"/>
      <c r="C13" s="316"/>
      <c r="D13" s="316">
        <v>5000</v>
      </c>
    </row>
    <row r="14" spans="1:4" ht="15.75">
      <c r="A14" s="113" t="s">
        <v>900</v>
      </c>
      <c r="B14" s="316">
        <v>15700</v>
      </c>
      <c r="C14" s="316">
        <v>16000</v>
      </c>
      <c r="D14" s="316">
        <v>16000</v>
      </c>
    </row>
    <row r="15" spans="1:4" ht="15.75">
      <c r="A15" s="113" t="s">
        <v>901</v>
      </c>
      <c r="B15" s="316">
        <v>37314</v>
      </c>
      <c r="C15" s="316">
        <v>50000</v>
      </c>
      <c r="D15" s="316">
        <v>55000</v>
      </c>
    </row>
    <row r="16" spans="1:4" ht="15.75">
      <c r="A16" s="113" t="s">
        <v>902</v>
      </c>
      <c r="B16" s="316">
        <v>15220</v>
      </c>
      <c r="C16" s="316">
        <v>15000</v>
      </c>
      <c r="D16" s="316">
        <v>17500</v>
      </c>
    </row>
    <row r="17" spans="1:4" ht="15.75">
      <c r="A17" s="113" t="s">
        <v>903</v>
      </c>
      <c r="B17" s="316">
        <v>20180</v>
      </c>
      <c r="C17" s="316">
        <v>325000</v>
      </c>
      <c r="D17" s="316">
        <v>210000</v>
      </c>
    </row>
    <row r="18" spans="1:4" ht="15.75">
      <c r="A18" s="311" t="s">
        <v>128</v>
      </c>
      <c r="B18" s="334">
        <f>SUM(B8:B17)</f>
        <v>211221</v>
      </c>
      <c r="C18" s="334">
        <f>SUM(C8:C17)</f>
        <v>547012</v>
      </c>
      <c r="D18" s="334">
        <f>SUM(D8:D17)</f>
        <v>483500</v>
      </c>
    </row>
    <row r="19" spans="1:4" ht="15.75">
      <c r="A19" s="333" t="s">
        <v>904</v>
      </c>
      <c r="B19" s="130"/>
      <c r="C19" s="130"/>
      <c r="D19" s="130"/>
    </row>
    <row r="20" spans="1:4" ht="15.75">
      <c r="A20" s="113" t="s">
        <v>905</v>
      </c>
      <c r="B20" s="316">
        <v>16270</v>
      </c>
      <c r="C20" s="316">
        <v>18669</v>
      </c>
      <c r="D20" s="316">
        <v>22011</v>
      </c>
    </row>
    <row r="21" spans="1:4" ht="15.75">
      <c r="A21" s="113" t="s">
        <v>906</v>
      </c>
      <c r="B21" s="316"/>
      <c r="C21" s="316">
        <v>1500</v>
      </c>
      <c r="D21" s="316">
        <v>10000</v>
      </c>
    </row>
    <row r="22" spans="1:4" ht="15.75">
      <c r="A22" s="113" t="s">
        <v>907</v>
      </c>
      <c r="B22" s="316">
        <v>70000</v>
      </c>
      <c r="C22" s="316">
        <v>72500</v>
      </c>
      <c r="D22" s="316"/>
    </row>
    <row r="23" spans="1:4" ht="15.75">
      <c r="A23" s="113" t="s">
        <v>908</v>
      </c>
      <c r="B23" s="316">
        <v>36500</v>
      </c>
      <c r="C23" s="316">
        <v>36500</v>
      </c>
      <c r="D23" s="316">
        <v>36500</v>
      </c>
    </row>
    <row r="24" spans="1:4" ht="15.75">
      <c r="A24" s="113" t="s">
        <v>909</v>
      </c>
      <c r="B24" s="316">
        <v>19000</v>
      </c>
      <c r="C24" s="316">
        <v>19000</v>
      </c>
      <c r="D24" s="316">
        <v>20000</v>
      </c>
    </row>
    <row r="25" spans="1:4" ht="15.75">
      <c r="A25" s="113" t="s">
        <v>910</v>
      </c>
      <c r="B25" s="316">
        <v>15000</v>
      </c>
      <c r="C25" s="316">
        <v>15000</v>
      </c>
      <c r="D25" s="316">
        <v>15000</v>
      </c>
    </row>
    <row r="26" spans="1:4" ht="15.75">
      <c r="A26" s="311" t="s">
        <v>128</v>
      </c>
      <c r="B26" s="334">
        <f>SUM(B20:B25)</f>
        <v>156770</v>
      </c>
      <c r="C26" s="334">
        <f>SUM(C20:C25)</f>
        <v>163169</v>
      </c>
      <c r="D26" s="334">
        <f>SUM(D20:D25)</f>
        <v>103511</v>
      </c>
    </row>
    <row r="27" spans="1:4" ht="15.75">
      <c r="A27" s="333" t="s">
        <v>169</v>
      </c>
      <c r="B27" s="130"/>
      <c r="C27" s="130"/>
      <c r="D27" s="130"/>
    </row>
    <row r="28" spans="1:4" ht="15.75">
      <c r="A28" s="113" t="s">
        <v>911</v>
      </c>
      <c r="B28" s="316">
        <v>139101</v>
      </c>
      <c r="C28" s="316">
        <v>137500</v>
      </c>
      <c r="D28" s="316">
        <v>185269</v>
      </c>
    </row>
    <row r="29" spans="1:4" ht="15.75">
      <c r="A29" s="113" t="s">
        <v>912</v>
      </c>
      <c r="B29" s="316">
        <v>1300</v>
      </c>
      <c r="C29" s="316">
        <v>1532</v>
      </c>
      <c r="D29" s="316">
        <v>5620</v>
      </c>
    </row>
    <row r="30" spans="1:4" ht="15.75">
      <c r="A30" s="113" t="s">
        <v>913</v>
      </c>
      <c r="B30" s="316">
        <v>3620</v>
      </c>
      <c r="C30" s="316">
        <v>3500</v>
      </c>
      <c r="D30" s="316">
        <v>1500</v>
      </c>
    </row>
    <row r="31" spans="1:4" ht="15.75">
      <c r="A31" s="113" t="s">
        <v>914</v>
      </c>
      <c r="B31" s="316"/>
      <c r="C31" s="316">
        <v>20000</v>
      </c>
      <c r="D31" s="316">
        <v>22000</v>
      </c>
    </row>
    <row r="32" spans="1:4" ht="15.75">
      <c r="A32" s="113" t="s">
        <v>915</v>
      </c>
      <c r="B32" s="316">
        <v>28847</v>
      </c>
      <c r="C32" s="316">
        <v>30000</v>
      </c>
      <c r="D32" s="316">
        <v>29600</v>
      </c>
    </row>
    <row r="33" spans="1:4" ht="15.75">
      <c r="A33" s="113" t="s">
        <v>168</v>
      </c>
      <c r="B33" s="316"/>
      <c r="C33" s="316"/>
      <c r="D33" s="316">
        <v>22600</v>
      </c>
    </row>
    <row r="34" spans="1:4" ht="15.75">
      <c r="A34" s="311" t="s">
        <v>128</v>
      </c>
      <c r="B34" s="334">
        <f>SUM(B28:B33)</f>
        <v>172868</v>
      </c>
      <c r="C34" s="334">
        <f>SUM(C28:C33)</f>
        <v>192532</v>
      </c>
      <c r="D34" s="334">
        <f>SUM(D28:D33)</f>
        <v>266589</v>
      </c>
    </row>
    <row r="35" spans="1:4" ht="15.75">
      <c r="A35" s="333" t="s">
        <v>916</v>
      </c>
      <c r="B35" s="130"/>
      <c r="C35" s="130"/>
      <c r="D35" s="130"/>
    </row>
    <row r="36" spans="1:4" ht="15.75">
      <c r="A36" s="113" t="s">
        <v>911</v>
      </c>
      <c r="B36" s="316">
        <v>72750</v>
      </c>
      <c r="C36" s="316">
        <v>84940</v>
      </c>
      <c r="D36" s="316">
        <v>92000</v>
      </c>
    </row>
    <row r="37" spans="1:4" ht="15.75">
      <c r="A37" s="113" t="s">
        <v>915</v>
      </c>
      <c r="B37" s="316">
        <v>7470</v>
      </c>
      <c r="C37" s="316">
        <v>10000</v>
      </c>
      <c r="D37" s="316">
        <v>18300</v>
      </c>
    </row>
    <row r="38" spans="1:4" ht="15.75">
      <c r="A38" s="311" t="s">
        <v>128</v>
      </c>
      <c r="B38" s="334">
        <f>SUM(B36:B37)</f>
        <v>80220</v>
      </c>
      <c r="C38" s="334">
        <f>SUM(C36:C37)</f>
        <v>94940</v>
      </c>
      <c r="D38" s="334">
        <f>SUM(D36:D37)</f>
        <v>110300</v>
      </c>
    </row>
    <row r="39" spans="1:4" ht="15.75">
      <c r="A39" s="333" t="s">
        <v>917</v>
      </c>
      <c r="B39" s="130"/>
      <c r="C39" s="130"/>
      <c r="D39" s="130"/>
    </row>
    <row r="40" spans="1:4" ht="15.75">
      <c r="A40" s="113" t="s">
        <v>911</v>
      </c>
      <c r="B40" s="316">
        <v>36699</v>
      </c>
      <c r="C40" s="316">
        <v>37000</v>
      </c>
      <c r="D40" s="316">
        <v>38850</v>
      </c>
    </row>
    <row r="41" spans="1:4" ht="15.75">
      <c r="A41" s="113" t="s">
        <v>915</v>
      </c>
      <c r="B41" s="316">
        <v>4238</v>
      </c>
      <c r="C41" s="316">
        <v>4000</v>
      </c>
      <c r="D41" s="316">
        <v>5000</v>
      </c>
    </row>
    <row r="42" spans="1:4" ht="15.75">
      <c r="A42" s="311" t="s">
        <v>128</v>
      </c>
      <c r="B42" s="334">
        <f>SUM(B40:B41)</f>
        <v>40937</v>
      </c>
      <c r="C42" s="334">
        <f>SUM(C40:C41)</f>
        <v>41000</v>
      </c>
      <c r="D42" s="334">
        <f>SUM(D40:D41)</f>
        <v>43850</v>
      </c>
    </row>
    <row r="43" spans="1:4" ht="15.75">
      <c r="A43" s="333" t="s">
        <v>147</v>
      </c>
      <c r="B43" s="130"/>
      <c r="C43" s="130"/>
      <c r="D43" s="130"/>
    </row>
    <row r="44" spans="1:4" ht="15.75">
      <c r="A44" s="113" t="s">
        <v>911</v>
      </c>
      <c r="B44" s="316">
        <v>60508</v>
      </c>
      <c r="C44" s="316">
        <v>61862</v>
      </c>
      <c r="D44" s="316">
        <v>70350</v>
      </c>
    </row>
    <row r="45" spans="1:4" ht="15.75">
      <c r="A45" s="113" t="s">
        <v>915</v>
      </c>
      <c r="B45" s="316">
        <v>1359</v>
      </c>
      <c r="C45" s="316">
        <v>1500</v>
      </c>
      <c r="D45" s="316">
        <v>3750</v>
      </c>
    </row>
    <row r="46" spans="1:4" ht="15.75">
      <c r="A46" s="311" t="s">
        <v>128</v>
      </c>
      <c r="B46" s="334">
        <f>SUM(B44:B45)</f>
        <v>61867</v>
      </c>
      <c r="C46" s="334">
        <f>SUM(C44:C45)</f>
        <v>63362</v>
      </c>
      <c r="D46" s="334">
        <f>SUM(D44:D45)</f>
        <v>74100</v>
      </c>
    </row>
    <row r="47" spans="1:4" ht="15.75">
      <c r="A47" s="333" t="s">
        <v>918</v>
      </c>
      <c r="B47" s="130"/>
      <c r="C47" s="130"/>
      <c r="D47" s="130"/>
    </row>
    <row r="48" spans="1:4" ht="15.75">
      <c r="A48" s="113" t="s">
        <v>911</v>
      </c>
      <c r="B48" s="316">
        <v>34244</v>
      </c>
      <c r="C48" s="316">
        <v>33902</v>
      </c>
      <c r="D48" s="316">
        <v>41200</v>
      </c>
    </row>
    <row r="49" spans="1:4" ht="15.75">
      <c r="A49" s="113" t="s">
        <v>915</v>
      </c>
      <c r="B49" s="316">
        <v>2669</v>
      </c>
      <c r="C49" s="316">
        <v>4500</v>
      </c>
      <c r="D49" s="316">
        <v>5000</v>
      </c>
    </row>
    <row r="50" spans="1:4" ht="15.75">
      <c r="A50" s="311" t="s">
        <v>128</v>
      </c>
      <c r="B50" s="334">
        <f>SUM(B48:B49)</f>
        <v>36913</v>
      </c>
      <c r="C50" s="334">
        <f>SUM(C48:C49)</f>
        <v>38402</v>
      </c>
      <c r="D50" s="334">
        <f>SUM(D48:D49)</f>
        <v>46200</v>
      </c>
    </row>
    <row r="51" spans="1:4" ht="15.75">
      <c r="A51" s="88"/>
      <c r="B51" s="130"/>
      <c r="C51" s="130"/>
      <c r="D51" s="130"/>
    </row>
    <row r="52" spans="1:4" ht="15.75">
      <c r="A52" s="311" t="s">
        <v>299</v>
      </c>
      <c r="B52" s="322">
        <f>B18+B26+B34+B38+B42+B46+B50</f>
        <v>760796</v>
      </c>
      <c r="C52" s="322">
        <f>C18+C26+C34+C38+C42+C46+C50</f>
        <v>1140417</v>
      </c>
      <c r="D52" s="322">
        <f>D18+D26+D34+D38+D42+D46+D50</f>
        <v>1128050</v>
      </c>
    </row>
    <row r="53" spans="1:4" ht="15.75">
      <c r="A53" s="88"/>
      <c r="B53" s="237"/>
      <c r="C53" s="237"/>
      <c r="D53" s="237"/>
    </row>
    <row r="54" spans="1:4" ht="15.75">
      <c r="A54" s="88"/>
      <c r="B54" s="237"/>
      <c r="C54" s="237"/>
      <c r="D54" s="237"/>
    </row>
    <row r="55" spans="1:4" ht="15.75">
      <c r="A55" s="718" t="s">
        <v>282</v>
      </c>
      <c r="B55" s="718"/>
      <c r="C55" s="718"/>
      <c r="D55" s="718"/>
    </row>
    <row r="56" spans="1:4" ht="15.75">
      <c r="A56" s="88"/>
      <c r="B56" s="237"/>
      <c r="C56" s="237"/>
      <c r="D56" s="237"/>
    </row>
    <row r="57" spans="1:4" ht="15.75">
      <c r="A57" s="237" t="str">
        <f>inputPrYr!C2</f>
        <v>Sheridan County</v>
      </c>
      <c r="B57" s="237"/>
      <c r="C57" s="87"/>
      <c r="D57" s="335">
        <f>D1</f>
        <v>2012</v>
      </c>
    </row>
    <row r="58" spans="1:4" ht="15.75">
      <c r="A58" s="88"/>
      <c r="B58" s="237"/>
      <c r="C58" s="237"/>
      <c r="D58" s="87"/>
    </row>
    <row r="59" spans="1:4" ht="15.75">
      <c r="A59" s="323" t="s">
        <v>228</v>
      </c>
      <c r="B59" s="336"/>
      <c r="C59" s="336"/>
      <c r="D59" s="336"/>
    </row>
    <row r="60" spans="1:4" ht="15.75">
      <c r="A60" s="88" t="s">
        <v>157</v>
      </c>
      <c r="B60" s="553" t="str">
        <f aca="true" t="shared" si="0" ref="B60:D61">B4</f>
        <v>Prior Year Actual</v>
      </c>
      <c r="C60" s="465" t="str">
        <f t="shared" si="0"/>
        <v>Current Year Estimate</v>
      </c>
      <c r="D60" s="465" t="str">
        <f t="shared" si="0"/>
        <v>Proposed Budget Year</v>
      </c>
    </row>
    <row r="61" spans="1:4" ht="15.75">
      <c r="A61" s="117" t="s">
        <v>166</v>
      </c>
      <c r="B61" s="325">
        <f t="shared" si="0"/>
        <v>2010</v>
      </c>
      <c r="C61" s="325">
        <f t="shared" si="0"/>
        <v>2011</v>
      </c>
      <c r="D61" s="325">
        <f t="shared" si="0"/>
        <v>2012</v>
      </c>
    </row>
    <row r="62" spans="1:4" ht="15.75">
      <c r="A62" s="272" t="s">
        <v>162</v>
      </c>
      <c r="B62" s="130"/>
      <c r="C62" s="130"/>
      <c r="D62" s="130"/>
    </row>
    <row r="63" spans="1:4" ht="15.75">
      <c r="A63" s="333" t="s">
        <v>919</v>
      </c>
      <c r="B63" s="130"/>
      <c r="C63" s="130"/>
      <c r="D63" s="130"/>
    </row>
    <row r="64" spans="1:4" ht="15.75">
      <c r="A64" s="113" t="s">
        <v>911</v>
      </c>
      <c r="B64" s="316">
        <v>45386</v>
      </c>
      <c r="C64" s="316">
        <v>42000</v>
      </c>
      <c r="D64" s="316">
        <v>53800</v>
      </c>
    </row>
    <row r="65" spans="1:4" ht="15.75">
      <c r="A65" s="113" t="s">
        <v>915</v>
      </c>
      <c r="B65" s="316">
        <v>1071</v>
      </c>
      <c r="C65" s="316">
        <v>1500</v>
      </c>
      <c r="D65" s="316">
        <v>4000</v>
      </c>
    </row>
    <row r="66" spans="1:4" ht="15.75">
      <c r="A66" s="337" t="s">
        <v>128</v>
      </c>
      <c r="B66" s="334">
        <f>SUM(B64:B65)</f>
        <v>46457</v>
      </c>
      <c r="C66" s="334">
        <f>SUM(C64:C65)</f>
        <v>43500</v>
      </c>
      <c r="D66" s="334">
        <f>SUM(D64:D65)</f>
        <v>57800</v>
      </c>
    </row>
    <row r="67" spans="1:4" ht="15.75">
      <c r="A67" s="333" t="s">
        <v>920</v>
      </c>
      <c r="B67" s="130"/>
      <c r="C67" s="130"/>
      <c r="D67" s="130"/>
    </row>
    <row r="68" spans="1:4" ht="15.75">
      <c r="A68" s="113" t="s">
        <v>911</v>
      </c>
      <c r="B68" s="316">
        <v>95686</v>
      </c>
      <c r="C68" s="316">
        <v>98000</v>
      </c>
      <c r="D68" s="316">
        <v>108150</v>
      </c>
    </row>
    <row r="69" spans="1:4" ht="15.75">
      <c r="A69" s="113" t="s">
        <v>915</v>
      </c>
      <c r="B69" s="316">
        <v>27359</v>
      </c>
      <c r="C69" s="316">
        <v>28000</v>
      </c>
      <c r="D69" s="316">
        <v>39400</v>
      </c>
    </row>
    <row r="70" spans="1:4" ht="15.75">
      <c r="A70" s="311" t="s">
        <v>128</v>
      </c>
      <c r="B70" s="328">
        <f>SUM(B68:B69)</f>
        <v>123045</v>
      </c>
      <c r="C70" s="328">
        <f>SUM(C68:C69)</f>
        <v>126000</v>
      </c>
      <c r="D70" s="328">
        <f>SUM(D68:D69)</f>
        <v>147550</v>
      </c>
    </row>
    <row r="71" spans="1:4" ht="15.75">
      <c r="A71" s="333" t="s">
        <v>170</v>
      </c>
      <c r="B71" s="130"/>
      <c r="C71" s="130"/>
      <c r="D71" s="130"/>
    </row>
    <row r="72" spans="1:4" ht="15.75">
      <c r="A72" s="113" t="s">
        <v>911</v>
      </c>
      <c r="B72" s="316">
        <v>71188</v>
      </c>
      <c r="C72" s="316">
        <v>72158</v>
      </c>
      <c r="D72" s="316">
        <v>76755</v>
      </c>
    </row>
    <row r="73" spans="1:4" ht="15.75">
      <c r="A73" s="113" t="s">
        <v>915</v>
      </c>
      <c r="B73" s="316">
        <v>1377</v>
      </c>
      <c r="C73" s="316">
        <v>1500</v>
      </c>
      <c r="D73" s="316">
        <v>5000</v>
      </c>
    </row>
    <row r="74" spans="1:4" ht="15.75">
      <c r="A74" s="311" t="s">
        <v>128</v>
      </c>
      <c r="B74" s="328">
        <f>SUM(B72:B73)</f>
        <v>72565</v>
      </c>
      <c r="C74" s="328">
        <f>SUM(C72:C73)</f>
        <v>73658</v>
      </c>
      <c r="D74" s="328">
        <f>SUM(D72:D73)</f>
        <v>81755</v>
      </c>
    </row>
    <row r="75" spans="1:4" ht="15.75">
      <c r="A75" s="333" t="s">
        <v>921</v>
      </c>
      <c r="B75" s="130"/>
      <c r="C75" s="130"/>
      <c r="D75" s="130"/>
    </row>
    <row r="76" spans="1:4" ht="15.75">
      <c r="A76" s="113" t="s">
        <v>915</v>
      </c>
      <c r="B76" s="316">
        <v>1000</v>
      </c>
      <c r="C76" s="316">
        <v>1000</v>
      </c>
      <c r="D76" s="316">
        <v>1000</v>
      </c>
    </row>
    <row r="77" spans="1:4" ht="15.75">
      <c r="A77" s="311" t="s">
        <v>128</v>
      </c>
      <c r="B77" s="328">
        <f>SUM(B76:B76)</f>
        <v>1000</v>
      </c>
      <c r="C77" s="328">
        <f>SUM(C76:C76)</f>
        <v>1000</v>
      </c>
      <c r="D77" s="328">
        <f>SUM(D76:D76)</f>
        <v>1000</v>
      </c>
    </row>
    <row r="78" spans="1:4" ht="15.75">
      <c r="A78" s="333" t="s">
        <v>156</v>
      </c>
      <c r="B78" s="130"/>
      <c r="C78" s="130"/>
      <c r="D78" s="130"/>
    </row>
    <row r="79" spans="1:4" ht="15.75">
      <c r="A79" s="113" t="s">
        <v>915</v>
      </c>
      <c r="B79" s="316">
        <v>23596</v>
      </c>
      <c r="C79" s="316">
        <v>25000</v>
      </c>
      <c r="D79" s="316">
        <v>28660</v>
      </c>
    </row>
    <row r="80" spans="1:4" ht="15.75">
      <c r="A80" s="311" t="s">
        <v>128</v>
      </c>
      <c r="B80" s="328">
        <f>SUM(B79:B79)</f>
        <v>23596</v>
      </c>
      <c r="C80" s="328">
        <f>SUM(C79:C79)</f>
        <v>25000</v>
      </c>
      <c r="D80" s="328">
        <f>SUM(D79:D79)</f>
        <v>28660</v>
      </c>
    </row>
    <row r="81" spans="1:4" ht="15.75">
      <c r="A81" s="333" t="s">
        <v>172</v>
      </c>
      <c r="B81" s="130"/>
      <c r="C81" s="130"/>
      <c r="D81" s="130"/>
    </row>
    <row r="82" spans="1:4" ht="15.75">
      <c r="A82" s="113" t="s">
        <v>911</v>
      </c>
      <c r="B82" s="316">
        <v>8060</v>
      </c>
      <c r="C82" s="316">
        <v>1043</v>
      </c>
      <c r="D82" s="316">
        <v>14500</v>
      </c>
    </row>
    <row r="83" spans="1:4" ht="15.75">
      <c r="A83" s="113" t="s">
        <v>915</v>
      </c>
      <c r="B83" s="316">
        <v>6347</v>
      </c>
      <c r="C83" s="316">
        <v>2519</v>
      </c>
      <c r="D83" s="316">
        <v>6500</v>
      </c>
    </row>
    <row r="84" spans="1:4" ht="15.75">
      <c r="A84" s="311" t="s">
        <v>128</v>
      </c>
      <c r="B84" s="328">
        <f>SUM(B82:B83)</f>
        <v>14407</v>
      </c>
      <c r="C84" s="328">
        <f>SUM(C82:C83)</f>
        <v>3562</v>
      </c>
      <c r="D84" s="328">
        <f>SUM(D82:D83)</f>
        <v>21000</v>
      </c>
    </row>
    <row r="85" spans="1:4" ht="15.75">
      <c r="A85" s="333" t="s">
        <v>922</v>
      </c>
      <c r="B85" s="130"/>
      <c r="C85" s="130"/>
      <c r="D85" s="130"/>
    </row>
    <row r="86" spans="1:4" ht="15.75">
      <c r="A86" s="113" t="s">
        <v>911</v>
      </c>
      <c r="B86" s="316">
        <v>20224</v>
      </c>
      <c r="C86" s="316">
        <v>20400</v>
      </c>
      <c r="D86" s="316">
        <v>22063</v>
      </c>
    </row>
    <row r="87" spans="1:4" ht="15.75">
      <c r="A87" s="311" t="s">
        <v>128</v>
      </c>
      <c r="B87" s="328">
        <f>SUM(B86:B86)</f>
        <v>20224</v>
      </c>
      <c r="C87" s="328">
        <f>SUM(C86:C86)</f>
        <v>20400</v>
      </c>
      <c r="D87" s="328">
        <f>SUM(D86:D86)</f>
        <v>22063</v>
      </c>
    </row>
    <row r="88" spans="1:4" ht="15.75">
      <c r="A88" s="333" t="s">
        <v>923</v>
      </c>
      <c r="B88" s="130"/>
      <c r="C88" s="130"/>
      <c r="D88" s="130"/>
    </row>
    <row r="89" spans="1:4" ht="15.75">
      <c r="A89" s="113" t="s">
        <v>911</v>
      </c>
      <c r="B89" s="316">
        <v>95542</v>
      </c>
      <c r="C89" s="316">
        <v>97000</v>
      </c>
      <c r="D89" s="316">
        <v>105000</v>
      </c>
    </row>
    <row r="90" spans="1:4" ht="15.75">
      <c r="A90" s="311" t="s">
        <v>128</v>
      </c>
      <c r="B90" s="328">
        <f>SUM(B89:B89)</f>
        <v>95542</v>
      </c>
      <c r="C90" s="328">
        <f>SUM(C89:C89)</f>
        <v>97000</v>
      </c>
      <c r="D90" s="328">
        <f>SUM(D89:D89)</f>
        <v>105000</v>
      </c>
    </row>
    <row r="91" spans="1:4" ht="15.75">
      <c r="A91" s="333" t="s">
        <v>924</v>
      </c>
      <c r="B91" s="130"/>
      <c r="C91" s="130"/>
      <c r="D91" s="130"/>
    </row>
    <row r="92" spans="1:4" ht="15.75">
      <c r="A92" s="113" t="s">
        <v>915</v>
      </c>
      <c r="B92" s="316">
        <v>15768</v>
      </c>
      <c r="C92" s="316">
        <v>16400</v>
      </c>
      <c r="D92" s="316">
        <v>26000</v>
      </c>
    </row>
    <row r="93" spans="1:4" ht="15.75">
      <c r="A93" s="311" t="s">
        <v>128</v>
      </c>
      <c r="B93" s="328">
        <f>SUM(B92:B92)</f>
        <v>15768</v>
      </c>
      <c r="C93" s="328">
        <f>SUM(C92:C92)</f>
        <v>16400</v>
      </c>
      <c r="D93" s="328">
        <f>SUM(D92:D92)</f>
        <v>26000</v>
      </c>
    </row>
    <row r="94" spans="1:4" ht="15.75">
      <c r="A94" s="333" t="s">
        <v>173</v>
      </c>
      <c r="B94" s="130"/>
      <c r="C94" s="130"/>
      <c r="D94" s="130"/>
    </row>
    <row r="95" spans="1:4" ht="15.75">
      <c r="A95" s="113" t="s">
        <v>925</v>
      </c>
      <c r="B95" s="316">
        <v>99659</v>
      </c>
      <c r="C95" s="316">
        <v>101000</v>
      </c>
      <c r="D95" s="316">
        <v>111000</v>
      </c>
    </row>
    <row r="96" spans="1:4" ht="15.75">
      <c r="A96" s="113" t="s">
        <v>174</v>
      </c>
      <c r="B96" s="316">
        <v>477099</v>
      </c>
      <c r="C96" s="316">
        <v>513926</v>
      </c>
      <c r="D96" s="316">
        <v>575000</v>
      </c>
    </row>
    <row r="97" spans="1:4" ht="15.75">
      <c r="A97" s="113" t="s">
        <v>175</v>
      </c>
      <c r="B97" s="316">
        <v>81354</v>
      </c>
      <c r="C97" s="316">
        <v>85000</v>
      </c>
      <c r="D97" s="316">
        <v>93500</v>
      </c>
    </row>
    <row r="98" spans="1:4" ht="15.75">
      <c r="A98" s="113" t="s">
        <v>176</v>
      </c>
      <c r="B98" s="316">
        <v>51909</v>
      </c>
      <c r="C98" s="316">
        <v>53000</v>
      </c>
      <c r="D98" s="316">
        <v>60000</v>
      </c>
    </row>
    <row r="99" spans="1:4" ht="15.75">
      <c r="A99" s="113" t="s">
        <v>177</v>
      </c>
      <c r="B99" s="316">
        <v>1161</v>
      </c>
      <c r="C99" s="316">
        <v>1500</v>
      </c>
      <c r="D99" s="316">
        <v>2500</v>
      </c>
    </row>
    <row r="100" spans="1:4" ht="15.75">
      <c r="A100" s="113" t="s">
        <v>926</v>
      </c>
      <c r="B100" s="316"/>
      <c r="C100" s="316"/>
      <c r="D100" s="316"/>
    </row>
    <row r="101" spans="1:4" ht="15.75">
      <c r="A101" s="311" t="s">
        <v>128</v>
      </c>
      <c r="B101" s="328">
        <f>SUM(B95:B100)</f>
        <v>711182</v>
      </c>
      <c r="C101" s="328">
        <f>SUM(C95:C100)</f>
        <v>754426</v>
      </c>
      <c r="D101" s="328">
        <f>SUM(D95:D100)</f>
        <v>842000</v>
      </c>
    </row>
    <row r="102" spans="1:4" ht="15.75">
      <c r="A102" s="333" t="s">
        <v>927</v>
      </c>
      <c r="B102" s="130"/>
      <c r="C102" s="130"/>
      <c r="D102" s="130"/>
    </row>
    <row r="103" spans="1:4" ht="15.75">
      <c r="A103" s="113" t="s">
        <v>915</v>
      </c>
      <c r="B103" s="316">
        <v>3238</v>
      </c>
      <c r="C103" s="316">
        <v>4500</v>
      </c>
      <c r="D103" s="316">
        <v>4725</v>
      </c>
    </row>
    <row r="104" spans="1:4" ht="15.75">
      <c r="A104" s="311" t="s">
        <v>128</v>
      </c>
      <c r="B104" s="328">
        <f>SUM(B103:B103)</f>
        <v>3238</v>
      </c>
      <c r="C104" s="328">
        <f>SUM(C103:C103)</f>
        <v>4500</v>
      </c>
      <c r="D104" s="328">
        <f>SUM(D103:D103)</f>
        <v>4725</v>
      </c>
    </row>
    <row r="105" spans="1:4" ht="15.75">
      <c r="A105" s="333" t="s">
        <v>928</v>
      </c>
      <c r="B105" s="130"/>
      <c r="C105" s="130"/>
      <c r="D105" s="130"/>
    </row>
    <row r="106" spans="1:4" ht="15.75">
      <c r="A106" s="113" t="s">
        <v>915</v>
      </c>
      <c r="B106" s="316">
        <v>9519</v>
      </c>
      <c r="C106" s="316">
        <v>10000</v>
      </c>
      <c r="D106" s="316">
        <v>12500</v>
      </c>
    </row>
    <row r="107" spans="1:4" ht="15.75">
      <c r="A107" s="311" t="s">
        <v>128</v>
      </c>
      <c r="B107" s="328">
        <f>SUM(B106:B106)</f>
        <v>9519</v>
      </c>
      <c r="C107" s="328">
        <f>SUM(C106:C106)</f>
        <v>10000</v>
      </c>
      <c r="D107" s="328">
        <f>SUM(D106:D106)</f>
        <v>12500</v>
      </c>
    </row>
    <row r="108" spans="1:4" ht="15.75">
      <c r="A108" s="88"/>
      <c r="B108" s="130"/>
      <c r="C108" s="130"/>
      <c r="D108" s="130"/>
    </row>
    <row r="109" spans="1:4" ht="15.75">
      <c r="A109" s="311" t="s">
        <v>300</v>
      </c>
      <c r="B109" s="322">
        <f>B66+B70+B74+B77+B80+B84+B87+B90+B93+B101+B104+B107</f>
        <v>1136543</v>
      </c>
      <c r="C109" s="322">
        <f>C66+C70+C74+C77+C80+C84+C87+C90+C93+C101+C104+C107</f>
        <v>1175446</v>
      </c>
      <c r="D109" s="322">
        <f>D66+D70+D74+D77+D80+D84+D87+D90+D93+D101+D104+D107</f>
        <v>1350053</v>
      </c>
    </row>
    <row r="110" spans="1:4" ht="15.75">
      <c r="A110" s="88"/>
      <c r="B110" s="237"/>
      <c r="C110" s="237"/>
      <c r="D110" s="237"/>
    </row>
    <row r="111" spans="1:4" ht="15.75">
      <c r="A111" s="718" t="s">
        <v>283</v>
      </c>
      <c r="B111" s="718"/>
      <c r="C111" s="718"/>
      <c r="D111" s="718"/>
    </row>
    <row r="112" spans="1:4" ht="15.75">
      <c r="A112" s="237" t="str">
        <f>inputPrYr!C2</f>
        <v>Sheridan County</v>
      </c>
      <c r="B112" s="237"/>
      <c r="C112" s="87"/>
      <c r="D112" s="335">
        <f>D1</f>
        <v>2012</v>
      </c>
    </row>
    <row r="113" spans="1:4" ht="15.75">
      <c r="A113" s="88"/>
      <c r="B113" s="237"/>
      <c r="C113" s="237"/>
      <c r="D113" s="87"/>
    </row>
    <row r="114" spans="1:4" ht="15.75">
      <c r="A114" s="323" t="s">
        <v>228</v>
      </c>
      <c r="B114" s="336"/>
      <c r="C114" s="336"/>
      <c r="D114" s="336"/>
    </row>
    <row r="115" spans="1:4" ht="15.75">
      <c r="A115" s="88" t="s">
        <v>157</v>
      </c>
      <c r="B115" s="553" t="str">
        <f aca="true" t="shared" si="1" ref="B115:D116">B4</f>
        <v>Prior Year Actual</v>
      </c>
      <c r="C115" s="465" t="str">
        <f t="shared" si="1"/>
        <v>Current Year Estimate</v>
      </c>
      <c r="D115" s="465" t="str">
        <f t="shared" si="1"/>
        <v>Proposed Budget Year</v>
      </c>
    </row>
    <row r="116" spans="1:4" ht="15.75">
      <c r="A116" s="117" t="s">
        <v>166</v>
      </c>
      <c r="B116" s="325">
        <f t="shared" si="1"/>
        <v>2010</v>
      </c>
      <c r="C116" s="325">
        <f t="shared" si="1"/>
        <v>2011</v>
      </c>
      <c r="D116" s="325">
        <f t="shared" si="1"/>
        <v>2012</v>
      </c>
    </row>
    <row r="117" spans="1:4" ht="15.75">
      <c r="A117" s="272" t="s">
        <v>162</v>
      </c>
      <c r="B117" s="130"/>
      <c r="C117" s="130"/>
      <c r="D117" s="130"/>
    </row>
    <row r="118" spans="1:4" ht="15.75">
      <c r="A118" s="333" t="s">
        <v>929</v>
      </c>
      <c r="B118" s="130"/>
      <c r="C118" s="130"/>
      <c r="D118" s="130"/>
    </row>
    <row r="119" spans="1:4" ht="15.75">
      <c r="A119" s="113" t="s">
        <v>915</v>
      </c>
      <c r="B119" s="316">
        <v>15</v>
      </c>
      <c r="C119" s="316">
        <v>3500</v>
      </c>
      <c r="D119" s="316">
        <v>4000</v>
      </c>
    </row>
    <row r="120" spans="1:4" ht="15.75">
      <c r="A120" s="311" t="s">
        <v>128</v>
      </c>
      <c r="B120" s="328">
        <f>SUM(B119:B119)</f>
        <v>15</v>
      </c>
      <c r="C120" s="328">
        <f>SUM(C119:C119)</f>
        <v>3500</v>
      </c>
      <c r="D120" s="328">
        <f>SUM(D119:D119)</f>
        <v>4000</v>
      </c>
    </row>
    <row r="121" spans="1:4" ht="15.75">
      <c r="A121" s="333" t="s">
        <v>180</v>
      </c>
      <c r="B121" s="130"/>
      <c r="C121" s="130"/>
      <c r="D121" s="130"/>
    </row>
    <row r="122" spans="1:4" ht="15.75">
      <c r="A122" s="113" t="s">
        <v>915</v>
      </c>
      <c r="B122" s="316"/>
      <c r="C122" s="316"/>
      <c r="D122" s="316">
        <v>65000</v>
      </c>
    </row>
    <row r="123" spans="1:4" ht="15.75">
      <c r="A123" s="311" t="s">
        <v>128</v>
      </c>
      <c r="B123" s="328">
        <f>SUM(B122:B122)</f>
        <v>0</v>
      </c>
      <c r="C123" s="328">
        <f>SUM(C122:C122)</f>
        <v>0</v>
      </c>
      <c r="D123" s="328">
        <f>SUM(D122:D122)</f>
        <v>65000</v>
      </c>
    </row>
    <row r="124" spans="1:4" ht="15.75">
      <c r="A124" s="333" t="s">
        <v>930</v>
      </c>
      <c r="B124" s="130"/>
      <c r="C124" s="130"/>
      <c r="D124" s="130"/>
    </row>
    <row r="125" spans="1:4" ht="15.75">
      <c r="A125" s="113" t="s">
        <v>915</v>
      </c>
      <c r="B125" s="316">
        <v>25484</v>
      </c>
      <c r="C125" s="316">
        <v>26000</v>
      </c>
      <c r="D125" s="316">
        <v>28000</v>
      </c>
    </row>
    <row r="126" spans="1:4" ht="15.75">
      <c r="A126" s="311" t="s">
        <v>128</v>
      </c>
      <c r="B126" s="328">
        <f>SUM(B125:B125)</f>
        <v>25484</v>
      </c>
      <c r="C126" s="328">
        <f>SUM(C125:C125)</f>
        <v>26000</v>
      </c>
      <c r="D126" s="328">
        <f>SUM(D125:D125)</f>
        <v>28000</v>
      </c>
    </row>
    <row r="127" spans="1:4" ht="15.75">
      <c r="A127" s="333" t="s">
        <v>931</v>
      </c>
      <c r="B127" s="130"/>
      <c r="C127" s="130"/>
      <c r="D127" s="130"/>
    </row>
    <row r="128" spans="1:4" ht="15.75">
      <c r="A128" s="113" t="s">
        <v>915</v>
      </c>
      <c r="B128" s="316"/>
      <c r="C128" s="316">
        <v>1000</v>
      </c>
      <c r="D128" s="316">
        <v>1000</v>
      </c>
    </row>
    <row r="129" spans="1:4" ht="15.75">
      <c r="A129" s="311" t="s">
        <v>128</v>
      </c>
      <c r="B129" s="328">
        <f>SUM(B128:B128)</f>
        <v>0</v>
      </c>
      <c r="C129" s="328">
        <f>SUM(C128:C128)</f>
        <v>1000</v>
      </c>
      <c r="D129" s="328">
        <f>SUM(D128:D128)</f>
        <v>1000</v>
      </c>
    </row>
    <row r="130" spans="1:4" ht="15.75">
      <c r="A130" s="333" t="s">
        <v>932</v>
      </c>
      <c r="B130" s="130"/>
      <c r="C130" s="130"/>
      <c r="D130" s="130"/>
    </row>
    <row r="131" spans="1:4" ht="15.75">
      <c r="A131" s="113" t="s">
        <v>911</v>
      </c>
      <c r="B131" s="316">
        <v>9446</v>
      </c>
      <c r="C131" s="316">
        <v>9675</v>
      </c>
      <c r="D131" s="316">
        <v>22600</v>
      </c>
    </row>
    <row r="132" spans="1:4" ht="15.75">
      <c r="A132" s="311" t="s">
        <v>128</v>
      </c>
      <c r="B132" s="328">
        <f>SUM(B131:B131)</f>
        <v>9446</v>
      </c>
      <c r="C132" s="328">
        <f>SUM(C131:C131)</f>
        <v>9675</v>
      </c>
      <c r="D132" s="328">
        <f>SUM(D131:D131)</f>
        <v>22600</v>
      </c>
    </row>
    <row r="133" spans="1:4" ht="15.75">
      <c r="A133" s="333" t="s">
        <v>933</v>
      </c>
      <c r="B133" s="130"/>
      <c r="C133" s="130"/>
      <c r="D133" s="130"/>
    </row>
    <row r="134" spans="1:4" ht="15.75">
      <c r="A134" s="113" t="s">
        <v>915</v>
      </c>
      <c r="B134" s="316"/>
      <c r="C134" s="316"/>
      <c r="D134" s="316"/>
    </row>
    <row r="135" spans="1:4" ht="15.75">
      <c r="A135" s="311" t="s">
        <v>128</v>
      </c>
      <c r="B135" s="328">
        <f>SUM(B134:B134)</f>
        <v>0</v>
      </c>
      <c r="C135" s="328">
        <f>SUM(C134:C134)</f>
        <v>0</v>
      </c>
      <c r="D135" s="328">
        <f>SUM(D134:D134)</f>
        <v>0</v>
      </c>
    </row>
    <row r="136" spans="1:4" ht="15.75">
      <c r="A136" s="333" t="s">
        <v>934</v>
      </c>
      <c r="B136" s="130"/>
      <c r="C136" s="130"/>
      <c r="D136" s="130"/>
    </row>
    <row r="137" spans="1:4" ht="15.75">
      <c r="A137" s="113" t="s">
        <v>915</v>
      </c>
      <c r="B137" s="316"/>
      <c r="C137" s="316">
        <v>1000</v>
      </c>
      <c r="D137" s="316">
        <v>1000</v>
      </c>
    </row>
    <row r="138" spans="1:4" ht="15.75">
      <c r="A138" s="311" t="s">
        <v>128</v>
      </c>
      <c r="B138" s="328">
        <f>SUM(B137:B137)</f>
        <v>0</v>
      </c>
      <c r="C138" s="328">
        <f>SUM(C137:C137)</f>
        <v>1000</v>
      </c>
      <c r="D138" s="328">
        <f>SUM(D137:D137)</f>
        <v>1000</v>
      </c>
    </row>
    <row r="139" spans="1:4" ht="15.75">
      <c r="A139" s="333" t="s">
        <v>935</v>
      </c>
      <c r="B139" s="130"/>
      <c r="C139" s="130"/>
      <c r="D139" s="130"/>
    </row>
    <row r="140" spans="1:4" ht="15.75">
      <c r="A140" s="113" t="s">
        <v>936</v>
      </c>
      <c r="B140" s="316">
        <v>55000</v>
      </c>
      <c r="C140" s="316">
        <v>35000</v>
      </c>
      <c r="D140" s="316">
        <v>50000</v>
      </c>
    </row>
    <row r="141" spans="1:4" ht="15.75">
      <c r="A141" s="311" t="s">
        <v>128</v>
      </c>
      <c r="B141" s="328">
        <f>SUM(B140:B140)</f>
        <v>55000</v>
      </c>
      <c r="C141" s="328">
        <f>SUM(C140:C140)</f>
        <v>35000</v>
      </c>
      <c r="D141" s="328">
        <f>SUM(D140:D140)</f>
        <v>50000</v>
      </c>
    </row>
    <row r="142" spans="1:4" ht="15.75">
      <c r="A142" s="311"/>
      <c r="B142" s="130"/>
      <c r="C142" s="130"/>
      <c r="D142" s="130"/>
    </row>
    <row r="143" spans="1:4" ht="15.75">
      <c r="A143" s="311" t="s">
        <v>301</v>
      </c>
      <c r="B143" s="322">
        <f>B120+B123+B126+B129+B132+B138+B141+B135</f>
        <v>89945</v>
      </c>
      <c r="C143" s="322">
        <f>C120+C123+C126+C129+C132+C138+C141+C135</f>
        <v>76175</v>
      </c>
      <c r="D143" s="322">
        <f>D120+D123+D126+D129+D132+D138+D141+D135</f>
        <v>171600</v>
      </c>
    </row>
    <row r="144" spans="1:4" ht="15.75">
      <c r="A144" s="88"/>
      <c r="B144" s="237"/>
      <c r="C144" s="237"/>
      <c r="D144" s="237"/>
    </row>
    <row r="145" spans="1:4" ht="15.75">
      <c r="A145" s="104"/>
      <c r="B145" s="104"/>
      <c r="C145" s="104"/>
      <c r="D145" s="104"/>
    </row>
    <row r="146" spans="1:4" ht="15.75">
      <c r="A146" s="104"/>
      <c r="B146" s="104"/>
      <c r="C146" s="104"/>
      <c r="D146" s="104"/>
    </row>
    <row r="147" spans="1:4" ht="15.75">
      <c r="A147" s="104"/>
      <c r="B147" s="104"/>
      <c r="C147" s="104"/>
      <c r="D147" s="104"/>
    </row>
    <row r="148" spans="1:4" ht="15.75">
      <c r="A148" s="104"/>
      <c r="B148" s="104"/>
      <c r="C148" s="104"/>
      <c r="D148" s="104"/>
    </row>
    <row r="149" spans="1:4" ht="15.75">
      <c r="A149" s="104"/>
      <c r="B149" s="104"/>
      <c r="C149" s="104"/>
      <c r="D149" s="104"/>
    </row>
    <row r="150" spans="1:4" ht="15.75">
      <c r="A150" s="104"/>
      <c r="B150" s="104"/>
      <c r="C150" s="104"/>
      <c r="D150" s="104"/>
    </row>
    <row r="151" spans="1:4" ht="15.75">
      <c r="A151" s="311"/>
      <c r="B151" s="130"/>
      <c r="C151" s="130"/>
      <c r="D151" s="130"/>
    </row>
    <row r="152" spans="1:4" ht="15.75">
      <c r="A152" s="311" t="s">
        <v>302</v>
      </c>
      <c r="B152" s="328">
        <f>B52</f>
        <v>760796</v>
      </c>
      <c r="C152" s="328">
        <f>C52</f>
        <v>1140417</v>
      </c>
      <c r="D152" s="328">
        <f>D52</f>
        <v>1128050</v>
      </c>
    </row>
    <row r="153" spans="1:4" ht="15.75">
      <c r="A153" s="88"/>
      <c r="B153" s="130"/>
      <c r="C153" s="130"/>
      <c r="D153" s="130"/>
    </row>
    <row r="154" spans="1:4" ht="15.75">
      <c r="A154" s="311" t="s">
        <v>303</v>
      </c>
      <c r="B154" s="328">
        <f>B109</f>
        <v>1136543</v>
      </c>
      <c r="C154" s="328">
        <f>C109</f>
        <v>1175446</v>
      </c>
      <c r="D154" s="328">
        <f>D109</f>
        <v>1350053</v>
      </c>
    </row>
    <row r="155" spans="1:4" ht="15.75">
      <c r="A155" s="88"/>
      <c r="B155" s="130"/>
      <c r="C155" s="130"/>
      <c r="D155" s="130"/>
    </row>
    <row r="156" spans="1:4" ht="15.75">
      <c r="A156" s="311" t="s">
        <v>301</v>
      </c>
      <c r="B156" s="328">
        <f>B143</f>
        <v>89945</v>
      </c>
      <c r="C156" s="328">
        <f>C143</f>
        <v>76175</v>
      </c>
      <c r="D156" s="328">
        <f>D143</f>
        <v>171600</v>
      </c>
    </row>
    <row r="157" spans="1:4" ht="15.75">
      <c r="A157" s="88"/>
      <c r="B157" s="130"/>
      <c r="C157" s="130"/>
      <c r="D157" s="130"/>
    </row>
    <row r="158" spans="1:4" ht="16.5" thickBot="1">
      <c r="A158" s="272" t="s">
        <v>27</v>
      </c>
      <c r="B158" s="338">
        <f>SUM(B151:B157)</f>
        <v>1987284</v>
      </c>
      <c r="C158" s="338">
        <f>SUM(C151:C157)</f>
        <v>2392038</v>
      </c>
      <c r="D158" s="338">
        <f>SUM(D151:D157)</f>
        <v>2649703</v>
      </c>
    </row>
    <row r="159" spans="1:4" ht="16.5" thickTop="1">
      <c r="A159" s="339" t="s">
        <v>28</v>
      </c>
      <c r="B159" s="340"/>
      <c r="C159" s="340"/>
      <c r="D159" s="340"/>
    </row>
    <row r="160" spans="1:4" ht="15.75">
      <c r="A160" s="718"/>
      <c r="B160" s="718"/>
      <c r="C160" s="718"/>
      <c r="D160" s="718"/>
    </row>
    <row r="161" spans="1:4" ht="15.75">
      <c r="A161" s="104"/>
      <c r="B161" s="104"/>
      <c r="C161" s="104"/>
      <c r="D161" s="104"/>
    </row>
    <row r="162" spans="1:4" ht="15.75">
      <c r="A162" s="104"/>
      <c r="B162" s="104"/>
      <c r="C162" s="104"/>
      <c r="D162" s="104"/>
    </row>
    <row r="163" spans="1:4" ht="15.75">
      <c r="A163" s="104"/>
      <c r="B163" s="104"/>
      <c r="C163" s="104"/>
      <c r="D163" s="104"/>
    </row>
    <row r="164" spans="1:4" ht="15.75">
      <c r="A164" s="104"/>
      <c r="B164" s="104"/>
      <c r="C164" s="104"/>
      <c r="D164" s="104"/>
    </row>
    <row r="165" spans="1:4" ht="15.75">
      <c r="A165" s="104"/>
      <c r="B165" s="104"/>
      <c r="C165" s="104"/>
      <c r="D165" s="104"/>
    </row>
    <row r="166" spans="1:4" ht="15.75">
      <c r="A166" s="718" t="s">
        <v>284</v>
      </c>
      <c r="B166" s="718"/>
      <c r="C166" s="718"/>
      <c r="D166" s="718"/>
    </row>
    <row r="167" spans="2:4" ht="15.75">
      <c r="B167" s="341"/>
      <c r="C167" s="341"/>
      <c r="D167" s="341"/>
    </row>
    <row r="168" spans="2:4" ht="15.75">
      <c r="B168" s="341"/>
      <c r="C168" s="341"/>
      <c r="D168" s="341"/>
    </row>
    <row r="169" spans="2:4" ht="15.75">
      <c r="B169" s="341"/>
      <c r="C169" s="341"/>
      <c r="D169" s="341"/>
    </row>
    <row r="170" spans="2:4" ht="15.75">
      <c r="B170" s="341"/>
      <c r="C170" s="341"/>
      <c r="D170" s="341"/>
    </row>
    <row r="171" spans="2:4" ht="15.75">
      <c r="B171" s="341"/>
      <c r="C171" s="341"/>
      <c r="D171" s="341"/>
    </row>
    <row r="172" spans="2:4" ht="15.75">
      <c r="B172" s="341"/>
      <c r="C172" s="341"/>
      <c r="D172" s="341"/>
    </row>
    <row r="173" spans="2:4" ht="15.75">
      <c r="B173" s="341"/>
      <c r="C173" s="341"/>
      <c r="D173" s="341"/>
    </row>
    <row r="174" spans="2:4" ht="15.75">
      <c r="B174" s="341"/>
      <c r="C174" s="341"/>
      <c r="D174" s="341"/>
    </row>
    <row r="175" spans="2:4" ht="15.75">
      <c r="B175" s="341"/>
      <c r="C175" s="341"/>
      <c r="D175" s="341"/>
    </row>
    <row r="176" spans="2:4" ht="15.75">
      <c r="B176" s="341"/>
      <c r="C176" s="341"/>
      <c r="D176" s="341"/>
    </row>
    <row r="177" spans="2:4" ht="15.75">
      <c r="B177" s="341"/>
      <c r="C177" s="341"/>
      <c r="D177" s="341"/>
    </row>
    <row r="178" spans="2:4" ht="15.75">
      <c r="B178" s="341"/>
      <c r="C178" s="341"/>
      <c r="D178" s="341"/>
    </row>
    <row r="179" spans="2:4" ht="15.75">
      <c r="B179" s="341"/>
      <c r="C179" s="341"/>
      <c r="D179" s="341"/>
    </row>
    <row r="180" spans="2:4" ht="15.75">
      <c r="B180" s="341"/>
      <c r="C180" s="341"/>
      <c r="D180" s="341"/>
    </row>
    <row r="181" spans="2:4" ht="15.75">
      <c r="B181" s="341"/>
      <c r="C181" s="341"/>
      <c r="D181" s="341"/>
    </row>
    <row r="182" spans="2:4" ht="15.75">
      <c r="B182" s="341"/>
      <c r="C182" s="341"/>
      <c r="D182" s="341"/>
    </row>
    <row r="183" spans="2:4" ht="15.75">
      <c r="B183" s="341"/>
      <c r="C183" s="341"/>
      <c r="D183" s="341"/>
    </row>
    <row r="184" spans="2:4" ht="15.75">
      <c r="B184" s="341"/>
      <c r="C184" s="341"/>
      <c r="D184" s="341"/>
    </row>
    <row r="185" spans="2:4" ht="15.75">
      <c r="B185" s="341"/>
      <c r="C185" s="341"/>
      <c r="D185" s="341"/>
    </row>
    <row r="186" spans="2:4" ht="15.75">
      <c r="B186" s="341"/>
      <c r="C186" s="341"/>
      <c r="D186" s="341"/>
    </row>
    <row r="187" spans="2:4" ht="15.75">
      <c r="B187" s="341"/>
      <c r="C187" s="341"/>
      <c r="D187" s="341"/>
    </row>
    <row r="188" spans="2:4" ht="15.75">
      <c r="B188" s="341"/>
      <c r="C188" s="341"/>
      <c r="D188" s="341"/>
    </row>
    <row r="189" spans="2:4" ht="15.75">
      <c r="B189" s="341"/>
      <c r="C189" s="341"/>
      <c r="D189" s="341"/>
    </row>
    <row r="190" spans="2:4" ht="15.75">
      <c r="B190" s="341"/>
      <c r="C190" s="341"/>
      <c r="D190" s="341"/>
    </row>
    <row r="191" spans="2:4" ht="15.75">
      <c r="B191" s="341"/>
      <c r="C191" s="341"/>
      <c r="D191" s="341"/>
    </row>
    <row r="192" spans="2:4" ht="15.75">
      <c r="B192" s="341"/>
      <c r="C192" s="341"/>
      <c r="D192" s="341"/>
    </row>
    <row r="193" spans="2:4" ht="15.75">
      <c r="B193" s="341"/>
      <c r="C193" s="341"/>
      <c r="D193" s="341"/>
    </row>
    <row r="194" spans="2:4" ht="15.75">
      <c r="B194" s="341"/>
      <c r="C194" s="341"/>
      <c r="D194" s="341"/>
    </row>
    <row r="195" spans="2:4" ht="15.75">
      <c r="B195" s="341"/>
      <c r="C195" s="341"/>
      <c r="D195" s="341"/>
    </row>
    <row r="196" spans="2:4" ht="15.75">
      <c r="B196" s="341"/>
      <c r="C196" s="341"/>
      <c r="D196" s="341"/>
    </row>
    <row r="197" spans="2:4" ht="15.75">
      <c r="B197" s="341"/>
      <c r="C197" s="341"/>
      <c r="D197" s="341"/>
    </row>
    <row r="198" spans="2:4" ht="15.75">
      <c r="B198" s="341"/>
      <c r="C198" s="341"/>
      <c r="D198" s="341"/>
    </row>
    <row r="199" spans="2:4" ht="15.75">
      <c r="B199" s="341"/>
      <c r="C199" s="341"/>
      <c r="D199" s="341"/>
    </row>
    <row r="200" spans="2:4" ht="15.75">
      <c r="B200" s="341"/>
      <c r="C200" s="341"/>
      <c r="D200" s="341"/>
    </row>
    <row r="201" spans="2:4" ht="15.75">
      <c r="B201" s="341"/>
      <c r="C201" s="341"/>
      <c r="D201" s="341"/>
    </row>
    <row r="202" spans="2:4" ht="15.75">
      <c r="B202" s="341"/>
      <c r="C202" s="341"/>
      <c r="D202" s="341"/>
    </row>
    <row r="203" spans="2:4" ht="15.75">
      <c r="B203" s="341"/>
      <c r="C203" s="341"/>
      <c r="D203" s="341"/>
    </row>
    <row r="204" spans="2:4" ht="15.75">
      <c r="B204" s="341"/>
      <c r="C204" s="341"/>
      <c r="D204" s="341"/>
    </row>
    <row r="205" spans="2:4" ht="15.75">
      <c r="B205" s="341"/>
      <c r="C205" s="341"/>
      <c r="D205" s="341"/>
    </row>
    <row r="206" spans="2:4" ht="15.75">
      <c r="B206" s="341"/>
      <c r="C206" s="341"/>
      <c r="D206" s="341"/>
    </row>
    <row r="207" spans="2:4" ht="15.75">
      <c r="B207" s="341"/>
      <c r="C207" s="341"/>
      <c r="D207" s="341"/>
    </row>
    <row r="208" spans="2:4" ht="15.75">
      <c r="B208" s="341"/>
      <c r="C208" s="341"/>
      <c r="D208" s="341"/>
    </row>
    <row r="209" spans="2:4" ht="15.75">
      <c r="B209" s="341"/>
      <c r="C209" s="341"/>
      <c r="D209" s="341"/>
    </row>
    <row r="210" spans="2:4" ht="15.75">
      <c r="B210" s="341"/>
      <c r="C210" s="341"/>
      <c r="D210" s="341"/>
    </row>
    <row r="211" spans="2:4" ht="15.75">
      <c r="B211" s="341"/>
      <c r="C211" s="341"/>
      <c r="D211" s="341"/>
    </row>
    <row r="212" spans="2:4" ht="15.75">
      <c r="B212" s="341"/>
      <c r="C212" s="341"/>
      <c r="D212" s="341"/>
    </row>
    <row r="213" spans="2:4" ht="15.75">
      <c r="B213" s="341"/>
      <c r="C213" s="341"/>
      <c r="D213" s="341"/>
    </row>
    <row r="214" spans="2:4" ht="15.75">
      <c r="B214" s="341"/>
      <c r="C214" s="341"/>
      <c r="D214" s="341"/>
    </row>
    <row r="215" spans="2:4" ht="15.75">
      <c r="B215" s="341"/>
      <c r="C215" s="341"/>
      <c r="D215" s="341"/>
    </row>
    <row r="216" spans="2:4" ht="15.75">
      <c r="B216" s="341"/>
      <c r="C216" s="341"/>
      <c r="D216" s="341"/>
    </row>
    <row r="217" spans="2:4" ht="15.75">
      <c r="B217" s="341"/>
      <c r="C217" s="341"/>
      <c r="D217" s="341"/>
    </row>
    <row r="218" spans="2:4" ht="15.75">
      <c r="B218" s="341"/>
      <c r="C218" s="341"/>
      <c r="D218" s="341"/>
    </row>
    <row r="219" spans="2:4" ht="15.75">
      <c r="B219" s="341"/>
      <c r="C219" s="341"/>
      <c r="D219" s="341"/>
    </row>
    <row r="220" spans="2:4" ht="15.75">
      <c r="B220" s="341"/>
      <c r="C220" s="341"/>
      <c r="D220" s="341"/>
    </row>
    <row r="221" spans="2:4" ht="15.75">
      <c r="B221" s="341"/>
      <c r="C221" s="341"/>
      <c r="D221" s="341"/>
    </row>
    <row r="222" spans="2:4" ht="15.75">
      <c r="B222" s="341"/>
      <c r="C222" s="341"/>
      <c r="D222" s="341"/>
    </row>
    <row r="223" spans="2:4" ht="15.75">
      <c r="B223" s="341"/>
      <c r="C223" s="341"/>
      <c r="D223" s="341"/>
    </row>
    <row r="224" spans="2:4" ht="15.75">
      <c r="B224" s="341"/>
      <c r="C224" s="341"/>
      <c r="D224" s="341"/>
    </row>
    <row r="225" spans="2:4" ht="15.75">
      <c r="B225" s="341"/>
      <c r="C225" s="341"/>
      <c r="D225" s="341"/>
    </row>
    <row r="226" spans="2:4" ht="15.75">
      <c r="B226" s="341"/>
      <c r="C226" s="341"/>
      <c r="D226" s="341"/>
    </row>
    <row r="227" spans="2:4" ht="15.75">
      <c r="B227" s="341"/>
      <c r="C227" s="341"/>
      <c r="D227" s="341"/>
    </row>
    <row r="228" spans="2:4" ht="15.75">
      <c r="B228" s="341"/>
      <c r="C228" s="341"/>
      <c r="D228" s="341"/>
    </row>
    <row r="229" spans="2:4" ht="15.75">
      <c r="B229" s="341"/>
      <c r="C229" s="341"/>
      <c r="D229" s="341"/>
    </row>
    <row r="230" spans="2:4" ht="15.75">
      <c r="B230" s="341"/>
      <c r="C230" s="341"/>
      <c r="D230" s="341"/>
    </row>
    <row r="231" spans="2:4" ht="15.75">
      <c r="B231" s="341"/>
      <c r="C231" s="341"/>
      <c r="D231" s="341"/>
    </row>
    <row r="232" spans="2:4" ht="15.75">
      <c r="B232" s="341"/>
      <c r="C232" s="341"/>
      <c r="D232" s="341"/>
    </row>
    <row r="233" spans="2:4" ht="15.75">
      <c r="B233" s="341"/>
      <c r="C233" s="341"/>
      <c r="D233" s="341"/>
    </row>
    <row r="234" spans="2:4" ht="15.75">
      <c r="B234" s="341"/>
      <c r="C234" s="341"/>
      <c r="D234" s="341"/>
    </row>
    <row r="235" spans="2:4" ht="15.75">
      <c r="B235" s="341"/>
      <c r="C235" s="341"/>
      <c r="D235" s="341"/>
    </row>
    <row r="236" spans="2:4" ht="15.75">
      <c r="B236" s="341"/>
      <c r="C236" s="341"/>
      <c r="D236" s="341"/>
    </row>
    <row r="237" spans="2:4" ht="15.75">
      <c r="B237" s="341"/>
      <c r="C237" s="341"/>
      <c r="D237" s="341"/>
    </row>
    <row r="238" spans="2:4" ht="15.75">
      <c r="B238" s="341"/>
      <c r="C238" s="341"/>
      <c r="D238" s="341"/>
    </row>
    <row r="239" spans="2:4" ht="15.75">
      <c r="B239" s="341"/>
      <c r="C239" s="341"/>
      <c r="D239" s="341"/>
    </row>
    <row r="240" spans="2:4" ht="15.75">
      <c r="B240" s="341"/>
      <c r="C240" s="341"/>
      <c r="D240" s="341"/>
    </row>
    <row r="241" spans="2:4" ht="15.75">
      <c r="B241" s="341"/>
      <c r="C241" s="341"/>
      <c r="D241" s="341"/>
    </row>
    <row r="242" spans="2:4" ht="15.75">
      <c r="B242" s="341"/>
      <c r="C242" s="341"/>
      <c r="D242" s="341"/>
    </row>
    <row r="243" spans="2:4" ht="15.75">
      <c r="B243" s="341"/>
      <c r="C243" s="341"/>
      <c r="D243" s="341"/>
    </row>
    <row r="244" spans="2:4" ht="15.75">
      <c r="B244" s="341"/>
      <c r="C244" s="341"/>
      <c r="D244" s="341"/>
    </row>
    <row r="245" spans="2:4" ht="15.75">
      <c r="B245" s="341"/>
      <c r="C245" s="341"/>
      <c r="D245" s="341"/>
    </row>
    <row r="246" spans="2:4" ht="15.75">
      <c r="B246" s="341"/>
      <c r="C246" s="341"/>
      <c r="D246" s="341"/>
    </row>
    <row r="247" spans="2:4" ht="15.75">
      <c r="B247" s="341"/>
      <c r="C247" s="341"/>
      <c r="D247" s="341"/>
    </row>
    <row r="248" spans="2:4" ht="15.75">
      <c r="B248" s="341"/>
      <c r="C248" s="341"/>
      <c r="D248" s="341"/>
    </row>
    <row r="249" spans="2:4" ht="15.75">
      <c r="B249" s="341"/>
      <c r="C249" s="341"/>
      <c r="D249" s="341"/>
    </row>
    <row r="250" spans="2:4" ht="15.75">
      <c r="B250" s="341"/>
      <c r="C250" s="341"/>
      <c r="D250" s="341"/>
    </row>
    <row r="251" spans="2:4" ht="15.75">
      <c r="B251" s="341"/>
      <c r="C251" s="341"/>
      <c r="D251" s="341"/>
    </row>
    <row r="252" spans="2:4" ht="15.75">
      <c r="B252" s="341"/>
      <c r="C252" s="341"/>
      <c r="D252" s="341"/>
    </row>
    <row r="253" spans="2:4" ht="15.75">
      <c r="B253" s="341"/>
      <c r="C253" s="341"/>
      <c r="D253" s="341"/>
    </row>
    <row r="254" spans="2:4" ht="15.75">
      <c r="B254" s="341"/>
      <c r="C254" s="341"/>
      <c r="D254" s="341"/>
    </row>
    <row r="255" spans="2:4" ht="15.75">
      <c r="B255" s="341"/>
      <c r="C255" s="341"/>
      <c r="D255" s="341"/>
    </row>
    <row r="256" spans="2:4" ht="15.75">
      <c r="B256" s="341"/>
      <c r="C256" s="341"/>
      <c r="D256" s="341"/>
    </row>
    <row r="257" spans="2:4" ht="15.75">
      <c r="B257" s="341"/>
      <c r="C257" s="341"/>
      <c r="D257" s="341"/>
    </row>
    <row r="258" spans="2:4" ht="15.75">
      <c r="B258" s="341"/>
      <c r="C258" s="341"/>
      <c r="D258" s="341"/>
    </row>
    <row r="259" spans="2:4" ht="15.75">
      <c r="B259" s="341"/>
      <c r="C259" s="341"/>
      <c r="D259" s="341"/>
    </row>
    <row r="260" spans="2:4" ht="15.75">
      <c r="B260" s="341"/>
      <c r="C260" s="341"/>
      <c r="D260" s="341"/>
    </row>
    <row r="261" spans="2:4" ht="15.75">
      <c r="B261" s="341"/>
      <c r="C261" s="341"/>
      <c r="D261" s="341"/>
    </row>
    <row r="262" spans="2:4" ht="15.75">
      <c r="B262" s="341"/>
      <c r="C262" s="341"/>
      <c r="D262" s="341"/>
    </row>
    <row r="263" spans="2:4" ht="15.75">
      <c r="B263" s="341"/>
      <c r="C263" s="341"/>
      <c r="D263" s="341"/>
    </row>
    <row r="264" spans="2:4" ht="15.75">
      <c r="B264" s="341"/>
      <c r="C264" s="341"/>
      <c r="D264" s="341"/>
    </row>
    <row r="265" spans="2:4" ht="15.75">
      <c r="B265" s="341"/>
      <c r="C265" s="341"/>
      <c r="D265" s="341"/>
    </row>
    <row r="266" spans="2:4" ht="15.75">
      <c r="B266" s="341"/>
      <c r="C266" s="341"/>
      <c r="D266" s="341"/>
    </row>
    <row r="267" spans="2:4" ht="15.75">
      <c r="B267" s="341"/>
      <c r="C267" s="341"/>
      <c r="D267" s="341"/>
    </row>
    <row r="268" spans="2:4" ht="15.75">
      <c r="B268" s="341"/>
      <c r="C268" s="341"/>
      <c r="D268" s="341"/>
    </row>
  </sheetData>
  <sheetProtection/>
  <mergeCells count="4">
    <mergeCell ref="A55:D55"/>
    <mergeCell ref="A111:D111"/>
    <mergeCell ref="A160:D160"/>
    <mergeCell ref="A166:D166"/>
  </mergeCells>
  <printOptions/>
  <pageMargins left="0.75" right="0.5" top="0.74" bottom="0.34" header="0.5" footer="0"/>
  <pageSetup blackAndWhite="1" horizontalDpi="120" verticalDpi="120" orientation="portrait" scale="82" r:id="rId1"/>
  <headerFooter alignWithMargins="0">
    <oddHeader>&amp;RState of Kansas
County
</oddHeader>
  </headerFooter>
  <rowBreaks count="2" manualBreakCount="2">
    <brk id="55" max="255" man="1"/>
    <brk id="111" max="3" man="1"/>
  </rowBreaks>
</worksheet>
</file>

<file path=xl/worksheets/sheet15.xml><?xml version="1.0" encoding="utf-8"?>
<worksheet xmlns="http://schemas.openxmlformats.org/spreadsheetml/2006/main" xmlns:r="http://schemas.openxmlformats.org/officeDocument/2006/relationships">
  <dimension ref="B1:J61"/>
  <sheetViews>
    <sheetView zoomScalePageLayoutView="0" workbookViewId="0" topLeftCell="A1">
      <selection activeCell="C47" sqref="C47"/>
    </sheetView>
  </sheetViews>
  <sheetFormatPr defaultColWidth="8.796875" defaultRowHeight="15"/>
  <cols>
    <col min="1" max="1" width="2.3984375" style="75" customWidth="1"/>
    <col min="2" max="2" width="35.296875" style="75" customWidth="1"/>
    <col min="3" max="5" width="17.09765625" style="75" customWidth="1"/>
    <col min="6" max="6" width="7.59765625" style="75" customWidth="1"/>
    <col min="7" max="7" width="7.09765625" style="75" customWidth="1"/>
    <col min="8" max="8" width="8.8984375" style="75" customWidth="1"/>
    <col min="9" max="9" width="5" style="75" customWidth="1"/>
    <col min="10" max="10" width="7.796875" style="75" customWidth="1"/>
    <col min="11" max="16384" width="8.8984375" style="75" customWidth="1"/>
  </cols>
  <sheetData>
    <row r="1" spans="2:5" ht="15.75">
      <c r="B1" s="237" t="str">
        <f>inputPrYr!C2</f>
        <v>Sheridan County</v>
      </c>
      <c r="C1" s="88"/>
      <c r="D1" s="88"/>
      <c r="E1" s="296">
        <f>inputPrYr!C4</f>
        <v>2012</v>
      </c>
    </row>
    <row r="2" spans="2:5" ht="15.75">
      <c r="B2" s="88"/>
      <c r="C2" s="88"/>
      <c r="D2" s="88"/>
      <c r="E2" s="249"/>
    </row>
    <row r="3" spans="2:5" ht="15.75">
      <c r="B3" s="155" t="s">
        <v>230</v>
      </c>
      <c r="C3" s="88"/>
      <c r="D3" s="88"/>
      <c r="E3" s="310"/>
    </row>
    <row r="4" spans="2:5" ht="15.75">
      <c r="B4" s="311" t="s">
        <v>157</v>
      </c>
      <c r="C4" s="464" t="s">
        <v>184</v>
      </c>
      <c r="D4" s="463" t="s">
        <v>318</v>
      </c>
      <c r="E4" s="465" t="str">
        <f>general!E4</f>
        <v>Proposed Budget Year</v>
      </c>
    </row>
    <row r="5" spans="2:5" ht="15.75">
      <c r="B5" s="489" t="str">
        <f>inputPrYr!B18</f>
        <v>Road &amp; Bridge</v>
      </c>
      <c r="C5" s="271">
        <f>E1-2</f>
        <v>2010</v>
      </c>
      <c r="D5" s="271">
        <f>E1-1</f>
        <v>2011</v>
      </c>
      <c r="E5" s="312">
        <f>E1</f>
        <v>2012</v>
      </c>
    </row>
    <row r="6" spans="2:5" ht="15.75">
      <c r="B6" s="313" t="s">
        <v>270</v>
      </c>
      <c r="C6" s="448">
        <v>451238</v>
      </c>
      <c r="D6" s="452">
        <f>C42</f>
        <v>685792</v>
      </c>
      <c r="E6" s="275">
        <f>D42</f>
        <v>217702</v>
      </c>
    </row>
    <row r="7" spans="2:5" ht="15.75">
      <c r="B7" s="300" t="s">
        <v>272</v>
      </c>
      <c r="C7" s="315"/>
      <c r="D7" s="315"/>
      <c r="E7" s="130"/>
    </row>
    <row r="8" spans="2:5" ht="15.75">
      <c r="B8" s="313" t="s">
        <v>865</v>
      </c>
      <c r="C8" s="448">
        <v>1180900</v>
      </c>
      <c r="D8" s="452">
        <f>inputPrYr!E18</f>
        <v>825050</v>
      </c>
      <c r="E8" s="230" t="s">
        <v>144</v>
      </c>
    </row>
    <row r="9" spans="2:5" ht="15.75">
      <c r="B9" s="313" t="s">
        <v>866</v>
      </c>
      <c r="C9" s="448">
        <v>10490</v>
      </c>
      <c r="D9" s="448">
        <v>6156</v>
      </c>
      <c r="E9" s="316">
        <v>7500</v>
      </c>
    </row>
    <row r="10" spans="2:5" ht="15.75">
      <c r="B10" s="313" t="s">
        <v>867</v>
      </c>
      <c r="C10" s="448">
        <v>95608</v>
      </c>
      <c r="D10" s="448">
        <v>137493</v>
      </c>
      <c r="E10" s="130">
        <f>mvalloc!D10</f>
        <v>86648</v>
      </c>
    </row>
    <row r="11" spans="2:5" ht="15.75">
      <c r="B11" s="313" t="s">
        <v>868</v>
      </c>
      <c r="C11" s="448">
        <v>1995</v>
      </c>
      <c r="D11" s="448">
        <v>2902</v>
      </c>
      <c r="E11" s="130">
        <f>mvalloc!E10</f>
        <v>1867</v>
      </c>
    </row>
    <row r="12" spans="2:5" ht="15.75">
      <c r="B12" s="315" t="s">
        <v>869</v>
      </c>
      <c r="C12" s="448">
        <v>15282</v>
      </c>
      <c r="D12" s="448">
        <v>16636</v>
      </c>
      <c r="E12" s="130">
        <f>mvalloc!F10</f>
        <v>12171</v>
      </c>
    </row>
    <row r="13" spans="2:5" ht="15.75">
      <c r="B13" s="349" t="s">
        <v>938</v>
      </c>
      <c r="C13" s="448">
        <v>267805</v>
      </c>
      <c r="D13" s="448">
        <v>268497</v>
      </c>
      <c r="E13" s="150">
        <v>266590</v>
      </c>
    </row>
    <row r="14" spans="2:5" ht="15.75">
      <c r="B14" s="349" t="s">
        <v>939</v>
      </c>
      <c r="C14" s="448"/>
      <c r="D14" s="448">
        <v>176</v>
      </c>
      <c r="E14" s="150"/>
    </row>
    <row r="15" spans="2:5" ht="15.75">
      <c r="B15" s="350" t="s">
        <v>940</v>
      </c>
      <c r="C15" s="448">
        <v>15409</v>
      </c>
      <c r="D15" s="448">
        <v>183000</v>
      </c>
      <c r="E15" s="150"/>
    </row>
    <row r="16" spans="2:5" ht="15.75">
      <c r="B16" s="317" t="s">
        <v>891</v>
      </c>
      <c r="C16" s="448">
        <v>7241</v>
      </c>
      <c r="D16" s="448">
        <v>67536</v>
      </c>
      <c r="E16" s="316"/>
    </row>
    <row r="17" spans="2:5" ht="15.75">
      <c r="B17" s="317"/>
      <c r="C17" s="448"/>
      <c r="D17" s="448"/>
      <c r="E17" s="316"/>
    </row>
    <row r="18" spans="2:5" ht="15.75">
      <c r="B18" s="317"/>
      <c r="C18" s="448"/>
      <c r="D18" s="448"/>
      <c r="E18" s="316"/>
    </row>
    <row r="19" spans="2:5" ht="15.75">
      <c r="B19" s="317"/>
      <c r="C19" s="448"/>
      <c r="D19" s="448"/>
      <c r="E19" s="316"/>
    </row>
    <row r="20" spans="2:5" ht="15.75">
      <c r="B20" s="317"/>
      <c r="C20" s="448"/>
      <c r="D20" s="448"/>
      <c r="E20" s="316"/>
    </row>
    <row r="21" spans="2:5" ht="15.75">
      <c r="B21" s="317"/>
      <c r="C21" s="448"/>
      <c r="D21" s="448"/>
      <c r="E21" s="316"/>
    </row>
    <row r="22" spans="2:5" ht="15.75">
      <c r="B22" s="319" t="s">
        <v>673</v>
      </c>
      <c r="C22" s="449">
        <f>IF(C23*0.1&lt;C16,"Exceed 10% Rule","")</f>
      </c>
      <c r="D22" s="449">
        <f>IF(D23*0.1&lt;D16,"Exceed 10% Rule","")</f>
      </c>
      <c r="E22" s="346">
        <f>IF(E23*0.1+E48&lt;E16,"Exceed 10% Rule","")</f>
      </c>
    </row>
    <row r="23" spans="2:5" ht="15.75">
      <c r="B23" s="321" t="s">
        <v>158</v>
      </c>
      <c r="C23" s="450">
        <f>SUM(C8:C21)</f>
        <v>1594730</v>
      </c>
      <c r="D23" s="450">
        <f>SUM(D8:D21)</f>
        <v>1507446</v>
      </c>
      <c r="E23" s="351">
        <f>SUM(E9:E21)</f>
        <v>374776</v>
      </c>
    </row>
    <row r="24" spans="2:5" ht="15.75">
      <c r="B24" s="321" t="s">
        <v>159</v>
      </c>
      <c r="C24" s="450">
        <f>C6+C23</f>
        <v>2045968</v>
      </c>
      <c r="D24" s="450">
        <f>D6+D23</f>
        <v>2193238</v>
      </c>
      <c r="E24" s="351">
        <f>E6+E23</f>
        <v>592478</v>
      </c>
    </row>
    <row r="25" spans="2:5" ht="15.75">
      <c r="B25" s="313" t="s">
        <v>162</v>
      </c>
      <c r="C25" s="315"/>
      <c r="D25" s="315"/>
      <c r="E25" s="130"/>
    </row>
    <row r="26" spans="2:5" ht="15.75">
      <c r="B26" s="353" t="s">
        <v>911</v>
      </c>
      <c r="C26" s="448">
        <v>421667</v>
      </c>
      <c r="D26" s="448">
        <v>450000</v>
      </c>
      <c r="E26" s="150">
        <v>550000</v>
      </c>
    </row>
    <row r="27" spans="2:5" ht="15.75">
      <c r="B27" s="353" t="s">
        <v>915</v>
      </c>
      <c r="C27" s="448">
        <v>413509</v>
      </c>
      <c r="D27" s="448">
        <v>1050536</v>
      </c>
      <c r="E27" s="150">
        <v>900000</v>
      </c>
    </row>
    <row r="28" spans="2:5" ht="15.75">
      <c r="B28" s="353"/>
      <c r="C28" s="448"/>
      <c r="D28" s="448"/>
      <c r="E28" s="150"/>
    </row>
    <row r="29" spans="2:5" ht="15.75">
      <c r="B29" s="353" t="s">
        <v>942</v>
      </c>
      <c r="C29" s="448"/>
      <c r="D29" s="448"/>
      <c r="E29" s="150"/>
    </row>
    <row r="30" spans="2:5" ht="15.75">
      <c r="B30" s="353" t="s">
        <v>943</v>
      </c>
      <c r="C30" s="448"/>
      <c r="D30" s="448"/>
      <c r="E30" s="150">
        <v>12500</v>
      </c>
    </row>
    <row r="31" spans="2:5" ht="15.75">
      <c r="B31" s="353" t="s">
        <v>944</v>
      </c>
      <c r="C31" s="448">
        <v>350000</v>
      </c>
      <c r="D31" s="448">
        <v>300000</v>
      </c>
      <c r="E31" s="150">
        <v>425000</v>
      </c>
    </row>
    <row r="32" spans="2:5" ht="15.75">
      <c r="B32" s="353" t="s">
        <v>945</v>
      </c>
      <c r="C32" s="448">
        <v>175000</v>
      </c>
      <c r="D32" s="448">
        <v>175000</v>
      </c>
      <c r="E32" s="150">
        <v>175000</v>
      </c>
    </row>
    <row r="33" spans="2:5" ht="15.75">
      <c r="B33" s="353"/>
      <c r="C33" s="448"/>
      <c r="D33" s="448"/>
      <c r="E33" s="150"/>
    </row>
    <row r="34" spans="2:5" ht="15.75">
      <c r="B34" s="353"/>
      <c r="C34" s="448"/>
      <c r="D34" s="448"/>
      <c r="E34" s="150"/>
    </row>
    <row r="35" spans="2:5" ht="15.75">
      <c r="B35" s="353"/>
      <c r="C35" s="448"/>
      <c r="D35" s="448"/>
      <c r="E35" s="150"/>
    </row>
    <row r="36" spans="2:5" ht="15.75">
      <c r="B36" s="353"/>
      <c r="C36" s="448"/>
      <c r="D36" s="448"/>
      <c r="E36" s="150"/>
    </row>
    <row r="37" spans="2:5" ht="15.75">
      <c r="B37" s="327"/>
      <c r="C37" s="448"/>
      <c r="D37" s="448"/>
      <c r="E37" s="316"/>
    </row>
    <row r="38" spans="2:5" ht="15.75">
      <c r="B38" s="319"/>
      <c r="C38" s="448"/>
      <c r="D38" s="448"/>
      <c r="E38" s="328">
        <f>Nhood!E7</f>
        <v>1194</v>
      </c>
    </row>
    <row r="39" spans="2:5" ht="15.75">
      <c r="B39" s="319" t="s">
        <v>73</v>
      </c>
      <c r="C39" s="448"/>
      <c r="D39" s="448"/>
      <c r="E39" s="316"/>
    </row>
    <row r="40" spans="2:10" ht="15.75">
      <c r="B40" s="319" t="s">
        <v>672</v>
      </c>
      <c r="C40" s="449">
        <f>IF(C41*0.1&lt;C39,"Exceed 10% Rule","")</f>
      </c>
      <c r="D40" s="449">
        <f>IF(D41*0.1&lt;D39,"Exceed 10% Rule","")</f>
      </c>
      <c r="E40" s="346">
        <f>IF(E41*0.1&lt;E39,"Exceed 10% Rule","")</f>
      </c>
      <c r="G40" s="711" t="str">
        <f>CONCATENATE("Projected Carryover Into ",E1+1,"")</f>
        <v>Projected Carryover Into 2013</v>
      </c>
      <c r="H40" s="712"/>
      <c r="I40" s="712"/>
      <c r="J40" s="713"/>
    </row>
    <row r="41" spans="2:10" ht="15.75">
      <c r="B41" s="321" t="s">
        <v>163</v>
      </c>
      <c r="C41" s="450">
        <f>SUM(C26:C39)</f>
        <v>1360176</v>
      </c>
      <c r="D41" s="450">
        <f>SUM(D26:D39)</f>
        <v>1975536</v>
      </c>
      <c r="E41" s="351">
        <f>SUM(E26:E39)</f>
        <v>2063694</v>
      </c>
      <c r="G41" s="522"/>
      <c r="H41" s="521"/>
      <c r="I41" s="521"/>
      <c r="J41" s="523"/>
    </row>
    <row r="42" spans="2:10" ht="15.75">
      <c r="B42" s="151" t="s">
        <v>271</v>
      </c>
      <c r="C42" s="453">
        <f>C24-C41</f>
        <v>685792</v>
      </c>
      <c r="D42" s="453">
        <f>D24-D41</f>
        <v>217702</v>
      </c>
      <c r="E42" s="230" t="s">
        <v>144</v>
      </c>
      <c r="G42" s="508">
        <f>D42</f>
        <v>217702</v>
      </c>
      <c r="H42" s="506" t="str">
        <f>CONCATENATE("",E1-1," Ending Cash Balance (est.)")</f>
        <v>2011 Ending Cash Balance (est.)</v>
      </c>
      <c r="I42" s="505"/>
      <c r="J42" s="523"/>
    </row>
    <row r="43" spans="2:10" ht="15.75">
      <c r="B43" s="297" t="str">
        <f>CONCATENATE("",E$1-2,"/",E$1-1," Budget Authority Amount:")</f>
        <v>2010/2011 Budget Authority Amount:</v>
      </c>
      <c r="C43" s="289">
        <f>inputOth!$B33</f>
        <v>1732500</v>
      </c>
      <c r="D43" s="289">
        <f>inputPrYr!D18</f>
        <v>1987500</v>
      </c>
      <c r="E43" s="230" t="s">
        <v>144</v>
      </c>
      <c r="F43" s="329"/>
      <c r="G43" s="508">
        <f>E23</f>
        <v>374776</v>
      </c>
      <c r="H43" s="504" t="str">
        <f>CONCATENATE("",E1," Non-AV Receipts (est.)")</f>
        <v>2012 Non-AV Receipts (est.)</v>
      </c>
      <c r="I43" s="505"/>
      <c r="J43" s="523"/>
    </row>
    <row r="44" spans="2:10" ht="15.75">
      <c r="B44" s="297"/>
      <c r="C44" s="707" t="s">
        <v>675</v>
      </c>
      <c r="D44" s="708"/>
      <c r="E44" s="115"/>
      <c r="F44" s="507">
        <f>IF(E41/0.95-E41&lt;E44,"Exceeds 5%","")</f>
      </c>
      <c r="G44" s="503">
        <f>E48</f>
        <v>1485928.16</v>
      </c>
      <c r="H44" s="504" t="str">
        <f>CONCATENATE("",E1," Ad Valorem Tax (est.)")</f>
        <v>2012 Ad Valorem Tax (est.)</v>
      </c>
      <c r="I44" s="505"/>
      <c r="J44" s="523"/>
    </row>
    <row r="45" spans="2:10" ht="15.75">
      <c r="B45" s="511" t="str">
        <f>CONCATENATE(C60,"     ",D60)</f>
        <v>     </v>
      </c>
      <c r="C45" s="709" t="s">
        <v>676</v>
      </c>
      <c r="D45" s="710"/>
      <c r="E45" s="275">
        <f>E41+E44</f>
        <v>2063694</v>
      </c>
      <c r="G45" s="508">
        <f>SUM(G42:G44)</f>
        <v>2078406.16</v>
      </c>
      <c r="H45" s="504" t="str">
        <f>CONCATENATE("Total ",E1," Resources Available")</f>
        <v>Total 2012 Resources Available</v>
      </c>
      <c r="I45" s="505"/>
      <c r="J45" s="523"/>
    </row>
    <row r="46" spans="2:10" ht="15.75">
      <c r="B46" s="511" t="str">
        <f>CONCATENATE(C61,"     ",D61)</f>
        <v>     </v>
      </c>
      <c r="C46" s="330"/>
      <c r="D46" s="249" t="s">
        <v>164</v>
      </c>
      <c r="E46" s="123">
        <f>IF(E45-E24&gt;0,E45-E24,0)</f>
        <v>1471216</v>
      </c>
      <c r="G46" s="502"/>
      <c r="H46" s="504"/>
      <c r="I46" s="504"/>
      <c r="J46" s="523"/>
    </row>
    <row r="47" spans="2:10" ht="15.75">
      <c r="B47" s="297"/>
      <c r="C47" s="509" t="s">
        <v>677</v>
      </c>
      <c r="D47" s="483">
        <f>inputOth!$E$24</f>
        <v>0.01</v>
      </c>
      <c r="E47" s="275">
        <f>IF(D47&gt;0,(E46*D47),0)</f>
        <v>14712.16</v>
      </c>
      <c r="G47" s="503">
        <f>C41*0.05+C41</f>
        <v>1428184.8</v>
      </c>
      <c r="H47" s="504" t="str">
        <f>CONCATENATE("Less ",E1-2," Expenditures + 5%")</f>
        <v>Less 2010 Expenditures + 5%</v>
      </c>
      <c r="I47" s="505"/>
      <c r="J47" s="523"/>
    </row>
    <row r="48" spans="2:10" ht="15.75">
      <c r="B48" s="88"/>
      <c r="C48" s="716" t="str">
        <f>CONCATENATE("Amount of  ",$E$1-1," Ad Valorem Tax")</f>
        <v>Amount of  2011 Ad Valorem Tax</v>
      </c>
      <c r="D48" s="717"/>
      <c r="E48" s="347">
        <f>E46+E47</f>
        <v>1485928.16</v>
      </c>
      <c r="G48" s="501">
        <f>G45-G47</f>
        <v>650221.3599999999</v>
      </c>
      <c r="H48" s="500" t="str">
        <f>CONCATENATE("Projected ",E1," Carryover (est.)")</f>
        <v>Projected 2012 Carryover (est.)</v>
      </c>
      <c r="I48" s="480"/>
      <c r="J48" s="479"/>
    </row>
    <row r="49" spans="2:5" ht="15.75">
      <c r="B49" s="88"/>
      <c r="C49" s="88"/>
      <c r="D49" s="88"/>
      <c r="E49" s="88"/>
    </row>
    <row r="50" spans="2:5" ht="15.75">
      <c r="B50" s="88"/>
      <c r="C50" s="88"/>
      <c r="D50" s="88"/>
      <c r="E50" s="88"/>
    </row>
    <row r="51" spans="2:5" ht="15.75">
      <c r="B51" s="100"/>
      <c r="C51" s="100" t="s">
        <v>941</v>
      </c>
      <c r="D51" s="352"/>
      <c r="E51" s="352"/>
    </row>
    <row r="60" spans="3:4" ht="15.75" hidden="1">
      <c r="C60" s="75">
        <f>IF(C41&gt;C43,"See Tab A","")</f>
      </c>
      <c r="D60" s="75">
        <f>IF(D41&gt;D43,"See Tab C","")</f>
      </c>
    </row>
    <row r="61" spans="3:4" ht="15.75" hidden="1">
      <c r="C61" s="75">
        <f>IF(C42&lt;0,"See Tab B","")</f>
      </c>
      <c r="D61" s="75">
        <f>IF(D42&lt;0,"See Tab D","")</f>
      </c>
    </row>
  </sheetData>
  <sheetProtection/>
  <mergeCells count="4">
    <mergeCell ref="C44:D44"/>
    <mergeCell ref="C45:D45"/>
    <mergeCell ref="G40:J40"/>
    <mergeCell ref="C48:D48"/>
  </mergeCells>
  <conditionalFormatting sqref="E39">
    <cfRule type="cellIs" priority="2" dxfId="163" operator="greaterThan" stopIfTrue="1">
      <formula>$E$41*0.1</formula>
    </cfRule>
  </conditionalFormatting>
  <conditionalFormatting sqref="E44">
    <cfRule type="cellIs" priority="3" dxfId="163" operator="greaterThan" stopIfTrue="1">
      <formula>$E$41/0.95-$E$41</formula>
    </cfRule>
  </conditionalFormatting>
  <conditionalFormatting sqref="C39">
    <cfRule type="cellIs" priority="7" dxfId="1" operator="greaterThan" stopIfTrue="1">
      <formula>$C$41*0.1</formula>
    </cfRule>
  </conditionalFormatting>
  <conditionalFormatting sqref="D39">
    <cfRule type="cellIs" priority="8" dxfId="1" operator="greaterThan" stopIfTrue="1">
      <formula>$D$41*0.1</formula>
    </cfRule>
  </conditionalFormatting>
  <conditionalFormatting sqref="C41">
    <cfRule type="cellIs" priority="9" dxfId="1" operator="greaterThan" stopIfTrue="1">
      <formula>$C$43</formula>
    </cfRule>
  </conditionalFormatting>
  <conditionalFormatting sqref="C42">
    <cfRule type="cellIs" priority="10" dxfId="1" operator="lessThan" stopIfTrue="1">
      <formula>0</formula>
    </cfRule>
  </conditionalFormatting>
  <conditionalFormatting sqref="D41">
    <cfRule type="cellIs" priority="11" dxfId="1" operator="greaterThan" stopIfTrue="1">
      <formula>$D$43</formula>
    </cfRule>
  </conditionalFormatting>
  <conditionalFormatting sqref="D42">
    <cfRule type="cellIs" priority="1" dxfId="0" operator="lessThan" stopIfTrue="1">
      <formula>0</formula>
    </cfRule>
  </conditionalFormatting>
  <printOptions/>
  <pageMargins left="0.63" right="0.56" top="1" bottom="0.5" header="0.5" footer="0.5"/>
  <pageSetup blackAndWhite="1" fitToHeight="2" horizontalDpi="600" verticalDpi="600" orientation="portrait" scale="85"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F74"/>
  <sheetViews>
    <sheetView zoomScalePageLayoutView="0" workbookViewId="0" topLeftCell="A13">
      <selection activeCell="C47" sqref="C47"/>
    </sheetView>
  </sheetViews>
  <sheetFormatPr defaultColWidth="8.796875" defaultRowHeight="15"/>
  <cols>
    <col min="1" max="1" width="2.3984375" style="75" customWidth="1"/>
    <col min="2" max="2" width="32.796875" style="75" customWidth="1"/>
    <col min="3" max="5" width="17.09765625" style="75" customWidth="1"/>
    <col min="6" max="16384" width="8.8984375" style="75" customWidth="1"/>
  </cols>
  <sheetData>
    <row r="1" spans="2:5" ht="15.75">
      <c r="B1" s="237" t="str">
        <f>(inputPrYr!C2)</f>
        <v>Sheridan County</v>
      </c>
      <c r="C1" s="88"/>
      <c r="D1" s="88"/>
      <c r="E1" s="296">
        <f>inputPrYr!C4</f>
        <v>2012</v>
      </c>
    </row>
    <row r="2" spans="2:5" ht="8.25" customHeight="1">
      <c r="B2" s="88"/>
      <c r="C2" s="88"/>
      <c r="D2" s="88"/>
      <c r="E2" s="249"/>
    </row>
    <row r="3" spans="2:5" ht="15.75">
      <c r="B3" s="155" t="s">
        <v>230</v>
      </c>
      <c r="C3" s="342"/>
      <c r="D3" s="342"/>
      <c r="E3" s="343"/>
    </row>
    <row r="4" spans="2:5" ht="7.5" customHeight="1">
      <c r="B4" s="88"/>
      <c r="C4" s="336"/>
      <c r="D4" s="336"/>
      <c r="E4" s="336"/>
    </row>
    <row r="5" spans="2:5" ht="15.75">
      <c r="B5" s="87" t="s">
        <v>157</v>
      </c>
      <c r="C5" s="464" t="str">
        <f>general!C4</f>
        <v>Prior Year Actual</v>
      </c>
      <c r="D5" s="463" t="str">
        <f>general!D4</f>
        <v>Current Year Estimate</v>
      </c>
      <c r="E5" s="465" t="str">
        <f>general!E4</f>
        <v>Proposed Budget Year</v>
      </c>
    </row>
    <row r="6" spans="2:5" ht="15.75">
      <c r="B6" s="489" t="str">
        <f>inputPrYr!B19</f>
        <v>Noxious Weed</v>
      </c>
      <c r="C6" s="451">
        <f>general!$C$5</f>
        <v>2010</v>
      </c>
      <c r="D6" s="451">
        <f>general!D5</f>
        <v>2011</v>
      </c>
      <c r="E6" s="312">
        <f>general!E5</f>
        <v>2012</v>
      </c>
    </row>
    <row r="7" spans="2:5" ht="15.75">
      <c r="B7" s="151" t="s">
        <v>270</v>
      </c>
      <c r="C7" s="448">
        <v>7175</v>
      </c>
      <c r="D7" s="452">
        <f>C27</f>
        <v>10120</v>
      </c>
      <c r="E7" s="275">
        <f>D27</f>
        <v>123</v>
      </c>
    </row>
    <row r="8" spans="2:5" ht="15.75">
      <c r="B8" s="300" t="s">
        <v>272</v>
      </c>
      <c r="C8" s="315"/>
      <c r="D8" s="315"/>
      <c r="E8" s="130"/>
    </row>
    <row r="9" spans="2:5" ht="15.75">
      <c r="B9" s="151" t="s">
        <v>865</v>
      </c>
      <c r="C9" s="448">
        <v>67877</v>
      </c>
      <c r="D9" s="452">
        <f>inputPrYr!E19</f>
        <v>70698</v>
      </c>
      <c r="E9" s="345" t="s">
        <v>144</v>
      </c>
    </row>
    <row r="10" spans="2:5" ht="15.75">
      <c r="B10" s="151" t="s">
        <v>866</v>
      </c>
      <c r="C10" s="448">
        <v>812</v>
      </c>
      <c r="D10" s="448">
        <v>365</v>
      </c>
      <c r="E10" s="115">
        <v>500</v>
      </c>
    </row>
    <row r="11" spans="2:5" ht="15.75">
      <c r="B11" s="151" t="s">
        <v>867</v>
      </c>
      <c r="C11" s="448">
        <v>6884</v>
      </c>
      <c r="D11" s="448">
        <v>7903</v>
      </c>
      <c r="E11" s="275">
        <f>mvalloc!D11</f>
        <v>7425</v>
      </c>
    </row>
    <row r="12" spans="2:5" ht="15.75">
      <c r="B12" s="151" t="s">
        <v>868</v>
      </c>
      <c r="C12" s="448">
        <v>144</v>
      </c>
      <c r="D12" s="448">
        <v>170</v>
      </c>
      <c r="E12" s="275">
        <f>mvalloc!E11</f>
        <v>160</v>
      </c>
    </row>
    <row r="13" spans="2:5" ht="15.75">
      <c r="B13" s="315" t="s">
        <v>946</v>
      </c>
      <c r="C13" s="448">
        <v>555</v>
      </c>
      <c r="D13" s="448">
        <v>1167</v>
      </c>
      <c r="E13" s="275">
        <f>mvalloc!F11</f>
        <v>1043</v>
      </c>
    </row>
    <row r="14" spans="2:5" ht="15.75">
      <c r="B14" s="315" t="s">
        <v>947</v>
      </c>
      <c r="C14" s="448">
        <v>37404</v>
      </c>
      <c r="D14" s="448">
        <v>40000</v>
      </c>
      <c r="E14" s="275">
        <v>60000</v>
      </c>
    </row>
    <row r="15" spans="2:5" ht="15.75">
      <c r="B15" s="327" t="s">
        <v>948</v>
      </c>
      <c r="C15" s="448"/>
      <c r="D15" s="448"/>
      <c r="E15" s="115"/>
    </row>
    <row r="16" spans="2:5" ht="15.75">
      <c r="B16" s="319" t="s">
        <v>673</v>
      </c>
      <c r="C16" s="449">
        <f>IF(C17*0.1&lt;C15,"Exceed 10% Rule","")</f>
      </c>
      <c r="D16" s="449">
        <f>IF(D17*0.1&lt;D15,"Exceed 10% Rule","")</f>
      </c>
      <c r="E16" s="346">
        <f>IF(E17*0.1+E33&lt;E15,"Exceed 10% Rule","")</f>
      </c>
    </row>
    <row r="17" spans="2:5" ht="15.75">
      <c r="B17" s="321" t="s">
        <v>158</v>
      </c>
      <c r="C17" s="450">
        <f>SUM(C9:C15)</f>
        <v>113676</v>
      </c>
      <c r="D17" s="450">
        <f>SUM(D9:D15)</f>
        <v>120303</v>
      </c>
      <c r="E17" s="351">
        <f>SUM(E9:E15)</f>
        <v>69128</v>
      </c>
    </row>
    <row r="18" spans="2:5" ht="15.75">
      <c r="B18" s="321" t="s">
        <v>159</v>
      </c>
      <c r="C18" s="450">
        <f>C7+C17</f>
        <v>120851</v>
      </c>
      <c r="D18" s="450">
        <f>D7+D17</f>
        <v>130423</v>
      </c>
      <c r="E18" s="351">
        <f>E7+E17</f>
        <v>69251</v>
      </c>
    </row>
    <row r="19" spans="2:5" ht="15.75">
      <c r="B19" s="151" t="s">
        <v>162</v>
      </c>
      <c r="C19" s="319"/>
      <c r="D19" s="319"/>
      <c r="E19" s="111"/>
    </row>
    <row r="20" spans="2:5" ht="15.75">
      <c r="B20" s="327" t="s">
        <v>911</v>
      </c>
      <c r="C20" s="448">
        <v>33941</v>
      </c>
      <c r="D20" s="448">
        <v>31000</v>
      </c>
      <c r="E20" s="115">
        <v>45000</v>
      </c>
    </row>
    <row r="21" spans="2:5" ht="15.75">
      <c r="B21" s="327" t="s">
        <v>915</v>
      </c>
      <c r="C21" s="448">
        <v>66790</v>
      </c>
      <c r="D21" s="448">
        <v>89300</v>
      </c>
      <c r="E21" s="115">
        <v>94895</v>
      </c>
    </row>
    <row r="22" spans="2:5" ht="15.75">
      <c r="B22" s="327" t="s">
        <v>949</v>
      </c>
      <c r="C22" s="448">
        <v>10000</v>
      </c>
      <c r="D22" s="448">
        <v>10000</v>
      </c>
      <c r="E22" s="115">
        <v>10000</v>
      </c>
    </row>
    <row r="23" spans="2:5" ht="15.75">
      <c r="B23" s="319" t="s">
        <v>74</v>
      </c>
      <c r="C23" s="448"/>
      <c r="D23" s="448"/>
      <c r="E23" s="123">
        <f>Nhood!E8</f>
        <v>59</v>
      </c>
    </row>
    <row r="24" spans="2:5" ht="15.75">
      <c r="B24" s="319" t="s">
        <v>73</v>
      </c>
      <c r="C24" s="448"/>
      <c r="D24" s="448"/>
      <c r="E24" s="115"/>
    </row>
    <row r="25" spans="2:5" ht="15.75">
      <c r="B25" s="319" t="s">
        <v>672</v>
      </c>
      <c r="C25" s="449">
        <f>IF(C26*0.1&lt;C24,"Exceed 10% Rule","")</f>
      </c>
      <c r="D25" s="449">
        <f>IF(D26*0.1&lt;D24,"Exceed 10% Rule","")</f>
      </c>
      <c r="E25" s="346">
        <f>IF(E26*0.1&lt;E24,"Exceed 10% Rule","")</f>
      </c>
    </row>
    <row r="26" spans="2:5" ht="15.75">
      <c r="B26" s="321" t="s">
        <v>163</v>
      </c>
      <c r="C26" s="450">
        <f>SUM(C20:C24)</f>
        <v>110731</v>
      </c>
      <c r="D26" s="450">
        <f>SUM(D20:D24)</f>
        <v>130300</v>
      </c>
      <c r="E26" s="351">
        <f>SUM(E20:E24)</f>
        <v>149954</v>
      </c>
    </row>
    <row r="27" spans="2:5" ht="15.75">
      <c r="B27" s="151" t="s">
        <v>271</v>
      </c>
      <c r="C27" s="453">
        <f>C18-C26</f>
        <v>10120</v>
      </c>
      <c r="D27" s="453">
        <f>D18-D26</f>
        <v>123</v>
      </c>
      <c r="E27" s="345" t="s">
        <v>144</v>
      </c>
    </row>
    <row r="28" spans="2:6" ht="15.75">
      <c r="B28" s="297" t="str">
        <f>CONCATENATE("",E$1-2,"/",E$1-1," Budget Authority Amount:")</f>
        <v>2010/2011 Budget Authority Amount:</v>
      </c>
      <c r="C28" s="289">
        <f>inputOth!B34</f>
        <v>136821</v>
      </c>
      <c r="D28" s="289">
        <f>inputPrYr!D19</f>
        <v>139529</v>
      </c>
      <c r="E28" s="345" t="s">
        <v>144</v>
      </c>
      <c r="F28" s="329"/>
    </row>
    <row r="29" spans="2:6" ht="15.75">
      <c r="B29" s="297"/>
      <c r="C29" s="707" t="s">
        <v>675</v>
      </c>
      <c r="D29" s="708"/>
      <c r="E29" s="115"/>
      <c r="F29" s="329">
        <f>IF(E26/0.95-E26&lt;E29,"Exceeds 5%","")</f>
      </c>
    </row>
    <row r="30" spans="2:5" ht="15.75">
      <c r="B30" s="511" t="str">
        <f>CONCATENATE(C71,"     ",D71)</f>
        <v>     </v>
      </c>
      <c r="C30" s="709" t="s">
        <v>676</v>
      </c>
      <c r="D30" s="710"/>
      <c r="E30" s="275">
        <f>E26+E29</f>
        <v>149954</v>
      </c>
    </row>
    <row r="31" spans="2:5" ht="15.75">
      <c r="B31" s="511" t="str">
        <f>CONCATENATE(C72,"     ",D72)</f>
        <v>     </v>
      </c>
      <c r="C31" s="330"/>
      <c r="D31" s="249" t="s">
        <v>164</v>
      </c>
      <c r="E31" s="123">
        <f>IF(E30-E18&gt;0,E30-E18,0)</f>
        <v>80703</v>
      </c>
    </row>
    <row r="32" spans="2:5" ht="15.75">
      <c r="B32" s="249"/>
      <c r="C32" s="509" t="s">
        <v>677</v>
      </c>
      <c r="D32" s="483">
        <f>inputOth!$E$24</f>
        <v>0.01</v>
      </c>
      <c r="E32" s="275">
        <f>ROUND(IF(D32&gt;0,($E$31*D32),0),0)</f>
        <v>807</v>
      </c>
    </row>
    <row r="33" spans="2:5" ht="15.75">
      <c r="B33" s="88"/>
      <c r="C33" s="716" t="str">
        <f>CONCATENATE("Amount of  ",$E$1-1," Ad Valorem Tax")</f>
        <v>Amount of  2011 Ad Valorem Tax</v>
      </c>
      <c r="D33" s="717"/>
      <c r="E33" s="347">
        <f>E31+E32</f>
        <v>81510</v>
      </c>
    </row>
    <row r="34" spans="2:5" ht="9.75" customHeight="1">
      <c r="B34" s="88"/>
      <c r="C34" s="336"/>
      <c r="D34" s="336"/>
      <c r="E34" s="336"/>
    </row>
    <row r="35" spans="2:5" ht="15.75">
      <c r="B35" s="87" t="s">
        <v>157</v>
      </c>
      <c r="C35" s="464" t="str">
        <f aca="true" t="shared" si="0" ref="C35:E36">C5</f>
        <v>Prior Year Actual</v>
      </c>
      <c r="D35" s="463" t="str">
        <f t="shared" si="0"/>
        <v>Current Year Estimate</v>
      </c>
      <c r="E35" s="465" t="str">
        <f t="shared" si="0"/>
        <v>Proposed Budget Year</v>
      </c>
    </row>
    <row r="36" spans="2:5" ht="15.75">
      <c r="B36" s="488" t="str">
        <f>(inputPrYr!B20)</f>
        <v>Mental Health</v>
      </c>
      <c r="C36" s="451">
        <f t="shared" si="0"/>
        <v>2010</v>
      </c>
      <c r="D36" s="451">
        <f t="shared" si="0"/>
        <v>2011</v>
      </c>
      <c r="E36" s="325">
        <f t="shared" si="0"/>
        <v>2012</v>
      </c>
    </row>
    <row r="37" spans="2:5" ht="15.75">
      <c r="B37" s="151" t="s">
        <v>270</v>
      </c>
      <c r="C37" s="448">
        <v>0</v>
      </c>
      <c r="D37" s="452">
        <f>C54</f>
        <v>0</v>
      </c>
      <c r="E37" s="275">
        <f>D54</f>
        <v>0</v>
      </c>
    </row>
    <row r="38" spans="2:5" ht="15.75">
      <c r="B38" s="313" t="s">
        <v>272</v>
      </c>
      <c r="C38" s="315"/>
      <c r="D38" s="315"/>
      <c r="E38" s="130"/>
    </row>
    <row r="39" spans="2:5" ht="15.75">
      <c r="B39" s="151" t="s">
        <v>865</v>
      </c>
      <c r="C39" s="448">
        <v>14581</v>
      </c>
      <c r="D39" s="452">
        <f>inputPrYr!E20</f>
        <v>14506</v>
      </c>
      <c r="E39" s="345" t="s">
        <v>144</v>
      </c>
    </row>
    <row r="40" spans="2:5" ht="15.75">
      <c r="B40" s="151" t="s">
        <v>866</v>
      </c>
      <c r="C40" s="448">
        <v>186</v>
      </c>
      <c r="D40" s="448">
        <v>91</v>
      </c>
      <c r="E40" s="115">
        <v>180</v>
      </c>
    </row>
    <row r="41" spans="2:5" ht="15.75">
      <c r="B41" s="151" t="s">
        <v>867</v>
      </c>
      <c r="C41" s="448">
        <v>1475</v>
      </c>
      <c r="D41" s="448">
        <v>1696</v>
      </c>
      <c r="E41" s="275">
        <f>mvalloc!D12</f>
        <v>1523</v>
      </c>
    </row>
    <row r="42" spans="2:5" ht="15.75">
      <c r="B42" s="151" t="s">
        <v>868</v>
      </c>
      <c r="C42" s="448">
        <v>31</v>
      </c>
      <c r="D42" s="448">
        <v>37</v>
      </c>
      <c r="E42" s="275">
        <f>mvalloc!E12</f>
        <v>33</v>
      </c>
    </row>
    <row r="43" spans="2:5" ht="15.75">
      <c r="B43" s="315" t="s">
        <v>946</v>
      </c>
      <c r="C43" s="448">
        <v>150</v>
      </c>
      <c r="D43" s="448">
        <v>241</v>
      </c>
      <c r="E43" s="275">
        <f>mvalloc!F12</f>
        <v>214</v>
      </c>
    </row>
    <row r="44" spans="2:5" ht="15.75">
      <c r="B44" s="319" t="s">
        <v>73</v>
      </c>
      <c r="C44" s="448"/>
      <c r="D44" s="448"/>
      <c r="E44" s="115"/>
    </row>
    <row r="45" spans="2:5" ht="15.75">
      <c r="B45" s="319" t="s">
        <v>673</v>
      </c>
      <c r="C45" s="449">
        <f>IF(C46*0.1&lt;C44,"Exceed 10% Rule","")</f>
      </c>
      <c r="D45" s="449">
        <f>IF(D46*0.1&lt;D44,"Exceed 10% Rule","")</f>
      </c>
      <c r="E45" s="346">
        <f>IF(E46*0.1+E60&lt;E44,"Exceed 10% Rule","")</f>
      </c>
    </row>
    <row r="46" spans="2:5" ht="15.75">
      <c r="B46" s="321" t="s">
        <v>158</v>
      </c>
      <c r="C46" s="450">
        <f>SUM(C39:C44)</f>
        <v>16423</v>
      </c>
      <c r="D46" s="450">
        <f>SUM(D39:D44)</f>
        <v>16571</v>
      </c>
      <c r="E46" s="351">
        <f>SUM(E39:E44)</f>
        <v>1950</v>
      </c>
    </row>
    <row r="47" spans="2:5" ht="15.75">
      <c r="B47" s="321" t="s">
        <v>159</v>
      </c>
      <c r="C47" s="450">
        <f>C37+C46</f>
        <v>16423</v>
      </c>
      <c r="D47" s="450">
        <f>D37+D46</f>
        <v>16571</v>
      </c>
      <c r="E47" s="351">
        <f>E37+E46</f>
        <v>1950</v>
      </c>
    </row>
    <row r="48" spans="2:5" ht="15.75">
      <c r="B48" s="151" t="s">
        <v>162</v>
      </c>
      <c r="C48" s="319"/>
      <c r="D48" s="319"/>
      <c r="E48" s="111"/>
    </row>
    <row r="49" spans="2:5" ht="15.75">
      <c r="B49" s="327" t="s">
        <v>950</v>
      </c>
      <c r="C49" s="448">
        <v>16423</v>
      </c>
      <c r="D49" s="448">
        <v>16571</v>
      </c>
      <c r="E49" s="115">
        <v>16500</v>
      </c>
    </row>
    <row r="50" spans="2:5" ht="15.75">
      <c r="B50" s="319" t="s">
        <v>74</v>
      </c>
      <c r="C50" s="448"/>
      <c r="D50" s="448"/>
      <c r="E50" s="123">
        <f>Nhood!E9</f>
        <v>12</v>
      </c>
    </row>
    <row r="51" spans="2:5" ht="15.75">
      <c r="B51" s="319" t="s">
        <v>73</v>
      </c>
      <c r="C51" s="448"/>
      <c r="D51" s="448"/>
      <c r="E51" s="115"/>
    </row>
    <row r="52" spans="2:5" ht="15.75">
      <c r="B52" s="319" t="s">
        <v>672</v>
      </c>
      <c r="C52" s="449">
        <f>IF(C53*0.1&lt;C51,"Exceed 10% Rule","")</f>
      </c>
      <c r="D52" s="449">
        <f>IF(D53*0.1&lt;D51,"Exceed 10% Rule","")</f>
      </c>
      <c r="E52" s="346">
        <f>IF(E53*0.1&lt;E51,"Exceed 10% Rule","")</f>
      </c>
    </row>
    <row r="53" spans="2:5" ht="15.75">
      <c r="B53" s="321" t="s">
        <v>163</v>
      </c>
      <c r="C53" s="450">
        <f>SUM(C49:C51)</f>
        <v>16423</v>
      </c>
      <c r="D53" s="450">
        <f>SUM(D49:D51)</f>
        <v>16571</v>
      </c>
      <c r="E53" s="351">
        <f>SUM(E49:E51)</f>
        <v>16512</v>
      </c>
    </row>
    <row r="54" spans="2:5" ht="15.75">
      <c r="B54" s="151" t="s">
        <v>271</v>
      </c>
      <c r="C54" s="453">
        <f>C47-C53</f>
        <v>0</v>
      </c>
      <c r="D54" s="453">
        <f>D47-D53</f>
        <v>0</v>
      </c>
      <c r="E54" s="345" t="s">
        <v>144</v>
      </c>
    </row>
    <row r="55" spans="2:6" ht="15.75">
      <c r="B55" s="297" t="str">
        <f>CONCATENATE("",E$1-2,"/",E$1-1," Budget Authority Amount:")</f>
        <v>2010/2011 Budget Authority Amount:</v>
      </c>
      <c r="C55" s="289">
        <f>inputOth!B35</f>
        <v>16500</v>
      </c>
      <c r="D55" s="289">
        <f>inputPrYr!D20</f>
        <v>16500</v>
      </c>
      <c r="E55" s="345" t="s">
        <v>144</v>
      </c>
      <c r="F55" s="329"/>
    </row>
    <row r="56" spans="2:6" ht="15.75">
      <c r="B56" s="297"/>
      <c r="C56" s="707" t="s">
        <v>675</v>
      </c>
      <c r="D56" s="708"/>
      <c r="E56" s="115"/>
      <c r="F56" s="329">
        <f>IF(E53/0.95-E53&lt;E56,"Exceeds 5%","")</f>
      </c>
    </row>
    <row r="57" spans="2:5" ht="15.75">
      <c r="B57" s="510" t="s">
        <v>1007</v>
      </c>
      <c r="C57" s="709" t="s">
        <v>676</v>
      </c>
      <c r="D57" s="710"/>
      <c r="E57" s="275">
        <f>E53+E56</f>
        <v>16512</v>
      </c>
    </row>
    <row r="58" spans="2:5" ht="15.75">
      <c r="B58" s="510" t="str">
        <f>CONCATENATE(C74,"     ",D74)</f>
        <v>     </v>
      </c>
      <c r="C58" s="330"/>
      <c r="D58" s="249" t="s">
        <v>164</v>
      </c>
      <c r="E58" s="123">
        <f>IF(E57-E47&gt;0,E57-E47,0)</f>
        <v>14562</v>
      </c>
    </row>
    <row r="59" spans="2:5" ht="15.75">
      <c r="B59" s="249"/>
      <c r="C59" s="509" t="s">
        <v>677</v>
      </c>
      <c r="D59" s="483">
        <f>inputOth!$E$24</f>
        <v>0.01</v>
      </c>
      <c r="E59" s="275">
        <f>ROUND(IF(D59&gt;0,($E$58*D59),0),0)</f>
        <v>146</v>
      </c>
    </row>
    <row r="60" spans="2:5" ht="15.75">
      <c r="B60" s="88"/>
      <c r="C60" s="716" t="str">
        <f>CONCATENATE("Amount of  ",$E$1-1," Ad Valorem Tax")</f>
        <v>Amount of  2011 Ad Valorem Tax</v>
      </c>
      <c r="D60" s="717"/>
      <c r="E60" s="347">
        <f>E58+E59</f>
        <v>14708</v>
      </c>
    </row>
    <row r="61" spans="2:5" ht="15.75">
      <c r="B61" s="297"/>
      <c r="C61" s="658" t="s">
        <v>1009</v>
      </c>
      <c r="D61" s="88"/>
      <c r="E61" s="88"/>
    </row>
    <row r="71" spans="3:4" ht="15.75" hidden="1">
      <c r="C71" s="75">
        <f>IF(C26&gt;C28,"See Tab A","")</f>
      </c>
      <c r="D71" s="75">
        <f>IF(D26&gt;D28,"See Tab C","")</f>
      </c>
    </row>
    <row r="72" spans="3:4" ht="15.75" hidden="1">
      <c r="C72" s="75">
        <f>IF(C27&lt;0,"See Tab B","")</f>
      </c>
      <c r="D72" s="75">
        <f>IF(D27&lt;0,"See Tab D","")</f>
      </c>
    </row>
    <row r="73" spans="3:4" ht="15.75" hidden="1">
      <c r="C73" s="75">
        <f>IF(C53&gt;C55,"See Tab A","")</f>
      </c>
      <c r="D73" s="75" t="str">
        <f>IF(D53&gt;D55,"See Tab C","")</f>
        <v>See Tab C</v>
      </c>
    </row>
    <row r="74" spans="3:4" ht="15.75" hidden="1">
      <c r="C74" s="75">
        <f>IF(C54&lt;0,"See Tab B","")</f>
      </c>
      <c r="D74" s="75">
        <f>IF(D54&lt;0,"See Tab D","")</f>
      </c>
    </row>
  </sheetData>
  <sheetProtection/>
  <mergeCells count="6">
    <mergeCell ref="C29:D29"/>
    <mergeCell ref="C30:D30"/>
    <mergeCell ref="C56:D56"/>
    <mergeCell ref="C57:D57"/>
    <mergeCell ref="C60:D60"/>
    <mergeCell ref="C33:D33"/>
  </mergeCells>
  <conditionalFormatting sqref="E51">
    <cfRule type="cellIs" priority="4" dxfId="163" operator="greaterThan" stopIfTrue="1">
      <formula>$E$53*0.1</formula>
    </cfRule>
  </conditionalFormatting>
  <conditionalFormatting sqref="E56">
    <cfRule type="cellIs" priority="5" dxfId="163" operator="greaterThan" stopIfTrue="1">
      <formula>$E$53/0.95-$E$53</formula>
    </cfRule>
  </conditionalFormatting>
  <conditionalFormatting sqref="E29">
    <cfRule type="cellIs" priority="6" dxfId="163" operator="greaterThan" stopIfTrue="1">
      <formula>$E$26/0.95-$E$26</formula>
    </cfRule>
  </conditionalFormatting>
  <conditionalFormatting sqref="E24">
    <cfRule type="cellIs" priority="7" dxfId="163" operator="greaterThan" stopIfTrue="1">
      <formula>$E$26*0.1</formula>
    </cfRule>
  </conditionalFormatting>
  <conditionalFormatting sqref="C26">
    <cfRule type="cellIs" priority="8" dxfId="1" operator="greaterThan" stopIfTrue="1">
      <formula>$C$28</formula>
    </cfRule>
  </conditionalFormatting>
  <conditionalFormatting sqref="C54 C27">
    <cfRule type="cellIs" priority="9" dxfId="1" operator="lessThan" stopIfTrue="1">
      <formula>0</formula>
    </cfRule>
  </conditionalFormatting>
  <conditionalFormatting sqref="D26">
    <cfRule type="cellIs" priority="10" dxfId="1" operator="greaterThan" stopIfTrue="1">
      <formula>$D$28</formula>
    </cfRule>
  </conditionalFormatting>
  <conditionalFormatting sqref="C53">
    <cfRule type="cellIs" priority="11" dxfId="1" operator="greaterThan" stopIfTrue="1">
      <formula>$C$55</formula>
    </cfRule>
  </conditionalFormatting>
  <conditionalFormatting sqref="D53">
    <cfRule type="cellIs" priority="12" dxfId="1" operator="greaterThan" stopIfTrue="1">
      <formula>$D$55</formula>
    </cfRule>
  </conditionalFormatting>
  <conditionalFormatting sqref="C51">
    <cfRule type="cellIs" priority="13" dxfId="1" operator="greaterThan" stopIfTrue="1">
      <formula>$C$53*0.1</formula>
    </cfRule>
  </conditionalFormatting>
  <conditionalFormatting sqref="D51">
    <cfRule type="cellIs" priority="14" dxfId="1" operator="greaterThan" stopIfTrue="1">
      <formula>$D$53*0.1</formula>
    </cfRule>
  </conditionalFormatting>
  <conditionalFormatting sqref="E44">
    <cfRule type="cellIs" priority="15" dxfId="163" operator="greaterThan" stopIfTrue="1">
      <formula>$E$46*0.1+E60</formula>
    </cfRule>
  </conditionalFormatting>
  <conditionalFormatting sqref="C44">
    <cfRule type="cellIs" priority="16" dxfId="1" operator="greaterThan" stopIfTrue="1">
      <formula>$C$46*0.1</formula>
    </cfRule>
  </conditionalFormatting>
  <conditionalFormatting sqref="D44">
    <cfRule type="cellIs" priority="17" dxfId="1" operator="greaterThan" stopIfTrue="1">
      <formula>$D$46*0.1</formula>
    </cfRule>
  </conditionalFormatting>
  <conditionalFormatting sqref="C24">
    <cfRule type="cellIs" priority="18" dxfId="1" operator="greaterThan" stopIfTrue="1">
      <formula>$C$26*0.1</formula>
    </cfRule>
  </conditionalFormatting>
  <conditionalFormatting sqref="D24">
    <cfRule type="cellIs" priority="19" dxfId="1" operator="greaterThan" stopIfTrue="1">
      <formula>$D$26*0.1</formula>
    </cfRule>
  </conditionalFormatting>
  <conditionalFormatting sqref="D27">
    <cfRule type="cellIs" priority="2" dxfId="0" operator="lessThan" stopIfTrue="1">
      <formula>0</formula>
    </cfRule>
    <cfRule type="cellIs" priority="3" dxfId="0" operator="lessThan" stopIfTrue="1">
      <formula>0</formula>
    </cfRule>
  </conditionalFormatting>
  <conditionalFormatting sqref="D54">
    <cfRule type="cellIs" priority="1" dxfId="0" operator="lessThan" stopIfTrue="1">
      <formula>0</formula>
    </cfRule>
  </conditionalFormatting>
  <printOptions/>
  <pageMargins left="0.63" right="0.5" top="0.47" bottom="0.23" header="0.23" footer="0"/>
  <pageSetup blackAndWhite="1" horizontalDpi="120" verticalDpi="120" orientation="portrait" scale="80"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dimension ref="B1:F78"/>
  <sheetViews>
    <sheetView tabSelected="1" zoomScalePageLayoutView="0" workbookViewId="0" topLeftCell="A1">
      <selection activeCell="C47" sqref="C47"/>
    </sheetView>
  </sheetViews>
  <sheetFormatPr defaultColWidth="8.796875" defaultRowHeight="15"/>
  <cols>
    <col min="1" max="1" width="2.3984375" style="75" customWidth="1"/>
    <col min="2" max="2" width="33.59765625" style="75" customWidth="1"/>
    <col min="3" max="5" width="17.19921875" style="75" customWidth="1"/>
    <col min="6" max="16384" width="8.8984375" style="75" customWidth="1"/>
  </cols>
  <sheetData>
    <row r="1" spans="2:5" ht="15.75">
      <c r="B1" s="237" t="str">
        <f>(inputPrYr!C2)</f>
        <v>Sheridan County</v>
      </c>
      <c r="C1" s="88"/>
      <c r="D1" s="88"/>
      <c r="E1" s="296">
        <f>inputPrYr!C4</f>
        <v>2012</v>
      </c>
    </row>
    <row r="2" spans="2:5" ht="4.5" customHeight="1">
      <c r="B2" s="88"/>
      <c r="C2" s="88"/>
      <c r="D2" s="88"/>
      <c r="E2" s="249"/>
    </row>
    <row r="3" spans="2:5" ht="15.75">
      <c r="B3" s="155" t="s">
        <v>230</v>
      </c>
      <c r="C3" s="342"/>
      <c r="D3" s="342"/>
      <c r="E3" s="343"/>
    </row>
    <row r="4" spans="2:5" ht="4.5" customHeight="1">
      <c r="B4" s="88"/>
      <c r="C4" s="336"/>
      <c r="D4" s="336"/>
      <c r="E4" s="336"/>
    </row>
    <row r="5" spans="2:5" ht="15.75">
      <c r="B5" s="87" t="s">
        <v>157</v>
      </c>
      <c r="C5" s="464" t="str">
        <f>general!C4</f>
        <v>Prior Year Actual</v>
      </c>
      <c r="D5" s="463" t="str">
        <f>general!D4</f>
        <v>Current Year Estimate</v>
      </c>
      <c r="E5" s="465" t="str">
        <f>general!E4</f>
        <v>Proposed Budget Year</v>
      </c>
    </row>
    <row r="6" spans="2:5" ht="15.75">
      <c r="B6" s="489" t="str">
        <f>inputPrYr!B21</f>
        <v>Public Health</v>
      </c>
      <c r="C6" s="451">
        <f>general!$C$5</f>
        <v>2010</v>
      </c>
      <c r="D6" s="451">
        <f>general!D5</f>
        <v>2011</v>
      </c>
      <c r="E6" s="312">
        <f>general!E5</f>
        <v>2012</v>
      </c>
    </row>
    <row r="7" spans="2:5" ht="15.75">
      <c r="B7" s="151" t="s">
        <v>270</v>
      </c>
      <c r="C7" s="448">
        <v>29559</v>
      </c>
      <c r="D7" s="452">
        <f>C31</f>
        <v>23918</v>
      </c>
      <c r="E7" s="275">
        <f>D31</f>
        <v>0</v>
      </c>
    </row>
    <row r="8" spans="2:5" ht="15.75">
      <c r="B8" s="300" t="s">
        <v>272</v>
      </c>
      <c r="C8" s="315"/>
      <c r="D8" s="315"/>
      <c r="E8" s="130"/>
    </row>
    <row r="9" spans="2:5" ht="15.75">
      <c r="B9" s="151" t="s">
        <v>865</v>
      </c>
      <c r="C9" s="448">
        <v>20748</v>
      </c>
      <c r="D9" s="452">
        <f>inputPrYr!E21</f>
        <v>21195</v>
      </c>
      <c r="E9" s="345" t="s">
        <v>144</v>
      </c>
    </row>
    <row r="10" spans="2:5" ht="15.75">
      <c r="B10" s="151" t="s">
        <v>866</v>
      </c>
      <c r="C10" s="448">
        <v>249</v>
      </c>
      <c r="D10" s="448">
        <v>124</v>
      </c>
      <c r="E10" s="115">
        <v>200</v>
      </c>
    </row>
    <row r="11" spans="2:5" ht="15.75">
      <c r="B11" s="151" t="s">
        <v>867</v>
      </c>
      <c r="C11" s="448">
        <v>2223</v>
      </c>
      <c r="D11" s="448">
        <v>2415</v>
      </c>
      <c r="E11" s="275">
        <f>mvalloc!D13</f>
        <v>2226</v>
      </c>
    </row>
    <row r="12" spans="2:5" ht="15.75">
      <c r="B12" s="151" t="s">
        <v>868</v>
      </c>
      <c r="C12" s="448">
        <v>46</v>
      </c>
      <c r="D12" s="448">
        <v>52</v>
      </c>
      <c r="E12" s="275">
        <f>mvalloc!E13</f>
        <v>48</v>
      </c>
    </row>
    <row r="13" spans="2:5" ht="15.75">
      <c r="B13" s="315" t="s">
        <v>946</v>
      </c>
      <c r="C13" s="448">
        <v>360</v>
      </c>
      <c r="D13" s="448">
        <v>322</v>
      </c>
      <c r="E13" s="275">
        <f>mvalloc!F13</f>
        <v>313</v>
      </c>
    </row>
    <row r="14" spans="2:5" ht="15.75">
      <c r="B14" s="315" t="s">
        <v>951</v>
      </c>
      <c r="C14" s="448">
        <v>34639</v>
      </c>
      <c r="D14" s="448">
        <v>30000</v>
      </c>
      <c r="E14" s="275">
        <v>26228</v>
      </c>
    </row>
    <row r="15" spans="2:5" ht="15.75">
      <c r="B15" s="327" t="s">
        <v>952</v>
      </c>
      <c r="C15" s="448">
        <v>21657</v>
      </c>
      <c r="D15" s="448">
        <v>22000</v>
      </c>
      <c r="E15" s="115">
        <v>30000</v>
      </c>
    </row>
    <row r="16" spans="2:5" ht="15.75">
      <c r="B16" s="327" t="s">
        <v>953</v>
      </c>
      <c r="C16" s="448">
        <v>44846</v>
      </c>
      <c r="D16" s="448">
        <v>45440</v>
      </c>
      <c r="E16" s="115">
        <v>45000</v>
      </c>
    </row>
    <row r="17" spans="2:5" ht="15.75">
      <c r="B17" s="327" t="s">
        <v>954</v>
      </c>
      <c r="C17" s="448">
        <v>1294</v>
      </c>
      <c r="D17" s="448"/>
      <c r="E17" s="115"/>
    </row>
    <row r="18" spans="2:5" ht="15.75">
      <c r="B18" s="319" t="s">
        <v>948</v>
      </c>
      <c r="C18" s="448">
        <f>140+459</f>
        <v>599</v>
      </c>
      <c r="D18" s="448"/>
      <c r="E18" s="115"/>
    </row>
    <row r="19" spans="2:5" ht="15.75">
      <c r="B19" s="319" t="s">
        <v>673</v>
      </c>
      <c r="C19" s="449">
        <f>IF(C20*0.1&lt;C18,"Exceed 10% Rule","")</f>
      </c>
      <c r="D19" s="449">
        <f>IF(D20*0.1&lt;D18,"Exceed 10% Rule","")</f>
      </c>
      <c r="E19" s="346">
        <f>IF(E20*0.1+E37&lt;E18,"Exceed 10% Rule","")</f>
      </c>
    </row>
    <row r="20" spans="2:5" ht="15.75">
      <c r="B20" s="321" t="s">
        <v>158</v>
      </c>
      <c r="C20" s="450">
        <f>SUM(C9:C18)</f>
        <v>126661</v>
      </c>
      <c r="D20" s="450">
        <f>SUM(D9:D18)</f>
        <v>121548</v>
      </c>
      <c r="E20" s="351">
        <f>SUM(E9:E18)</f>
        <v>104015</v>
      </c>
    </row>
    <row r="21" spans="2:5" ht="15.75">
      <c r="B21" s="321" t="s">
        <v>159</v>
      </c>
      <c r="C21" s="450">
        <f>C7+C20</f>
        <v>156220</v>
      </c>
      <c r="D21" s="450">
        <f>D7+D20</f>
        <v>145466</v>
      </c>
      <c r="E21" s="351">
        <f>E7+E20</f>
        <v>104015</v>
      </c>
    </row>
    <row r="22" spans="2:5" ht="15.75">
      <c r="B22" s="151" t="s">
        <v>162</v>
      </c>
      <c r="C22" s="319"/>
      <c r="D22" s="319"/>
      <c r="E22" s="111"/>
    </row>
    <row r="23" spans="2:5" ht="15.75">
      <c r="B23" s="327" t="s">
        <v>911</v>
      </c>
      <c r="C23" s="448">
        <v>71105</v>
      </c>
      <c r="D23" s="448">
        <v>84500</v>
      </c>
      <c r="E23" s="115">
        <v>84500</v>
      </c>
    </row>
    <row r="24" spans="2:5" ht="15.75">
      <c r="B24" s="327" t="s">
        <v>915</v>
      </c>
      <c r="C24" s="448">
        <v>61197</v>
      </c>
      <c r="D24" s="448">
        <v>60966</v>
      </c>
      <c r="E24" s="115">
        <v>41307</v>
      </c>
    </row>
    <row r="25" spans="2:5" ht="15.75">
      <c r="B25" s="327" t="s">
        <v>955</v>
      </c>
      <c r="C25" s="448"/>
      <c r="D25" s="448"/>
      <c r="E25" s="115"/>
    </row>
    <row r="26" spans="2:5" ht="15.75">
      <c r="B26" s="327" t="s">
        <v>168</v>
      </c>
      <c r="C26" s="448"/>
      <c r="D26" s="448"/>
      <c r="E26" s="115"/>
    </row>
    <row r="27" spans="2:5" ht="15.75">
      <c r="B27" s="319" t="s">
        <v>74</v>
      </c>
      <c r="C27" s="448"/>
      <c r="D27" s="448"/>
      <c r="E27" s="123">
        <f>Nhood!E10</f>
        <v>18</v>
      </c>
    </row>
    <row r="28" spans="2:5" ht="15.75">
      <c r="B28" s="319" t="s">
        <v>73</v>
      </c>
      <c r="C28" s="448"/>
      <c r="D28" s="448"/>
      <c r="E28" s="115"/>
    </row>
    <row r="29" spans="2:5" ht="15.75">
      <c r="B29" s="319" t="s">
        <v>672</v>
      </c>
      <c r="C29" s="449">
        <f>IF(C30*0.1&lt;C28,"Exceed 10% Rule","")</f>
      </c>
      <c r="D29" s="449">
        <f>IF(D30*0.1&lt;D28,"Exceed 10% Rule","")</f>
      </c>
      <c r="E29" s="346">
        <f>IF(E30*0.1&lt;E28,"Exceed 10% Rule","")</f>
      </c>
    </row>
    <row r="30" spans="2:5" ht="15.75">
      <c r="B30" s="321" t="s">
        <v>163</v>
      </c>
      <c r="C30" s="450">
        <f>SUM(C23:C28)</f>
        <v>132302</v>
      </c>
      <c r="D30" s="450">
        <f>SUM(D23:D28)</f>
        <v>145466</v>
      </c>
      <c r="E30" s="351">
        <f>SUM(E23:E28)</f>
        <v>125825</v>
      </c>
    </row>
    <row r="31" spans="2:5" ht="15.75">
      <c r="B31" s="151" t="s">
        <v>271</v>
      </c>
      <c r="C31" s="453">
        <f>C21-C30</f>
        <v>23918</v>
      </c>
      <c r="D31" s="453">
        <f>D21-D30</f>
        <v>0</v>
      </c>
      <c r="E31" s="345" t="s">
        <v>144</v>
      </c>
    </row>
    <row r="32" spans="2:6" ht="15.75">
      <c r="B32" s="297" t="str">
        <f>CONCATENATE("",E$1-2,"/",E$1-1," Budget Authority Amount:")</f>
        <v>2010/2011 Budget Authority Amount:</v>
      </c>
      <c r="C32" s="289">
        <f>inputOth!B36</f>
        <v>153440</v>
      </c>
      <c r="D32" s="289">
        <f>inputPrYr!D21</f>
        <v>177346</v>
      </c>
      <c r="E32" s="345" t="s">
        <v>144</v>
      </c>
      <c r="F32" s="329"/>
    </row>
    <row r="33" spans="2:6" ht="15.75">
      <c r="B33" s="297"/>
      <c r="C33" s="707" t="s">
        <v>675</v>
      </c>
      <c r="D33" s="708"/>
      <c r="E33" s="303"/>
      <c r="F33" s="329">
        <f>IF(E30/0.95-E30&lt;E33,"Exceeds 5%","")</f>
      </c>
    </row>
    <row r="34" spans="2:5" ht="15.75">
      <c r="B34" s="511" t="str">
        <f>CONCATENATE(C75,"     ",D75)</f>
        <v>     </v>
      </c>
      <c r="C34" s="709" t="s">
        <v>676</v>
      </c>
      <c r="D34" s="710"/>
      <c r="E34" s="275">
        <f>E30+E33</f>
        <v>125825</v>
      </c>
    </row>
    <row r="35" spans="2:5" ht="15.75">
      <c r="B35" s="511" t="str">
        <f>CONCATENATE(C76,"     ",D76)</f>
        <v>     </v>
      </c>
      <c r="C35" s="330"/>
      <c r="D35" s="249" t="s">
        <v>164</v>
      </c>
      <c r="E35" s="123">
        <f>IF(E34-E21&gt;0,E34-E21,0)</f>
        <v>21810</v>
      </c>
    </row>
    <row r="36" spans="2:5" ht="15.75">
      <c r="B36" s="249"/>
      <c r="C36" s="509" t="s">
        <v>677</v>
      </c>
      <c r="D36" s="483">
        <f>inputOth!$E$24</f>
        <v>0.01</v>
      </c>
      <c r="E36" s="275">
        <f>ROUND(IF(D36&gt;0,($E$35*D36),0),0)</f>
        <v>218</v>
      </c>
    </row>
    <row r="37" spans="2:5" ht="15.75">
      <c r="B37" s="88"/>
      <c r="C37" s="716" t="str">
        <f>CONCATENATE("Amount of  ",$E$1-1," Ad Valorem Tax")</f>
        <v>Amount of  2011 Ad Valorem Tax</v>
      </c>
      <c r="D37" s="717"/>
      <c r="E37" s="347">
        <f>E35+E36</f>
        <v>22028</v>
      </c>
    </row>
    <row r="38" spans="2:5" ht="9" customHeight="1">
      <c r="B38" s="87" t="s">
        <v>157</v>
      </c>
      <c r="C38" s="336"/>
      <c r="D38" s="336"/>
      <c r="E38" s="336"/>
    </row>
    <row r="39" spans="2:5" ht="15.75">
      <c r="B39" s="88"/>
      <c r="C39" s="464" t="str">
        <f aca="true" t="shared" si="0" ref="C39:E40">C5</f>
        <v>Prior Year Actual</v>
      </c>
      <c r="D39" s="463" t="str">
        <f t="shared" si="0"/>
        <v>Current Year Estimate</v>
      </c>
      <c r="E39" s="465" t="str">
        <f t="shared" si="0"/>
        <v>Proposed Budget Year</v>
      </c>
    </row>
    <row r="40" spans="2:5" ht="15.75">
      <c r="B40" s="488" t="str">
        <f>inputPrYr!B22</f>
        <v>Council on Aging</v>
      </c>
      <c r="C40" s="451">
        <f t="shared" si="0"/>
        <v>2010</v>
      </c>
      <c r="D40" s="451">
        <f t="shared" si="0"/>
        <v>2011</v>
      </c>
      <c r="E40" s="312">
        <f t="shared" si="0"/>
        <v>2012</v>
      </c>
    </row>
    <row r="41" spans="2:5" ht="15.75">
      <c r="B41" s="151" t="s">
        <v>270</v>
      </c>
      <c r="C41" s="448">
        <v>0</v>
      </c>
      <c r="D41" s="452">
        <f>C58</f>
        <v>251</v>
      </c>
      <c r="E41" s="275">
        <f>D58</f>
        <v>437</v>
      </c>
    </row>
    <row r="42" spans="2:5" ht="15.75">
      <c r="B42" s="313" t="s">
        <v>272</v>
      </c>
      <c r="C42" s="315"/>
      <c r="D42" s="315"/>
      <c r="E42" s="130"/>
    </row>
    <row r="43" spans="2:5" ht="15.75">
      <c r="B43" s="151" t="s">
        <v>865</v>
      </c>
      <c r="C43" s="448">
        <v>25140</v>
      </c>
      <c r="D43" s="452">
        <f>inputPrYr!E22</f>
        <v>28000</v>
      </c>
      <c r="E43" s="345" t="s">
        <v>144</v>
      </c>
    </row>
    <row r="44" spans="2:5" ht="15.75">
      <c r="B44" s="151" t="s">
        <v>866</v>
      </c>
      <c r="C44" s="448">
        <v>328</v>
      </c>
      <c r="D44" s="448">
        <v>151</v>
      </c>
      <c r="E44" s="115">
        <v>320</v>
      </c>
    </row>
    <row r="45" spans="2:5" ht="15.75">
      <c r="B45" s="151" t="s">
        <v>867</v>
      </c>
      <c r="C45" s="448">
        <v>3304</v>
      </c>
      <c r="D45" s="448">
        <v>2927</v>
      </c>
      <c r="E45" s="275">
        <f>mvalloc!D14</f>
        <v>2941</v>
      </c>
    </row>
    <row r="46" spans="2:5" ht="15.75">
      <c r="B46" s="151" t="s">
        <v>868</v>
      </c>
      <c r="C46" s="448">
        <v>69</v>
      </c>
      <c r="D46" s="448">
        <v>63</v>
      </c>
      <c r="E46" s="275">
        <f>mvalloc!E14</f>
        <v>63</v>
      </c>
    </row>
    <row r="47" spans="2:5" ht="15.75">
      <c r="B47" s="315" t="s">
        <v>946</v>
      </c>
      <c r="C47" s="448">
        <v>419</v>
      </c>
      <c r="D47" s="448">
        <v>432</v>
      </c>
      <c r="E47" s="275">
        <f>mvalloc!F14</f>
        <v>413</v>
      </c>
    </row>
    <row r="48" spans="2:5" ht="15.75">
      <c r="B48" s="319" t="s">
        <v>73</v>
      </c>
      <c r="C48" s="448"/>
      <c r="D48" s="448"/>
      <c r="E48" s="115"/>
    </row>
    <row r="49" spans="2:5" ht="15.75">
      <c r="B49" s="319" t="s">
        <v>673</v>
      </c>
      <c r="C49" s="449">
        <f>IF(C50*0.1&lt;C48,"Exceed 10% Rule","")</f>
      </c>
      <c r="D49" s="449">
        <f>IF(D50*0.1&lt;D48,"Exceed 10% Rule","")</f>
      </c>
      <c r="E49" s="346">
        <f>IF(E50*0.1+E64&lt;E48,"Exceed 10% Rule","")</f>
      </c>
    </row>
    <row r="50" spans="2:5" ht="15.75">
      <c r="B50" s="321" t="s">
        <v>158</v>
      </c>
      <c r="C50" s="450">
        <f>SUM(C43:C48)</f>
        <v>29260</v>
      </c>
      <c r="D50" s="450">
        <f>SUM(D43:D48)</f>
        <v>31573</v>
      </c>
      <c r="E50" s="351">
        <f>SUM(E44:E48)</f>
        <v>3737</v>
      </c>
    </row>
    <row r="51" spans="2:5" ht="15.75">
      <c r="B51" s="321" t="s">
        <v>159</v>
      </c>
      <c r="C51" s="450">
        <f>C41+C50</f>
        <v>29260</v>
      </c>
      <c r="D51" s="450">
        <f>D41+D50</f>
        <v>31824</v>
      </c>
      <c r="E51" s="351">
        <f>E41+E50</f>
        <v>4174</v>
      </c>
    </row>
    <row r="52" spans="2:5" ht="15.75">
      <c r="B52" s="151" t="s">
        <v>162</v>
      </c>
      <c r="C52" s="319"/>
      <c r="D52" s="319"/>
      <c r="E52" s="111"/>
    </row>
    <row r="53" spans="2:5" ht="15.75">
      <c r="B53" s="327" t="s">
        <v>950</v>
      </c>
      <c r="C53" s="448">
        <v>29009</v>
      </c>
      <c r="D53" s="448">
        <v>31387</v>
      </c>
      <c r="E53" s="115">
        <v>36863</v>
      </c>
    </row>
    <row r="54" spans="2:5" ht="15.75">
      <c r="B54" s="319" t="s">
        <v>74</v>
      </c>
      <c r="C54" s="448"/>
      <c r="D54" s="448"/>
      <c r="E54" s="123">
        <f>Nhood!E11</f>
        <v>27</v>
      </c>
    </row>
    <row r="55" spans="2:5" ht="15.75">
      <c r="B55" s="319" t="s">
        <v>73</v>
      </c>
      <c r="C55" s="448"/>
      <c r="D55" s="448"/>
      <c r="E55" s="115"/>
    </row>
    <row r="56" spans="2:5" ht="15.75">
      <c r="B56" s="319" t="s">
        <v>672</v>
      </c>
      <c r="C56" s="449">
        <f>IF(C57*0.1&lt;C55,"Exceed 10% Rule","")</f>
      </c>
      <c r="D56" s="449">
        <f>IF(D57*0.1&lt;D55,"Exceed 10% Rule","")</f>
      </c>
      <c r="E56" s="346">
        <f>IF(E57*0.1&lt;E55,"Exceed 10% Rule","")</f>
      </c>
    </row>
    <row r="57" spans="2:5" ht="15.75">
      <c r="B57" s="321" t="s">
        <v>163</v>
      </c>
      <c r="C57" s="450">
        <f>SUM(C53:C55)</f>
        <v>29009</v>
      </c>
      <c r="D57" s="450">
        <f>SUM(D53:D55)</f>
        <v>31387</v>
      </c>
      <c r="E57" s="351">
        <f>SUM(E53:E55)</f>
        <v>36890</v>
      </c>
    </row>
    <row r="58" spans="2:5" ht="15.75">
      <c r="B58" s="151" t="s">
        <v>271</v>
      </c>
      <c r="C58" s="453">
        <f>C51-C57</f>
        <v>251</v>
      </c>
      <c r="D58" s="453">
        <f>D51-D57</f>
        <v>437</v>
      </c>
      <c r="E58" s="345" t="s">
        <v>144</v>
      </c>
    </row>
    <row r="59" spans="2:6" ht="15.75">
      <c r="B59" s="297" t="str">
        <f>CONCATENATE("",E$1-2,"/",E$1-1," Budget Authority Amount:")</f>
        <v>2010/2011 Budget Authority Amount:</v>
      </c>
      <c r="C59" s="289">
        <f>inputOth!B37</f>
        <v>29009</v>
      </c>
      <c r="D59" s="289">
        <f>inputPrYr!D22</f>
        <v>31387</v>
      </c>
      <c r="E59" s="345" t="s">
        <v>144</v>
      </c>
      <c r="F59" s="329"/>
    </row>
    <row r="60" spans="2:6" ht="15.75">
      <c r="B60" s="297"/>
      <c r="C60" s="707" t="s">
        <v>675</v>
      </c>
      <c r="D60" s="708"/>
      <c r="E60" s="115"/>
      <c r="F60" s="329">
        <f>IF(E57/0.95-E57&lt;E60,"Exceeds 5%","")</f>
      </c>
    </row>
    <row r="61" spans="2:5" ht="15.75">
      <c r="B61" s="510" t="str">
        <f>CONCATENATE(C77,"     ",D77)</f>
        <v>     </v>
      </c>
      <c r="C61" s="709" t="s">
        <v>676</v>
      </c>
      <c r="D61" s="710"/>
      <c r="E61" s="275">
        <f>E57+E60</f>
        <v>36890</v>
      </c>
    </row>
    <row r="62" spans="2:5" ht="15.75">
      <c r="B62" s="510" t="str">
        <f>CONCATENATE(C78,"     ",D78)</f>
        <v>     </v>
      </c>
      <c r="C62" s="330"/>
      <c r="D62" s="249" t="s">
        <v>164</v>
      </c>
      <c r="E62" s="123">
        <f>IF(E61-E51&gt;0,E61-E51,0)</f>
        <v>32716</v>
      </c>
    </row>
    <row r="63" spans="2:5" ht="15.75">
      <c r="B63" s="249"/>
      <c r="C63" s="509" t="s">
        <v>677</v>
      </c>
      <c r="D63" s="483">
        <f>inputOth!$E$24</f>
        <v>0.01</v>
      </c>
      <c r="E63" s="275">
        <f>ROUND(IF(D63&gt;0,($E$62*D63),0),0)</f>
        <v>327</v>
      </c>
    </row>
    <row r="64" spans="2:5" ht="15.75">
      <c r="B64" s="88"/>
      <c r="C64" s="716" t="str">
        <f>CONCATENATE("Amount of  ",$E$1-1," Ad Valorem Tax")</f>
        <v>Amount of  2011 Ad Valorem Tax</v>
      </c>
      <c r="D64" s="717"/>
      <c r="E64" s="347">
        <f>E62+E63</f>
        <v>33043</v>
      </c>
    </row>
    <row r="65" spans="2:5" ht="25.5" customHeight="1">
      <c r="B65" s="297"/>
      <c r="C65" s="658" t="s">
        <v>1010</v>
      </c>
      <c r="D65" s="88"/>
      <c r="E65" s="88"/>
    </row>
    <row r="75" spans="3:4" ht="15.75" hidden="1">
      <c r="C75" s="75">
        <f>IF(C30&gt;C32,"See Tab A","")</f>
      </c>
      <c r="D75" s="75">
        <f>IF(D30&gt;D32,"See Tab C","")</f>
      </c>
    </row>
    <row r="76" spans="3:4" ht="15.75" hidden="1">
      <c r="C76" s="75">
        <f>IF(C31&lt;0,"See Tab B","")</f>
      </c>
      <c r="D76" s="75">
        <f>IF(D31&lt;0,"See Tab D","")</f>
      </c>
    </row>
    <row r="77" spans="3:4" ht="15.75" hidden="1">
      <c r="C77" s="75">
        <f>IF(C57&gt;C59,"See Tab A","")</f>
      </c>
      <c r="D77" s="75">
        <f>IF(D57&gt;D59,"See Tab C","")</f>
      </c>
    </row>
    <row r="78" spans="3:4" ht="15.75" hidden="1">
      <c r="C78" s="75">
        <f>IF(C58&lt;0,"See Tab B","")</f>
      </c>
      <c r="D78" s="75">
        <f>IF(D58&lt;0,"See Tab D","")</f>
      </c>
    </row>
  </sheetData>
  <sheetProtection/>
  <mergeCells count="6">
    <mergeCell ref="C33:D33"/>
    <mergeCell ref="C34:D34"/>
    <mergeCell ref="C60:D60"/>
    <mergeCell ref="C61:D61"/>
    <mergeCell ref="C64:D64"/>
    <mergeCell ref="C37:D37"/>
  </mergeCells>
  <conditionalFormatting sqref="E55">
    <cfRule type="cellIs" priority="3" dxfId="163" operator="greaterThan" stopIfTrue="1">
      <formula>$E$57*0.1</formula>
    </cfRule>
  </conditionalFormatting>
  <conditionalFormatting sqref="E60">
    <cfRule type="cellIs" priority="4" dxfId="163" operator="greaterThan" stopIfTrue="1">
      <formula>$E$57/0.95-$E$57</formula>
    </cfRule>
  </conditionalFormatting>
  <conditionalFormatting sqref="E33">
    <cfRule type="cellIs" priority="5" dxfId="163" operator="greaterThan" stopIfTrue="1">
      <formula>$E$30/0.95-$E$30</formula>
    </cfRule>
  </conditionalFormatting>
  <conditionalFormatting sqref="E28">
    <cfRule type="cellIs" priority="6" dxfId="163" operator="greaterThan" stopIfTrue="1">
      <formula>$E$30*0.1</formula>
    </cfRule>
  </conditionalFormatting>
  <conditionalFormatting sqref="C30">
    <cfRule type="cellIs" priority="7" dxfId="1" operator="greaterThan" stopIfTrue="1">
      <formula>$C$32</formula>
    </cfRule>
  </conditionalFormatting>
  <conditionalFormatting sqref="C58 C31">
    <cfRule type="cellIs" priority="8" dxfId="1" operator="lessThan" stopIfTrue="1">
      <formula>0</formula>
    </cfRule>
  </conditionalFormatting>
  <conditionalFormatting sqref="D30">
    <cfRule type="cellIs" priority="9" dxfId="1" operator="greaterThan" stopIfTrue="1">
      <formula>$D$32</formula>
    </cfRule>
  </conditionalFormatting>
  <conditionalFormatting sqref="C57">
    <cfRule type="cellIs" priority="10" dxfId="1" operator="greaterThan" stopIfTrue="1">
      <formula>$C$59</formula>
    </cfRule>
  </conditionalFormatting>
  <conditionalFormatting sqref="D57">
    <cfRule type="cellIs" priority="11" dxfId="1" operator="greaterThan" stopIfTrue="1">
      <formula>$D$59</formula>
    </cfRule>
  </conditionalFormatting>
  <conditionalFormatting sqref="C55">
    <cfRule type="cellIs" priority="12" dxfId="1" operator="greaterThan" stopIfTrue="1">
      <formula>$C$57*0.1</formula>
    </cfRule>
  </conditionalFormatting>
  <conditionalFormatting sqref="D55">
    <cfRule type="cellIs" priority="13" dxfId="1" operator="greaterThan" stopIfTrue="1">
      <formula>$D$57*0.1</formula>
    </cfRule>
  </conditionalFormatting>
  <conditionalFormatting sqref="E48">
    <cfRule type="cellIs" priority="14" dxfId="163" operator="greaterThan" stopIfTrue="1">
      <formula>$E$50*0.1+E64</formula>
    </cfRule>
  </conditionalFormatting>
  <conditionalFormatting sqref="C48">
    <cfRule type="cellIs" priority="15" dxfId="1" operator="greaterThan" stopIfTrue="1">
      <formula>$C$50*0.1</formula>
    </cfRule>
  </conditionalFormatting>
  <conditionalFormatting sqref="D48">
    <cfRule type="cellIs" priority="16" dxfId="1" operator="greaterThan" stopIfTrue="1">
      <formula>$D$50*0.1</formula>
    </cfRule>
  </conditionalFormatting>
  <conditionalFormatting sqref="C28">
    <cfRule type="cellIs" priority="17" dxfId="1" operator="greaterThan" stopIfTrue="1">
      <formula>$C$30*0.1</formula>
    </cfRule>
  </conditionalFormatting>
  <conditionalFormatting sqref="D28">
    <cfRule type="cellIs" priority="18" dxfId="1" operator="greaterThan" stopIfTrue="1">
      <formula>$D$30*0.1</formula>
    </cfRule>
  </conditionalFormatting>
  <conditionalFormatting sqref="E18">
    <cfRule type="cellIs" priority="19" dxfId="163" operator="greaterThan" stopIfTrue="1">
      <formula>$E$20*0.1+E37</formula>
    </cfRule>
  </conditionalFormatting>
  <conditionalFormatting sqref="C18">
    <cfRule type="cellIs" priority="20" dxfId="1" operator="greaterThan" stopIfTrue="1">
      <formula>$C$20*0.1</formula>
    </cfRule>
  </conditionalFormatting>
  <conditionalFormatting sqref="D18">
    <cfRule type="cellIs" priority="21" dxfId="1" operator="greaterThan" stopIfTrue="1">
      <formula>$D$20*0.1</formula>
    </cfRule>
  </conditionalFormatting>
  <conditionalFormatting sqref="D58 D31">
    <cfRule type="cellIs" priority="2" dxfId="0" operator="lessThan" stopIfTrue="1">
      <formula>0</formula>
    </cfRule>
  </conditionalFormatting>
  <printOptions/>
  <pageMargins left="0.75" right="0.5" top="0.52" bottom="0.24" header="0.3" footer="0"/>
  <pageSetup blackAndWhite="1" horizontalDpi="120" verticalDpi="120" orientation="portrait" scale="74"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72"/>
  <sheetViews>
    <sheetView zoomScalePageLayoutView="0" workbookViewId="0" topLeftCell="A31">
      <selection activeCell="C47" sqref="C47"/>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16384" width="8.8984375" style="75" customWidth="1"/>
  </cols>
  <sheetData>
    <row r="1" spans="2:5" ht="15.75">
      <c r="B1" s="237" t="str">
        <f>(inputPrYr!C2)</f>
        <v>Sheridan County</v>
      </c>
      <c r="C1" s="88"/>
      <c r="D1" s="88"/>
      <c r="E1" s="296">
        <f>inputPrYr!C4</f>
        <v>2012</v>
      </c>
    </row>
    <row r="2" spans="2:5" ht="9" customHeight="1">
      <c r="B2" s="88"/>
      <c r="C2" s="88"/>
      <c r="D2" s="88"/>
      <c r="E2" s="249"/>
    </row>
    <row r="3" spans="2:5" ht="15.75">
      <c r="B3" s="155" t="s">
        <v>230</v>
      </c>
      <c r="C3" s="342"/>
      <c r="D3" s="342"/>
      <c r="E3" s="343"/>
    </row>
    <row r="4" spans="2:5" ht="7.5" customHeight="1">
      <c r="B4" s="88"/>
      <c r="C4" s="336"/>
      <c r="D4" s="336"/>
      <c r="E4" s="336"/>
    </row>
    <row r="5" spans="2:5" ht="15.75">
      <c r="B5" s="87" t="s">
        <v>157</v>
      </c>
      <c r="C5" s="464" t="str">
        <f>general!C4</f>
        <v>Prior Year Actual</v>
      </c>
      <c r="D5" s="463" t="str">
        <f>general!D4</f>
        <v>Current Year Estimate</v>
      </c>
      <c r="E5" s="465" t="str">
        <f>general!E4</f>
        <v>Proposed Budget Year</v>
      </c>
    </row>
    <row r="6" spans="2:5" ht="15.75">
      <c r="B6" s="489" t="str">
        <f>inputPrYr!B23</f>
        <v>Library Service Contract</v>
      </c>
      <c r="C6" s="451">
        <f>general!$C$5</f>
        <v>2010</v>
      </c>
      <c r="D6" s="451">
        <f>general!D5</f>
        <v>2011</v>
      </c>
      <c r="E6" s="325">
        <f>general!E5</f>
        <v>2012</v>
      </c>
    </row>
    <row r="7" spans="2:5" ht="15.75">
      <c r="B7" s="151" t="s">
        <v>270</v>
      </c>
      <c r="C7" s="448">
        <v>0</v>
      </c>
      <c r="D7" s="452">
        <f>C24</f>
        <v>26</v>
      </c>
      <c r="E7" s="275">
        <f>D24</f>
        <v>14</v>
      </c>
    </row>
    <row r="8" spans="2:5" ht="15.75">
      <c r="B8" s="300" t="s">
        <v>272</v>
      </c>
      <c r="C8" s="315"/>
      <c r="D8" s="315"/>
      <c r="E8" s="130"/>
    </row>
    <row r="9" spans="2:5" ht="15.75">
      <c r="B9" s="151" t="s">
        <v>865</v>
      </c>
      <c r="C9" s="448">
        <v>14078</v>
      </c>
      <c r="D9" s="452">
        <f>inputPrYr!E23</f>
        <v>15512</v>
      </c>
      <c r="E9" s="345" t="s">
        <v>144</v>
      </c>
    </row>
    <row r="10" spans="2:5" ht="15.75">
      <c r="B10" s="151" t="s">
        <v>866</v>
      </c>
      <c r="C10" s="448">
        <v>169</v>
      </c>
      <c r="D10" s="448">
        <v>84</v>
      </c>
      <c r="E10" s="115">
        <v>200</v>
      </c>
    </row>
    <row r="11" spans="2:5" ht="15.75">
      <c r="B11" s="151" t="s">
        <v>867</v>
      </c>
      <c r="C11" s="448">
        <v>1505</v>
      </c>
      <c r="D11" s="448">
        <v>1639</v>
      </c>
      <c r="E11" s="275">
        <f>mvalloc!D15</f>
        <v>1629</v>
      </c>
    </row>
    <row r="12" spans="2:5" ht="15.75">
      <c r="B12" s="151" t="s">
        <v>868</v>
      </c>
      <c r="C12" s="448">
        <v>31</v>
      </c>
      <c r="D12" s="448">
        <v>35</v>
      </c>
      <c r="E12" s="275">
        <f>mvalloc!E15</f>
        <v>35</v>
      </c>
    </row>
    <row r="13" spans="2:5" ht="15.75">
      <c r="B13" s="315" t="s">
        <v>946</v>
      </c>
      <c r="C13" s="448">
        <v>243</v>
      </c>
      <c r="D13" s="448">
        <v>218</v>
      </c>
      <c r="E13" s="275">
        <f>mvalloc!F15</f>
        <v>229</v>
      </c>
    </row>
    <row r="14" spans="2:5" ht="15.75">
      <c r="B14" s="319" t="s">
        <v>73</v>
      </c>
      <c r="C14" s="448"/>
      <c r="D14" s="448"/>
      <c r="E14" s="115"/>
    </row>
    <row r="15" spans="2:5" ht="15.75">
      <c r="B15" s="319" t="s">
        <v>673</v>
      </c>
      <c r="C15" s="449">
        <f>IF(C16*0.1&lt;C14,"Exceed 10% Rule","")</f>
      </c>
      <c r="D15" s="449">
        <f>IF(D16*0.1&lt;D14,"Exceed 10% Rule","")</f>
      </c>
      <c r="E15" s="346">
        <f>IF(E16*0.1+E30&lt;E14,"Exceed 10% Rule","")</f>
      </c>
    </row>
    <row r="16" spans="2:5" ht="15.75">
      <c r="B16" s="321" t="s">
        <v>158</v>
      </c>
      <c r="C16" s="450">
        <f>SUM(C9:C14)</f>
        <v>16026</v>
      </c>
      <c r="D16" s="450">
        <f>SUM(D9:D14)</f>
        <v>17488</v>
      </c>
      <c r="E16" s="351">
        <f>SUM(E9:E14)</f>
        <v>2093</v>
      </c>
    </row>
    <row r="17" spans="2:5" ht="15.75">
      <c r="B17" s="321" t="s">
        <v>159</v>
      </c>
      <c r="C17" s="450">
        <f>C7+C16</f>
        <v>16026</v>
      </c>
      <c r="D17" s="450">
        <f>D7+D16</f>
        <v>17514</v>
      </c>
      <c r="E17" s="351">
        <f>E7+E16</f>
        <v>2107</v>
      </c>
    </row>
    <row r="18" spans="2:5" ht="15.75">
      <c r="B18" s="151" t="s">
        <v>162</v>
      </c>
      <c r="C18" s="319"/>
      <c r="D18" s="319"/>
      <c r="E18" s="111"/>
    </row>
    <row r="19" spans="2:5" ht="15.75">
      <c r="B19" s="327" t="s">
        <v>956</v>
      </c>
      <c r="C19" s="448">
        <v>16000</v>
      </c>
      <c r="D19" s="448">
        <v>17500</v>
      </c>
      <c r="E19" s="115">
        <v>17500</v>
      </c>
    </row>
    <row r="20" spans="2:5" ht="15.75">
      <c r="B20" s="319" t="s">
        <v>74</v>
      </c>
      <c r="C20" s="448"/>
      <c r="D20" s="448"/>
      <c r="E20" s="123">
        <f>Nhood!E12</f>
        <v>13</v>
      </c>
    </row>
    <row r="21" spans="2:5" ht="15.75">
      <c r="B21" s="319" t="s">
        <v>73</v>
      </c>
      <c r="C21" s="448"/>
      <c r="D21" s="448"/>
      <c r="E21" s="115"/>
    </row>
    <row r="22" spans="2:5" ht="15.75">
      <c r="B22" s="319" t="s">
        <v>672</v>
      </c>
      <c r="C22" s="449">
        <f>IF(C23*0.1&lt;C21,"Exceed 10% Rule","")</f>
      </c>
      <c r="D22" s="449">
        <f>IF(D23*0.1&lt;D21,"Exceed 10% Rule","")</f>
      </c>
      <c r="E22" s="346">
        <f>IF(E23*0.1&lt;E21,"Exceed 10% Rule","")</f>
      </c>
    </row>
    <row r="23" spans="2:5" ht="15.75">
      <c r="B23" s="321" t="s">
        <v>163</v>
      </c>
      <c r="C23" s="450">
        <f>SUM(C19:C21)</f>
        <v>16000</v>
      </c>
      <c r="D23" s="450">
        <f>SUM(D19:D21)</f>
        <v>17500</v>
      </c>
      <c r="E23" s="351">
        <f>SUM(E19:E21)</f>
        <v>17513</v>
      </c>
    </row>
    <row r="24" spans="2:5" ht="15.75">
      <c r="B24" s="151" t="s">
        <v>271</v>
      </c>
      <c r="C24" s="453">
        <f>C17-C23</f>
        <v>26</v>
      </c>
      <c r="D24" s="453">
        <f>D17-D23</f>
        <v>14</v>
      </c>
      <c r="E24" s="345" t="s">
        <v>144</v>
      </c>
    </row>
    <row r="25" spans="2:6" ht="15.75">
      <c r="B25" s="297" t="str">
        <f>CONCATENATE("",E$1-2,"/",E$1-1," Budget Authority Amount:")</f>
        <v>2010/2011 Budget Authority Amount:</v>
      </c>
      <c r="C25" s="289">
        <f>inputOth!B38</f>
        <v>16000</v>
      </c>
      <c r="D25" s="289">
        <f>inputPrYr!D23</f>
        <v>17500</v>
      </c>
      <c r="E25" s="345" t="s">
        <v>144</v>
      </c>
      <c r="F25" s="329"/>
    </row>
    <row r="26" spans="2:6" ht="15.75">
      <c r="B26" s="297"/>
      <c r="C26" s="707" t="s">
        <v>675</v>
      </c>
      <c r="D26" s="708"/>
      <c r="E26" s="115"/>
      <c r="F26" s="329">
        <f>IF(E23/0.95-E23&lt;E26,"Exceeds 5%","")</f>
      </c>
    </row>
    <row r="27" spans="2:5" ht="15.75">
      <c r="B27" s="511" t="str">
        <f>CONCATENATE(C69,"     ",D69)</f>
        <v>     </v>
      </c>
      <c r="C27" s="709" t="s">
        <v>676</v>
      </c>
      <c r="D27" s="710"/>
      <c r="E27" s="275">
        <f>E23+E26</f>
        <v>17513</v>
      </c>
    </row>
    <row r="28" spans="2:5" ht="15.75">
      <c r="B28" s="511" t="str">
        <f>CONCATENATE(C70,"     ",D70)</f>
        <v>     </v>
      </c>
      <c r="C28" s="330"/>
      <c r="D28" s="249" t="s">
        <v>164</v>
      </c>
      <c r="E28" s="123">
        <f>IF(E27-E17&gt;0,E27-E17,0)</f>
        <v>15406</v>
      </c>
    </row>
    <row r="29" spans="2:5" ht="15.75">
      <c r="B29" s="249"/>
      <c r="C29" s="509" t="s">
        <v>677</v>
      </c>
      <c r="D29" s="483">
        <f>inputOth!$E$24</f>
        <v>0.01</v>
      </c>
      <c r="E29" s="275">
        <f>ROUND(IF(D29&gt;0,($E$28*D29),0),0)</f>
        <v>154</v>
      </c>
    </row>
    <row r="30" spans="2:5" ht="15.75">
      <c r="B30" s="88"/>
      <c r="C30" s="716" t="str">
        <f>CONCATENATE("Amount of  ",$E$1-1," Ad Valorem Tax")</f>
        <v>Amount of  2011 Ad Valorem Tax</v>
      </c>
      <c r="D30" s="717"/>
      <c r="E30" s="347">
        <f>E28+E29</f>
        <v>15560</v>
      </c>
    </row>
    <row r="31" spans="2:5" ht="7.5" customHeight="1">
      <c r="B31" s="88"/>
      <c r="C31" s="336"/>
      <c r="D31" s="336"/>
      <c r="E31" s="336"/>
    </row>
    <row r="32" spans="2:5" ht="15.75">
      <c r="B32" s="87" t="s">
        <v>157</v>
      </c>
      <c r="C32" s="464" t="str">
        <f aca="true" t="shared" si="0" ref="C32:E33">C5</f>
        <v>Prior Year Actual</v>
      </c>
      <c r="D32" s="463" t="str">
        <f t="shared" si="0"/>
        <v>Current Year Estimate</v>
      </c>
      <c r="E32" s="465" t="str">
        <f t="shared" si="0"/>
        <v>Proposed Budget Year</v>
      </c>
    </row>
    <row r="33" spans="2:5" ht="15.75">
      <c r="B33" s="489" t="str">
        <f>inputPrYr!B24</f>
        <v>Hospital Maintenance</v>
      </c>
      <c r="C33" s="451">
        <f t="shared" si="0"/>
        <v>2010</v>
      </c>
      <c r="D33" s="451">
        <f t="shared" si="0"/>
        <v>2011</v>
      </c>
      <c r="E33" s="325">
        <f t="shared" si="0"/>
        <v>2012</v>
      </c>
    </row>
    <row r="34" spans="2:5" ht="15.75">
      <c r="B34" s="151" t="s">
        <v>270</v>
      </c>
      <c r="C34" s="448">
        <v>22001</v>
      </c>
      <c r="D34" s="452">
        <f>C52</f>
        <v>0</v>
      </c>
      <c r="E34" s="275">
        <f>D52</f>
        <v>0</v>
      </c>
    </row>
    <row r="35" spans="2:5" ht="15.75">
      <c r="B35" s="300" t="s">
        <v>272</v>
      </c>
      <c r="C35" s="315"/>
      <c r="D35" s="315"/>
      <c r="E35" s="130"/>
    </row>
    <row r="36" spans="2:5" ht="15.75">
      <c r="B36" s="151" t="s">
        <v>865</v>
      </c>
      <c r="C36" s="448">
        <v>335195</v>
      </c>
      <c r="D36" s="452">
        <f>inputPrYr!E24</f>
        <v>370133</v>
      </c>
      <c r="E36" s="345" t="s">
        <v>144</v>
      </c>
    </row>
    <row r="37" spans="2:5" ht="15.75">
      <c r="B37" s="151" t="s">
        <v>866</v>
      </c>
      <c r="C37" s="448">
        <v>4286</v>
      </c>
      <c r="D37" s="448">
        <v>1967</v>
      </c>
      <c r="E37" s="115">
        <v>2500</v>
      </c>
    </row>
    <row r="38" spans="2:5" ht="15.75">
      <c r="B38" s="151" t="s">
        <v>867</v>
      </c>
      <c r="C38" s="448">
        <v>38376</v>
      </c>
      <c r="D38" s="448">
        <v>39024</v>
      </c>
      <c r="E38" s="275">
        <f>mvalloc!D16</f>
        <v>38872</v>
      </c>
    </row>
    <row r="39" spans="2:5" ht="15.75">
      <c r="B39" s="151" t="s">
        <v>868</v>
      </c>
      <c r="C39" s="448">
        <v>802</v>
      </c>
      <c r="D39" s="448">
        <v>841</v>
      </c>
      <c r="E39" s="275">
        <f>mvalloc!E16</f>
        <v>838</v>
      </c>
    </row>
    <row r="40" spans="2:5" ht="15.75">
      <c r="B40" s="315" t="s">
        <v>946</v>
      </c>
      <c r="C40" s="448">
        <v>5546</v>
      </c>
      <c r="D40" s="448">
        <v>5756</v>
      </c>
      <c r="E40" s="275">
        <f>mvalloc!F16</f>
        <v>5460</v>
      </c>
    </row>
    <row r="41" spans="2:5" ht="15.75">
      <c r="B41" s="315" t="s">
        <v>957</v>
      </c>
      <c r="C41" s="448">
        <v>336910</v>
      </c>
      <c r="D41" s="448">
        <v>338000</v>
      </c>
      <c r="E41" s="275">
        <v>375000</v>
      </c>
    </row>
    <row r="42" spans="2:5" ht="15.75">
      <c r="B42" s="319" t="s">
        <v>73</v>
      </c>
      <c r="C42" s="448"/>
      <c r="D42" s="448"/>
      <c r="E42" s="115"/>
    </row>
    <row r="43" spans="2:5" ht="15.75">
      <c r="B43" s="319" t="s">
        <v>673</v>
      </c>
      <c r="C43" s="449">
        <f>IF(C44*0.1&lt;C42,"Exceed 10% Rule","")</f>
      </c>
      <c r="D43" s="449">
        <f>IF(D44*0.1&lt;D42,"Exceed 10% Rule","")</f>
      </c>
      <c r="E43" s="346">
        <f>IF(E44*0.1+E58&lt;E42,"Exceed 10% Rule","")</f>
      </c>
    </row>
    <row r="44" spans="2:5" ht="15.75">
      <c r="B44" s="321" t="s">
        <v>158</v>
      </c>
      <c r="C44" s="450">
        <f>SUM(C36:C42)</f>
        <v>721115</v>
      </c>
      <c r="D44" s="450">
        <f>SUM(D36:D42)</f>
        <v>755721</v>
      </c>
      <c r="E44" s="351">
        <f>SUM(E36:E42)</f>
        <v>422670</v>
      </c>
    </row>
    <row r="45" spans="2:5" ht="15.75">
      <c r="B45" s="321" t="s">
        <v>159</v>
      </c>
      <c r="C45" s="450">
        <f>C34+C44</f>
        <v>743116</v>
      </c>
      <c r="D45" s="450">
        <f>D34+D44</f>
        <v>755721</v>
      </c>
      <c r="E45" s="351">
        <f>E34+E44</f>
        <v>422670</v>
      </c>
    </row>
    <row r="46" spans="2:5" ht="15.75">
      <c r="B46" s="151" t="s">
        <v>162</v>
      </c>
      <c r="C46" s="319"/>
      <c r="D46" s="319"/>
      <c r="E46" s="111"/>
    </row>
    <row r="47" spans="2:5" ht="15.75">
      <c r="B47" s="327" t="s">
        <v>950</v>
      </c>
      <c r="C47" s="448">
        <v>743116</v>
      </c>
      <c r="D47" s="448">
        <v>755721</v>
      </c>
      <c r="E47" s="115">
        <v>858525</v>
      </c>
    </row>
    <row r="48" spans="2:5" ht="15.75">
      <c r="B48" s="319" t="s">
        <v>74</v>
      </c>
      <c r="C48" s="448"/>
      <c r="D48" s="448"/>
      <c r="E48" s="123">
        <f>Nhood!E13</f>
        <v>367</v>
      </c>
    </row>
    <row r="49" spans="2:5" ht="15.75">
      <c r="B49" s="319" t="s">
        <v>73</v>
      </c>
      <c r="C49" s="448"/>
      <c r="D49" s="448"/>
      <c r="E49" s="115"/>
    </row>
    <row r="50" spans="2:5" ht="15.75">
      <c r="B50" s="319" t="s">
        <v>672</v>
      </c>
      <c r="C50" s="449">
        <f>IF(C51*0.1&lt;C49,"Exceed 10% Rule","")</f>
      </c>
      <c r="D50" s="449">
        <f>IF(D51*0.1&lt;D49,"Exceed 10% Rule","")</f>
      </c>
      <c r="E50" s="346">
        <f>IF(E51*0.1&lt;E49,"Exceed 10% Rule","")</f>
      </c>
    </row>
    <row r="51" spans="2:5" ht="15.75">
      <c r="B51" s="321" t="s">
        <v>163</v>
      </c>
      <c r="C51" s="450">
        <f>SUM(C47:C49)</f>
        <v>743116</v>
      </c>
      <c r="D51" s="450">
        <f>SUM(D47:D49)</f>
        <v>755721</v>
      </c>
      <c r="E51" s="351">
        <f>SUM(E47:E49)</f>
        <v>858892</v>
      </c>
    </row>
    <row r="52" spans="2:5" ht="15.75">
      <c r="B52" s="151" t="s">
        <v>271</v>
      </c>
      <c r="C52" s="453">
        <f>C45-C51</f>
        <v>0</v>
      </c>
      <c r="D52" s="453">
        <f>D45-D51</f>
        <v>0</v>
      </c>
      <c r="E52" s="345" t="s">
        <v>144</v>
      </c>
    </row>
    <row r="53" spans="2:6" ht="15.75">
      <c r="B53" s="297" t="str">
        <f>CONCATENATE("",E$1-2,"/",E$1-1," Budget Authority Amount:")</f>
        <v>2010/2011 Budget Authority Amount:</v>
      </c>
      <c r="C53" s="289">
        <f>inputOth!B39</f>
        <v>779000</v>
      </c>
      <c r="D53" s="289">
        <f>inputPrYr!D24</f>
        <v>795000</v>
      </c>
      <c r="E53" s="345" t="s">
        <v>144</v>
      </c>
      <c r="F53" s="329"/>
    </row>
    <row r="54" spans="2:6" ht="15.75">
      <c r="B54" s="297"/>
      <c r="C54" s="707" t="s">
        <v>675</v>
      </c>
      <c r="D54" s="708"/>
      <c r="E54" s="115"/>
      <c r="F54" s="329">
        <f>IF(E51/0.95-E51&lt;E54,"Exceeds 5%","")</f>
      </c>
    </row>
    <row r="55" spans="2:5" ht="15.75">
      <c r="B55" s="510" t="str">
        <f>CONCATENATE(C71,"     ",D71)</f>
        <v>     </v>
      </c>
      <c r="C55" s="709" t="s">
        <v>676</v>
      </c>
      <c r="D55" s="710"/>
      <c r="E55" s="275">
        <f>E51+E54</f>
        <v>858892</v>
      </c>
    </row>
    <row r="56" spans="2:5" ht="15.75">
      <c r="B56" s="510" t="str">
        <f>CONCATENATE(C72,"     ",D72)</f>
        <v>     </v>
      </c>
      <c r="C56" s="330"/>
      <c r="D56" s="249" t="s">
        <v>164</v>
      </c>
      <c r="E56" s="123">
        <f>IF(E55-E45&gt;0,E55-E45,0)</f>
        <v>436222</v>
      </c>
    </row>
    <row r="57" spans="2:5" ht="15.75">
      <c r="B57" s="249"/>
      <c r="C57" s="509" t="s">
        <v>677</v>
      </c>
      <c r="D57" s="483">
        <f>inputOth!$E$24</f>
        <v>0.01</v>
      </c>
      <c r="E57" s="275">
        <f>ROUND(IF(D57&gt;0,($E$56*D57),0),0)</f>
        <v>4362</v>
      </c>
    </row>
    <row r="58" spans="2:5" ht="15.75">
      <c r="B58" s="88"/>
      <c r="C58" s="716" t="str">
        <f>CONCATENATE("Amount of  ",$E$1-1," Ad Valorem Tax")</f>
        <v>Amount of  2011 Ad Valorem Tax</v>
      </c>
      <c r="D58" s="717"/>
      <c r="E58" s="347">
        <f>E56+E57</f>
        <v>440584</v>
      </c>
    </row>
    <row r="59" spans="2:5" ht="15.75">
      <c r="B59" s="297"/>
      <c r="C59" s="658" t="s">
        <v>1011</v>
      </c>
      <c r="D59" s="88"/>
      <c r="E59" s="88"/>
    </row>
    <row r="69" spans="3:4" ht="15.75" hidden="1">
      <c r="C69" s="75">
        <f>IF(C23&gt;C25,"See Tab A","")</f>
      </c>
      <c r="D69" s="75">
        <f>IF(D23&gt;D25,"See Tab C","")</f>
      </c>
    </row>
    <row r="70" spans="3:4" ht="15.75" hidden="1">
      <c r="C70" s="75">
        <f>IF(C24&lt;0,"See Tab B","")</f>
      </c>
      <c r="D70" s="75">
        <f>IF(D24&lt;0,"See Tab D","")</f>
      </c>
    </row>
    <row r="71" spans="3:4" ht="15.75" hidden="1">
      <c r="C71" s="75">
        <f>IF(C51&gt;C53,"See Tab A","")</f>
      </c>
      <c r="D71" s="75">
        <f>IF(D51&gt;D53,"See Tab C","")</f>
      </c>
    </row>
    <row r="72" spans="3:4" ht="15.75" hidden="1">
      <c r="C72" s="75">
        <f>IF(C52&lt;0,"See Tab B","")</f>
      </c>
      <c r="D72" s="75">
        <f>IF(D52&lt;0,"See Tab D","")</f>
      </c>
    </row>
  </sheetData>
  <sheetProtection/>
  <mergeCells count="6">
    <mergeCell ref="C26:D26"/>
    <mergeCell ref="C27:D27"/>
    <mergeCell ref="C54:D54"/>
    <mergeCell ref="C55:D55"/>
    <mergeCell ref="C58:D58"/>
    <mergeCell ref="C30:D30"/>
  </mergeCells>
  <conditionalFormatting sqref="E49">
    <cfRule type="cellIs" priority="3" dxfId="163" operator="greaterThan" stopIfTrue="1">
      <formula>$E$51*0.1</formula>
    </cfRule>
  </conditionalFormatting>
  <conditionalFormatting sqref="E54">
    <cfRule type="cellIs" priority="4" dxfId="163" operator="greaterThan" stopIfTrue="1">
      <formula>$E$51/0.95-$E$51</formula>
    </cfRule>
  </conditionalFormatting>
  <conditionalFormatting sqref="E26">
    <cfRule type="cellIs" priority="5" dxfId="163" operator="greaterThan" stopIfTrue="1">
      <formula>$E$23/0.95-$E$23</formula>
    </cfRule>
  </conditionalFormatting>
  <conditionalFormatting sqref="E21">
    <cfRule type="cellIs" priority="6" dxfId="163" operator="greaterThan" stopIfTrue="1">
      <formula>$E$23*0.1</formula>
    </cfRule>
  </conditionalFormatting>
  <conditionalFormatting sqref="C52 C24">
    <cfRule type="cellIs" priority="7" dxfId="1" operator="lessThan" stopIfTrue="1">
      <formula>0</formula>
    </cfRule>
  </conditionalFormatting>
  <conditionalFormatting sqref="C51">
    <cfRule type="cellIs" priority="8" dxfId="1" operator="greaterThan" stopIfTrue="1">
      <formula>$C$53</formula>
    </cfRule>
  </conditionalFormatting>
  <conditionalFormatting sqref="D51">
    <cfRule type="cellIs" priority="9" dxfId="1" operator="greaterThan" stopIfTrue="1">
      <formula>$D$53</formula>
    </cfRule>
  </conditionalFormatting>
  <conditionalFormatting sqref="C49">
    <cfRule type="cellIs" priority="10" dxfId="1" operator="greaterThan" stopIfTrue="1">
      <formula>$C$51*0.1</formula>
    </cfRule>
  </conditionalFormatting>
  <conditionalFormatting sqref="D49">
    <cfRule type="cellIs" priority="11" dxfId="1" operator="greaterThan" stopIfTrue="1">
      <formula>$D$51*0.1</formula>
    </cfRule>
  </conditionalFormatting>
  <conditionalFormatting sqref="E42">
    <cfRule type="cellIs" priority="12" dxfId="163" operator="greaterThan" stopIfTrue="1">
      <formula>$E$44*0.1+E58</formula>
    </cfRule>
  </conditionalFormatting>
  <conditionalFormatting sqref="C42">
    <cfRule type="cellIs" priority="13" dxfId="1" operator="greaterThan" stopIfTrue="1">
      <formula>$C$44*0.1</formula>
    </cfRule>
  </conditionalFormatting>
  <conditionalFormatting sqref="D42">
    <cfRule type="cellIs" priority="14" dxfId="1" operator="greaterThan" stopIfTrue="1">
      <formula>$D$44*0.1</formula>
    </cfRule>
  </conditionalFormatting>
  <conditionalFormatting sqref="C23">
    <cfRule type="cellIs" priority="15" dxfId="1" operator="greaterThan" stopIfTrue="1">
      <formula>$C$25</formula>
    </cfRule>
  </conditionalFormatting>
  <conditionalFormatting sqref="D23">
    <cfRule type="cellIs" priority="16" dxfId="1" operator="greaterThan" stopIfTrue="1">
      <formula>$D$25</formula>
    </cfRule>
  </conditionalFormatting>
  <conditionalFormatting sqref="C21">
    <cfRule type="cellIs" priority="17" dxfId="1" operator="greaterThan" stopIfTrue="1">
      <formula>$C$23*0.1</formula>
    </cfRule>
  </conditionalFormatting>
  <conditionalFormatting sqref="D21">
    <cfRule type="cellIs" priority="18" dxfId="1" operator="greaterThan" stopIfTrue="1">
      <formula>$D$23*0.1</formula>
    </cfRule>
  </conditionalFormatting>
  <conditionalFormatting sqref="E14">
    <cfRule type="cellIs" priority="19" dxfId="163" operator="greaterThan" stopIfTrue="1">
      <formula>$E$16*0.1+E30</formula>
    </cfRule>
  </conditionalFormatting>
  <conditionalFormatting sqref="C14">
    <cfRule type="cellIs" priority="20" dxfId="1" operator="greaterThan" stopIfTrue="1">
      <formula>$C$16*0.1</formula>
    </cfRule>
  </conditionalFormatting>
  <conditionalFormatting sqref="D14">
    <cfRule type="cellIs" priority="21" dxfId="1" operator="greaterThan" stopIfTrue="1">
      <formula>$D$16*0.1</formula>
    </cfRule>
  </conditionalFormatting>
  <conditionalFormatting sqref="D52 D24">
    <cfRule type="cellIs" priority="2" dxfId="0" operator="lessThan" stopIfTrue="1">
      <formula>0</formula>
    </cfRule>
  </conditionalFormatting>
  <printOptions/>
  <pageMargins left="0.99" right="0.5" top="0.57" bottom="0.29" header="0.28" footer="0"/>
  <pageSetup blackAndWhite="1" fitToHeight="1" fitToWidth="1" horizontalDpi="120" verticalDpi="120" orientation="portrait" scale="81"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dimension ref="B1:F67"/>
  <sheetViews>
    <sheetView zoomScalePageLayoutView="0" workbookViewId="0" topLeftCell="A4">
      <selection activeCell="C47" sqref="C47"/>
    </sheetView>
  </sheetViews>
  <sheetFormatPr defaultColWidth="8.796875" defaultRowHeight="15"/>
  <cols>
    <col min="1" max="1" width="2.3984375" style="75" customWidth="1"/>
    <col min="2" max="2" width="32.59765625" style="75" customWidth="1"/>
    <col min="3" max="5" width="17.19921875" style="75" customWidth="1"/>
    <col min="6" max="16384" width="8.8984375" style="75" customWidth="1"/>
  </cols>
  <sheetData>
    <row r="1" spans="2:5" ht="15.75">
      <c r="B1" s="237" t="str">
        <f>(inputPrYr!C2)</f>
        <v>Sheridan County</v>
      </c>
      <c r="C1" s="88"/>
      <c r="D1" s="88"/>
      <c r="E1" s="296">
        <f>inputPrYr!C4</f>
        <v>2012</v>
      </c>
    </row>
    <row r="2" spans="2:5" ht="15.75">
      <c r="B2" s="88"/>
      <c r="C2" s="88"/>
      <c r="D2" s="88"/>
      <c r="E2" s="249"/>
    </row>
    <row r="3" spans="2:5" ht="15.75">
      <c r="B3" s="155" t="s">
        <v>230</v>
      </c>
      <c r="C3" s="342"/>
      <c r="D3" s="342"/>
      <c r="E3" s="343"/>
    </row>
    <row r="4" spans="2:5" ht="15.75">
      <c r="B4" s="88"/>
      <c r="C4" s="336"/>
      <c r="D4" s="336"/>
      <c r="E4" s="336"/>
    </row>
    <row r="5" spans="2:5" ht="15.75">
      <c r="B5" s="87" t="s">
        <v>157</v>
      </c>
      <c r="C5" s="464" t="str">
        <f>general!C4</f>
        <v>Prior Year Actual</v>
      </c>
      <c r="D5" s="463" t="str">
        <f>general!D4</f>
        <v>Current Year Estimate</v>
      </c>
      <c r="E5" s="465" t="str">
        <f>general!E4</f>
        <v>Proposed Budget Year</v>
      </c>
    </row>
    <row r="6" spans="2:5" ht="15.75">
      <c r="B6" s="489" t="str">
        <f>inputPrYr!B25</f>
        <v>Mental Retardation</v>
      </c>
      <c r="C6" s="451">
        <f>general!$C$5</f>
        <v>2010</v>
      </c>
      <c r="D6" s="451">
        <f>general!D5</f>
        <v>2011</v>
      </c>
      <c r="E6" s="312">
        <f>general!E5</f>
        <v>2012</v>
      </c>
    </row>
    <row r="7" spans="2:5" ht="15.75">
      <c r="B7" s="151" t="s">
        <v>270</v>
      </c>
      <c r="C7" s="448">
        <v>0</v>
      </c>
      <c r="D7" s="452">
        <f>C26</f>
        <v>0</v>
      </c>
      <c r="E7" s="275">
        <f>D26</f>
        <v>0</v>
      </c>
    </row>
    <row r="8" spans="2:5" ht="15.75">
      <c r="B8" s="300" t="s">
        <v>272</v>
      </c>
      <c r="C8" s="315"/>
      <c r="D8" s="315"/>
      <c r="E8" s="130"/>
    </row>
    <row r="9" spans="2:5" ht="15.75">
      <c r="B9" s="151" t="s">
        <v>865</v>
      </c>
      <c r="C9" s="448">
        <v>37374</v>
      </c>
      <c r="D9" s="452">
        <f>inputPrYr!E25</f>
        <v>39064</v>
      </c>
      <c r="E9" s="345" t="s">
        <v>144</v>
      </c>
    </row>
    <row r="10" spans="2:5" ht="15.75">
      <c r="B10" s="151" t="s">
        <v>866</v>
      </c>
      <c r="C10" s="448">
        <v>450</v>
      </c>
      <c r="D10" s="448">
        <v>224</v>
      </c>
      <c r="E10" s="115">
        <v>350</v>
      </c>
    </row>
    <row r="11" spans="2:5" ht="15.75">
      <c r="B11" s="151" t="s">
        <v>867</v>
      </c>
      <c r="C11" s="448">
        <v>4018</v>
      </c>
      <c r="D11" s="448">
        <v>4352</v>
      </c>
      <c r="E11" s="275">
        <f>mvalloc!D17</f>
        <v>4103</v>
      </c>
    </row>
    <row r="12" spans="2:5" ht="15.75">
      <c r="B12" s="151" t="s">
        <v>868</v>
      </c>
      <c r="C12" s="448">
        <v>84</v>
      </c>
      <c r="D12" s="448">
        <v>94</v>
      </c>
      <c r="E12" s="275">
        <f>mvalloc!E17</f>
        <v>88</v>
      </c>
    </row>
    <row r="13" spans="2:5" ht="15.75">
      <c r="B13" s="315" t="s">
        <v>946</v>
      </c>
      <c r="C13" s="448">
        <v>651</v>
      </c>
      <c r="D13" s="448">
        <v>581</v>
      </c>
      <c r="E13" s="275">
        <f>mvalloc!F17</f>
        <v>576</v>
      </c>
    </row>
    <row r="14" spans="2:5" ht="15.75">
      <c r="B14" s="315" t="s">
        <v>937</v>
      </c>
      <c r="C14" s="448"/>
      <c r="D14" s="448"/>
      <c r="E14" s="275">
        <f>mvalloc!G17</f>
        <v>0</v>
      </c>
    </row>
    <row r="15" spans="2:5" ht="15.75">
      <c r="B15" s="319" t="s">
        <v>73</v>
      </c>
      <c r="C15" s="448"/>
      <c r="D15" s="448"/>
      <c r="E15" s="115"/>
    </row>
    <row r="16" spans="2:5" ht="15.75">
      <c r="B16" s="319" t="s">
        <v>673</v>
      </c>
      <c r="C16" s="449">
        <f>IF(C17*0.1&lt;C15,"Exceed 10% Rule","")</f>
      </c>
      <c r="D16" s="449">
        <f>IF(D17*0.1&lt;D15,"Exceed 10% Rule","")</f>
      </c>
      <c r="E16" s="346">
        <f>IF(E17*0.1+E32&lt;E15,"Exceed 10% Rule","")</f>
      </c>
    </row>
    <row r="17" spans="2:5" ht="15.75">
      <c r="B17" s="321" t="s">
        <v>158</v>
      </c>
      <c r="C17" s="450">
        <f>SUM(C9:C15)</f>
        <v>42577</v>
      </c>
      <c r="D17" s="450">
        <f>SUM(D9:D15)</f>
        <v>44315</v>
      </c>
      <c r="E17" s="351">
        <f>SUM(E9:E15)</f>
        <v>5117</v>
      </c>
    </row>
    <row r="18" spans="2:5" ht="15.75">
      <c r="B18" s="321" t="s">
        <v>159</v>
      </c>
      <c r="C18" s="450">
        <f>C7+C17</f>
        <v>42577</v>
      </c>
      <c r="D18" s="450">
        <f>D7+D17</f>
        <v>44315</v>
      </c>
      <c r="E18" s="351">
        <f>E7+E17</f>
        <v>5117</v>
      </c>
    </row>
    <row r="19" spans="2:5" ht="15.75">
      <c r="B19" s="151" t="s">
        <v>162</v>
      </c>
      <c r="C19" s="319"/>
      <c r="D19" s="319"/>
      <c r="E19" s="111"/>
    </row>
    <row r="20" spans="2:5" ht="15.75">
      <c r="B20" s="327" t="s">
        <v>950</v>
      </c>
      <c r="C20" s="448">
        <v>42577</v>
      </c>
      <c r="D20" s="448">
        <v>44315</v>
      </c>
      <c r="E20" s="115">
        <v>46305</v>
      </c>
    </row>
    <row r="21" spans="2:5" ht="15.75">
      <c r="B21" s="327"/>
      <c r="C21" s="448"/>
      <c r="D21" s="448"/>
      <c r="E21" s="115"/>
    </row>
    <row r="22" spans="2:5" ht="15.75">
      <c r="B22" s="319" t="s">
        <v>74</v>
      </c>
      <c r="C22" s="448"/>
      <c r="D22" s="448"/>
      <c r="E22" s="123">
        <f>Nhood!E14</f>
        <v>35</v>
      </c>
    </row>
    <row r="23" spans="2:5" ht="15.75">
      <c r="B23" s="319" t="s">
        <v>73</v>
      </c>
      <c r="C23" s="448"/>
      <c r="D23" s="448"/>
      <c r="E23" s="115"/>
    </row>
    <row r="24" spans="2:5" ht="15.75">
      <c r="B24" s="319" t="s">
        <v>672</v>
      </c>
      <c r="C24" s="449">
        <f>IF(C25*0.1&lt;C23,"Exceed 10% Rule","")</f>
      </c>
      <c r="D24" s="449">
        <f>IF(D25*0.1&lt;D23,"Exceed 10% Rule","")</f>
      </c>
      <c r="E24" s="346">
        <f>IF(E25*0.1&lt;E23,"Exceed 10% Rule","")</f>
      </c>
    </row>
    <row r="25" spans="2:5" ht="15.75">
      <c r="B25" s="321" t="s">
        <v>163</v>
      </c>
      <c r="C25" s="450">
        <f>SUM(C20:C23)</f>
        <v>42577</v>
      </c>
      <c r="D25" s="450">
        <f>SUM(D20:D23)</f>
        <v>44315</v>
      </c>
      <c r="E25" s="351">
        <f>SUM(E20:E23)</f>
        <v>46340</v>
      </c>
    </row>
    <row r="26" spans="2:5" ht="15.75">
      <c r="B26" s="151" t="s">
        <v>271</v>
      </c>
      <c r="C26" s="453">
        <f>C18-C25</f>
        <v>0</v>
      </c>
      <c r="D26" s="453">
        <f>D18-D25</f>
        <v>0</v>
      </c>
      <c r="E26" s="345" t="s">
        <v>144</v>
      </c>
    </row>
    <row r="27" spans="2:6" ht="15.75">
      <c r="B27" s="297" t="str">
        <f>CONCATENATE("",E$1-2,"/",E$1-1," Budget Authority Amount:")</f>
        <v>2010/2011 Budget Authority Amount:</v>
      </c>
      <c r="C27" s="289">
        <f>inputOth!B40</f>
        <v>42000</v>
      </c>
      <c r="D27" s="289">
        <f>inputPrYr!D25</f>
        <v>44100</v>
      </c>
      <c r="E27" s="345" t="s">
        <v>144</v>
      </c>
      <c r="F27" s="329"/>
    </row>
    <row r="28" spans="2:6" ht="15.75">
      <c r="B28" s="297"/>
      <c r="C28" s="707" t="s">
        <v>675</v>
      </c>
      <c r="D28" s="708"/>
      <c r="E28" s="115"/>
      <c r="F28" s="329">
        <f>IF(E25/0.95-E25&lt;E28,"Exceeds 5%","")</f>
      </c>
    </row>
    <row r="29" spans="2:5" ht="15.75">
      <c r="B29" s="511" t="s">
        <v>1007</v>
      </c>
      <c r="C29" s="709" t="s">
        <v>676</v>
      </c>
      <c r="D29" s="710"/>
      <c r="E29" s="275">
        <f>E25+E28</f>
        <v>46340</v>
      </c>
    </row>
    <row r="30" spans="2:5" ht="15.75">
      <c r="B30" s="511" t="str">
        <f>CONCATENATE(C65,"     ",D65)</f>
        <v>     </v>
      </c>
      <c r="C30" s="330"/>
      <c r="D30" s="249" t="s">
        <v>164</v>
      </c>
      <c r="E30" s="123">
        <f>IF(E29-E18&gt;0,E29-E18,0)</f>
        <v>41223</v>
      </c>
    </row>
    <row r="31" spans="2:5" ht="15.75">
      <c r="B31" s="249"/>
      <c r="C31" s="509" t="s">
        <v>677</v>
      </c>
      <c r="D31" s="483">
        <f>inputOth!$E$24</f>
        <v>0.01</v>
      </c>
      <c r="E31" s="275">
        <f>ROUND(IF(D31&gt;0,($E$30*D31),0),0)</f>
        <v>412</v>
      </c>
    </row>
    <row r="32" spans="2:5" ht="15.75">
      <c r="B32" s="88"/>
      <c r="C32" s="716" t="str">
        <f>CONCATENATE("Amount of  ",$E$1-1," Ad Valorem Tax")</f>
        <v>Amount of  2011 Ad Valorem Tax</v>
      </c>
      <c r="D32" s="717"/>
      <c r="E32" s="347">
        <f>E30+E31</f>
        <v>41635</v>
      </c>
    </row>
    <row r="33" spans="2:5" ht="15.75">
      <c r="B33" s="88"/>
      <c r="C33" s="336"/>
      <c r="D33" s="336"/>
      <c r="E33" s="336"/>
    </row>
    <row r="34" spans="2:5" ht="15.75">
      <c r="B34" s="124"/>
      <c r="C34" s="638"/>
      <c r="D34" s="639"/>
      <c r="E34" s="639"/>
    </row>
    <row r="35" spans="2:5" ht="15.75">
      <c r="B35" s="489"/>
      <c r="C35" s="640"/>
      <c r="D35" s="640"/>
      <c r="E35" s="641"/>
    </row>
    <row r="36" spans="2:5" ht="15.75">
      <c r="B36" s="124"/>
      <c r="C36" s="642"/>
      <c r="D36" s="126"/>
      <c r="E36" s="126"/>
    </row>
    <row r="37" spans="2:5" ht="15.75">
      <c r="B37" s="643"/>
      <c r="C37" s="233"/>
      <c r="D37" s="233"/>
      <c r="E37" s="233"/>
    </row>
    <row r="38" spans="2:5" ht="15.75">
      <c r="B38" s="124"/>
      <c r="C38" s="642"/>
      <c r="D38" s="126"/>
      <c r="E38" s="644"/>
    </row>
    <row r="39" spans="2:5" ht="15.75">
      <c r="B39" s="124"/>
      <c r="C39" s="642"/>
      <c r="D39" s="642"/>
      <c r="E39" s="642"/>
    </row>
    <row r="40" spans="2:5" ht="15.75">
      <c r="B40" s="124"/>
      <c r="C40" s="642"/>
      <c r="D40" s="642"/>
      <c r="E40" s="126"/>
    </row>
    <row r="41" spans="2:5" ht="15.75">
      <c r="B41" s="124"/>
      <c r="C41" s="642"/>
      <c r="D41" s="642"/>
      <c r="E41" s="126"/>
    </row>
    <row r="42" spans="2:5" ht="15.75">
      <c r="B42" s="233"/>
      <c r="C42" s="642"/>
      <c r="D42" s="642"/>
      <c r="E42" s="126"/>
    </row>
    <row r="43" spans="2:5" ht="15.75">
      <c r="B43" s="233"/>
      <c r="C43" s="642"/>
      <c r="D43" s="642"/>
      <c r="E43" s="126"/>
    </row>
    <row r="44" spans="2:5" ht="15.75">
      <c r="B44" s="645"/>
      <c r="C44" s="642"/>
      <c r="D44" s="642"/>
      <c r="E44" s="642"/>
    </row>
    <row r="45" spans="2:5" ht="15.75">
      <c r="B45" s="91"/>
      <c r="C45" s="647"/>
      <c r="D45" s="647"/>
      <c r="E45" s="647"/>
    </row>
    <row r="46" spans="2:5" ht="15.75">
      <c r="B46" s="648"/>
      <c r="C46" s="649"/>
      <c r="D46" s="649"/>
      <c r="E46" s="649"/>
    </row>
    <row r="47" spans="2:5" ht="15.75">
      <c r="B47" s="124"/>
      <c r="C47" s="650"/>
      <c r="D47" s="650"/>
      <c r="E47" s="644"/>
    </row>
    <row r="48" spans="2:6" ht="15.75">
      <c r="B48" s="651"/>
      <c r="C48" s="652"/>
      <c r="D48" s="652"/>
      <c r="E48" s="644"/>
      <c r="F48" s="329"/>
    </row>
    <row r="49" spans="2:6" ht="15.75">
      <c r="B49" s="651"/>
      <c r="C49" s="719"/>
      <c r="D49" s="720"/>
      <c r="E49" s="642"/>
      <c r="F49" s="329">
        <f>IF(E46/0.95-E46&lt;E49,"Exceeds 5%","")</f>
      </c>
    </row>
    <row r="50" spans="2:5" ht="15.75">
      <c r="B50" s="510"/>
      <c r="C50" s="721"/>
      <c r="D50" s="722"/>
      <c r="E50" s="126"/>
    </row>
    <row r="51" spans="2:5" ht="15.75">
      <c r="B51" s="510"/>
      <c r="C51" s="654"/>
      <c r="D51" s="655"/>
      <c r="E51" s="650"/>
    </row>
    <row r="52" spans="2:5" ht="15.75">
      <c r="B52" s="655"/>
      <c r="C52" s="653"/>
      <c r="D52" s="656"/>
      <c r="E52" s="126"/>
    </row>
    <row r="53" spans="2:5" ht="15.75">
      <c r="B53" s="91"/>
      <c r="C53" s="716"/>
      <c r="D53" s="723"/>
      <c r="E53" s="657"/>
    </row>
    <row r="54" spans="2:5" ht="15.75">
      <c r="B54" s="297"/>
      <c r="C54" s="658" t="s">
        <v>1012</v>
      </c>
      <c r="D54" s="88"/>
      <c r="E54" s="88"/>
    </row>
    <row r="64" spans="3:4" ht="15.75" hidden="1">
      <c r="C64" s="75" t="str">
        <f>IF(C25&gt;C27,"See Tab A","")</f>
        <v>See Tab A</v>
      </c>
      <c r="D64" s="75" t="str">
        <f>IF(D25&gt;D27,"See Tab C","")</f>
        <v>See Tab C</v>
      </c>
    </row>
    <row r="65" spans="3:4" ht="15.75" hidden="1">
      <c r="C65" s="75">
        <f>IF(C26&lt;0,"See Tab B","")</f>
      </c>
      <c r="D65" s="75">
        <f>IF(D26&lt;0,"See Tab D","")</f>
      </c>
    </row>
    <row r="66" spans="3:4" ht="15.75" hidden="1">
      <c r="C66" s="75">
        <f>IF(C46&gt;C48,"See Tab A","")</f>
      </c>
      <c r="D66" s="75">
        <f>IF(D46&gt;D48,"See Tab C","")</f>
      </c>
    </row>
    <row r="67" spans="3:4" ht="15.75" hidden="1">
      <c r="C67" s="75">
        <f>IF(C47&lt;0,"See Tab B","")</f>
      </c>
      <c r="D67" s="75">
        <f>IF(D47&lt;0,"See Tab D","")</f>
      </c>
    </row>
  </sheetData>
  <sheetProtection/>
  <mergeCells count="6">
    <mergeCell ref="C28:D28"/>
    <mergeCell ref="C29:D29"/>
    <mergeCell ref="C49:D49"/>
    <mergeCell ref="C50:D50"/>
    <mergeCell ref="C53:D53"/>
    <mergeCell ref="C32:D32"/>
  </mergeCells>
  <conditionalFormatting sqref="E49">
    <cfRule type="cellIs" priority="4" dxfId="163" operator="greaterThan" stopIfTrue="1">
      <formula>$E$46/0.95-$E$46</formula>
    </cfRule>
  </conditionalFormatting>
  <conditionalFormatting sqref="E28">
    <cfRule type="cellIs" priority="5" dxfId="163" operator="greaterThan" stopIfTrue="1">
      <formula>$E$25/0.95-$E$25</formula>
    </cfRule>
  </conditionalFormatting>
  <conditionalFormatting sqref="E23">
    <cfRule type="cellIs" priority="6" dxfId="163" operator="greaterThan" stopIfTrue="1">
      <formula>$E$25*0.1</formula>
    </cfRule>
  </conditionalFormatting>
  <conditionalFormatting sqref="C47 C26">
    <cfRule type="cellIs" priority="7" dxfId="1" operator="lessThan" stopIfTrue="1">
      <formula>0</formula>
    </cfRule>
  </conditionalFormatting>
  <conditionalFormatting sqref="C46">
    <cfRule type="cellIs" priority="8" dxfId="1" operator="greaterThan" stopIfTrue="1">
      <formula>$C$48</formula>
    </cfRule>
  </conditionalFormatting>
  <conditionalFormatting sqref="D46">
    <cfRule type="cellIs" priority="9" dxfId="1" operator="greaterThan" stopIfTrue="1">
      <formula>$D$48</formula>
    </cfRule>
  </conditionalFormatting>
  <conditionalFormatting sqref="C25">
    <cfRule type="cellIs" priority="15" dxfId="1" operator="greaterThan" stopIfTrue="1">
      <formula>$C$27</formula>
    </cfRule>
  </conditionalFormatting>
  <conditionalFormatting sqref="D25">
    <cfRule type="cellIs" priority="16" dxfId="1" operator="greaterThan" stopIfTrue="1">
      <formula>$D$27</formula>
    </cfRule>
  </conditionalFormatting>
  <conditionalFormatting sqref="C23">
    <cfRule type="cellIs" priority="17" dxfId="1" operator="greaterThan" stopIfTrue="1">
      <formula>$C$25*0.1</formula>
    </cfRule>
  </conditionalFormatting>
  <conditionalFormatting sqref="D23">
    <cfRule type="cellIs" priority="18" dxfId="1" operator="greaterThan" stopIfTrue="1">
      <formula>$D$25*0.1</formula>
    </cfRule>
  </conditionalFormatting>
  <conditionalFormatting sqref="E15">
    <cfRule type="cellIs" priority="19" dxfId="163" operator="greaterThan" stopIfTrue="1">
      <formula>$E$17*0.1+E32</formula>
    </cfRule>
  </conditionalFormatting>
  <conditionalFormatting sqref="C15">
    <cfRule type="cellIs" priority="20" dxfId="1" operator="greaterThan" stopIfTrue="1">
      <formula>$C$17*0.1</formula>
    </cfRule>
  </conditionalFormatting>
  <conditionalFormatting sqref="D15">
    <cfRule type="cellIs" priority="21" dxfId="1" operator="greaterThan" stopIfTrue="1">
      <formula>$D$17*0.1</formula>
    </cfRule>
  </conditionalFormatting>
  <conditionalFormatting sqref="D47 D26">
    <cfRule type="cellIs" priority="2" dxfId="0" operator="lessThan" stopIfTrue="1">
      <formula>0</formula>
    </cfRule>
  </conditionalFormatting>
  <printOptions/>
  <pageMargins left="0.75" right="0.5" top="0.74" bottom="0.34" header="0.5" footer="0"/>
  <pageSetup blackAndWhite="1" horizontalDpi="120" verticalDpi="120" orientation="portrait" scale="85"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125"/>
  <sheetViews>
    <sheetView zoomScalePageLayoutView="0" workbookViewId="0" topLeftCell="A59">
      <selection activeCell="B78" sqref="B78"/>
    </sheetView>
  </sheetViews>
  <sheetFormatPr defaultColWidth="8.796875" defaultRowHeight="15"/>
  <cols>
    <col min="1" max="1" width="15.796875" style="75" customWidth="1"/>
    <col min="2" max="2" width="20.796875" style="75" customWidth="1"/>
    <col min="3" max="3" width="8.796875" style="75" customWidth="1"/>
    <col min="4" max="5" width="13.296875" style="75" customWidth="1"/>
    <col min="6" max="6" width="10.796875" style="75" customWidth="1"/>
    <col min="7" max="16384" width="8.8984375" style="75" customWidth="1"/>
  </cols>
  <sheetData>
    <row r="1" spans="1:6" ht="15.75">
      <c r="A1" s="667" t="s">
        <v>312</v>
      </c>
      <c r="B1" s="668"/>
      <c r="C1" s="668"/>
      <c r="D1" s="668"/>
      <c r="E1" s="668"/>
      <c r="F1" s="668"/>
    </row>
    <row r="2" spans="1:6" ht="15.75">
      <c r="A2" s="87" t="s">
        <v>313</v>
      </c>
      <c r="B2" s="88"/>
      <c r="C2" s="445" t="s">
        <v>826</v>
      </c>
      <c r="D2" s="89"/>
      <c r="E2" s="90"/>
      <c r="F2" s="91"/>
    </row>
    <row r="3" spans="1:6" ht="15.75">
      <c r="A3" s="87"/>
      <c r="B3" s="88"/>
      <c r="C3" s="88"/>
      <c r="D3" s="88"/>
      <c r="E3" s="92"/>
      <c r="F3" s="91"/>
    </row>
    <row r="4" spans="1:6" ht="15.75">
      <c r="A4" s="87" t="s">
        <v>314</v>
      </c>
      <c r="B4" s="88"/>
      <c r="C4" s="93">
        <v>2012</v>
      </c>
      <c r="D4" s="94"/>
      <c r="E4" s="92"/>
      <c r="F4" s="91"/>
    </row>
    <row r="5" spans="1:6" ht="15.75">
      <c r="A5" s="88"/>
      <c r="B5" s="88"/>
      <c r="C5" s="88"/>
      <c r="D5" s="88"/>
      <c r="E5" s="88"/>
      <c r="F5" s="88"/>
    </row>
    <row r="6" spans="1:6" ht="18.75" customHeight="1">
      <c r="A6" s="95" t="s">
        <v>663</v>
      </c>
      <c r="B6" s="96"/>
      <c r="C6" s="96"/>
      <c r="D6" s="96"/>
      <c r="E6" s="96"/>
      <c r="F6" s="96"/>
    </row>
    <row r="7" spans="1:6" ht="15.75">
      <c r="A7" s="95" t="s">
        <v>662</v>
      </c>
      <c r="B7" s="96"/>
      <c r="C7" s="96"/>
      <c r="D7" s="96"/>
      <c r="E7" s="96"/>
      <c r="F7" s="96"/>
    </row>
    <row r="8" spans="1:6" ht="15.75">
      <c r="A8" s="95"/>
      <c r="B8" s="96"/>
      <c r="C8" s="96"/>
      <c r="D8" s="96"/>
      <c r="E8" s="96"/>
      <c r="F8" s="96"/>
    </row>
    <row r="9" spans="1:6" ht="15.75">
      <c r="A9" s="665" t="s">
        <v>54</v>
      </c>
      <c r="B9" s="666"/>
      <c r="C9" s="666"/>
      <c r="D9" s="666"/>
      <c r="E9" s="666"/>
      <c r="F9" s="666"/>
    </row>
    <row r="10" spans="1:6" ht="15.75">
      <c r="A10" s="88"/>
      <c r="B10" s="88"/>
      <c r="C10" s="88"/>
      <c r="D10" s="88"/>
      <c r="E10" s="88"/>
      <c r="F10" s="88"/>
    </row>
    <row r="11" spans="1:6" ht="15.75">
      <c r="A11" s="97" t="str">
        <f>CONCATENATE("The input for the following comes directly from the ",C4-1," Budget:")</f>
        <v>The input for the following comes directly from the 2011 Budget:</v>
      </c>
      <c r="B11" s="98"/>
      <c r="C11" s="98"/>
      <c r="D11" s="98"/>
      <c r="E11" s="88"/>
      <c r="F11" s="88"/>
    </row>
    <row r="12" spans="1:6" ht="15.75">
      <c r="A12" s="99" t="s">
        <v>315</v>
      </c>
      <c r="B12" s="98"/>
      <c r="C12" s="98"/>
      <c r="D12" s="98"/>
      <c r="E12" s="88"/>
      <c r="F12" s="88"/>
    </row>
    <row r="13" spans="1:6" ht="15.75">
      <c r="A13" s="99" t="s">
        <v>343</v>
      </c>
      <c r="B13" s="98"/>
      <c r="C13" s="98"/>
      <c r="D13" s="98"/>
      <c r="E13" s="88"/>
      <c r="F13" s="88"/>
    </row>
    <row r="14" spans="1:6" ht="15.75">
      <c r="A14" s="88"/>
      <c r="B14" s="88"/>
      <c r="C14" s="100"/>
      <c r="D14" s="101">
        <f>C4-1</f>
        <v>2011</v>
      </c>
      <c r="E14" s="102" t="str">
        <f>CONCATENATE("",C4-2,"")</f>
        <v>2010</v>
      </c>
      <c r="F14" s="103">
        <f>C4-2</f>
        <v>2010</v>
      </c>
    </row>
    <row r="15" spans="1:6" ht="15.75">
      <c r="A15" s="87" t="s">
        <v>316</v>
      </c>
      <c r="B15" s="88"/>
      <c r="C15" s="104" t="s">
        <v>126</v>
      </c>
      <c r="D15" s="105" t="s">
        <v>342</v>
      </c>
      <c r="E15" s="105" t="s">
        <v>95</v>
      </c>
      <c r="F15" s="105" t="s">
        <v>71</v>
      </c>
    </row>
    <row r="16" spans="1:6" ht="15.75">
      <c r="A16" s="88"/>
      <c r="B16" s="106" t="s">
        <v>127</v>
      </c>
      <c r="C16" s="263" t="s">
        <v>274</v>
      </c>
      <c r="D16" s="108">
        <v>2664981</v>
      </c>
      <c r="E16" s="109">
        <v>1765003</v>
      </c>
      <c r="F16" s="110">
        <v>47.351</v>
      </c>
    </row>
    <row r="17" spans="1:6" ht="15.75">
      <c r="A17" s="88"/>
      <c r="B17" s="106" t="s">
        <v>171</v>
      </c>
      <c r="C17" s="263" t="s">
        <v>317</v>
      </c>
      <c r="D17" s="108"/>
      <c r="E17" s="109"/>
      <c r="F17" s="110"/>
    </row>
    <row r="18" spans="1:6" ht="15.75">
      <c r="A18" s="87"/>
      <c r="B18" s="111" t="s">
        <v>179</v>
      </c>
      <c r="C18" s="262" t="s">
        <v>274</v>
      </c>
      <c r="D18" s="108">
        <v>1987500</v>
      </c>
      <c r="E18" s="108">
        <v>825050</v>
      </c>
      <c r="F18" s="112">
        <v>22.134</v>
      </c>
    </row>
    <row r="19" spans="1:6" ht="15.75">
      <c r="A19" s="88"/>
      <c r="B19" s="113" t="s">
        <v>827</v>
      </c>
      <c r="C19" s="454" t="s">
        <v>828</v>
      </c>
      <c r="D19" s="108">
        <v>139529</v>
      </c>
      <c r="E19" s="115">
        <v>70698</v>
      </c>
      <c r="F19" s="110">
        <v>1.897</v>
      </c>
    </row>
    <row r="20" spans="1:6" ht="15.75">
      <c r="A20" s="88"/>
      <c r="B20" s="113" t="s">
        <v>149</v>
      </c>
      <c r="C20" s="454" t="s">
        <v>833</v>
      </c>
      <c r="D20" s="108">
        <v>16500</v>
      </c>
      <c r="E20" s="115">
        <v>14506</v>
      </c>
      <c r="F20" s="110">
        <v>0.389</v>
      </c>
    </row>
    <row r="21" spans="1:6" ht="15.75">
      <c r="A21" s="88"/>
      <c r="B21" s="113" t="s">
        <v>829</v>
      </c>
      <c r="C21" s="454" t="s">
        <v>834</v>
      </c>
      <c r="D21" s="108">
        <v>177346</v>
      </c>
      <c r="E21" s="115">
        <v>21195</v>
      </c>
      <c r="F21" s="110">
        <v>0.569</v>
      </c>
    </row>
    <row r="22" spans="1:6" ht="15.75">
      <c r="A22" s="88"/>
      <c r="B22" s="113" t="s">
        <v>830</v>
      </c>
      <c r="C22" s="454" t="s">
        <v>834</v>
      </c>
      <c r="D22" s="108">
        <v>31387</v>
      </c>
      <c r="E22" s="115">
        <v>28000</v>
      </c>
      <c r="F22" s="110">
        <v>0.751</v>
      </c>
    </row>
    <row r="23" spans="1:6" ht="15.75">
      <c r="A23" s="88"/>
      <c r="B23" s="113" t="s">
        <v>831</v>
      </c>
      <c r="C23" s="454" t="s">
        <v>835</v>
      </c>
      <c r="D23" s="108">
        <v>17500</v>
      </c>
      <c r="E23" s="115">
        <v>15512</v>
      </c>
      <c r="F23" s="110">
        <v>0.416</v>
      </c>
    </row>
    <row r="24" spans="1:6" ht="15.75">
      <c r="A24" s="88"/>
      <c r="B24" s="113" t="s">
        <v>832</v>
      </c>
      <c r="C24" s="454" t="s">
        <v>836</v>
      </c>
      <c r="D24" s="108">
        <v>795000</v>
      </c>
      <c r="E24" s="115">
        <v>370133</v>
      </c>
      <c r="F24" s="110">
        <v>9.93</v>
      </c>
    </row>
    <row r="25" spans="1:6" ht="15.75">
      <c r="A25" s="88"/>
      <c r="B25" s="113" t="s">
        <v>178</v>
      </c>
      <c r="C25" s="454" t="s">
        <v>833</v>
      </c>
      <c r="D25" s="108">
        <v>44100</v>
      </c>
      <c r="E25" s="115">
        <v>39064</v>
      </c>
      <c r="F25" s="110">
        <v>1.048</v>
      </c>
    </row>
    <row r="26" spans="1:6" ht="15.75">
      <c r="A26" s="88"/>
      <c r="B26" s="113"/>
      <c r="C26" s="454"/>
      <c r="D26" s="108"/>
      <c r="E26" s="115"/>
      <c r="F26" s="110"/>
    </row>
    <row r="27" spans="1:6" ht="15.75">
      <c r="A27" s="88"/>
      <c r="B27" s="113"/>
      <c r="C27" s="454"/>
      <c r="D27" s="108"/>
      <c r="E27" s="115"/>
      <c r="F27" s="110"/>
    </row>
    <row r="28" spans="1:6" ht="15.75">
      <c r="A28" s="88"/>
      <c r="B28" s="113"/>
      <c r="C28" s="454"/>
      <c r="D28" s="108"/>
      <c r="E28" s="115"/>
      <c r="F28" s="110"/>
    </row>
    <row r="29" spans="1:6" ht="15.75">
      <c r="A29" s="88"/>
      <c r="B29" s="113"/>
      <c r="C29" s="454"/>
      <c r="D29" s="108"/>
      <c r="E29" s="115"/>
      <c r="F29" s="110"/>
    </row>
    <row r="30" spans="1:6" ht="15.75">
      <c r="A30" s="88"/>
      <c r="B30" s="113"/>
      <c r="C30" s="454"/>
      <c r="D30" s="108"/>
      <c r="E30" s="115"/>
      <c r="F30" s="110"/>
    </row>
    <row r="31" spans="1:6" ht="15.75">
      <c r="A31" s="88"/>
      <c r="B31" s="113"/>
      <c r="C31" s="454"/>
      <c r="D31" s="108"/>
      <c r="E31" s="115"/>
      <c r="F31" s="110"/>
    </row>
    <row r="32" spans="1:6" ht="15.75">
      <c r="A32" s="88"/>
      <c r="B32" s="113"/>
      <c r="C32" s="454"/>
      <c r="D32" s="108"/>
      <c r="E32" s="115"/>
      <c r="F32" s="110"/>
    </row>
    <row r="33" spans="1:6" ht="15.75">
      <c r="A33" s="88"/>
      <c r="B33" s="113"/>
      <c r="C33" s="454"/>
      <c r="D33" s="108"/>
      <c r="E33" s="115"/>
      <c r="F33" s="110"/>
    </row>
    <row r="34" spans="1:6" ht="15.75">
      <c r="A34" s="88"/>
      <c r="B34" s="113"/>
      <c r="C34" s="454"/>
      <c r="D34" s="108"/>
      <c r="E34" s="115"/>
      <c r="F34" s="110"/>
    </row>
    <row r="35" spans="1:6" ht="15.75">
      <c r="A35" s="88"/>
      <c r="B35" s="113"/>
      <c r="C35" s="454"/>
      <c r="D35" s="108"/>
      <c r="E35" s="115"/>
      <c r="F35" s="110"/>
    </row>
    <row r="36" spans="1:6" ht="15.75">
      <c r="A36" s="88"/>
      <c r="B36" s="113"/>
      <c r="C36" s="454"/>
      <c r="D36" s="108"/>
      <c r="E36" s="115"/>
      <c r="F36" s="110"/>
    </row>
    <row r="37" spans="1:6" ht="15.75">
      <c r="A37" s="88"/>
      <c r="B37" s="113"/>
      <c r="C37" s="454"/>
      <c r="D37" s="108"/>
      <c r="E37" s="115"/>
      <c r="F37" s="110"/>
    </row>
    <row r="38" spans="1:6" ht="15.75">
      <c r="A38" s="88"/>
      <c r="B38" s="113"/>
      <c r="C38" s="454"/>
      <c r="D38" s="108"/>
      <c r="E38" s="115"/>
      <c r="F38" s="110"/>
    </row>
    <row r="39" spans="1:6" ht="15.75">
      <c r="A39" s="88"/>
      <c r="B39" s="113"/>
      <c r="C39" s="454"/>
      <c r="D39" s="108"/>
      <c r="E39" s="115"/>
      <c r="F39" s="110"/>
    </row>
    <row r="40" spans="1:6" ht="15.75">
      <c r="A40" s="88"/>
      <c r="B40" s="113"/>
      <c r="C40" s="454"/>
      <c r="D40" s="108"/>
      <c r="E40" s="115"/>
      <c r="F40" s="110"/>
    </row>
    <row r="41" spans="1:6" ht="15.75">
      <c r="A41" s="116" t="str">
        <f>CONCATENATE("Total Tax Levy Funds Levy Amounts and Levy Rates for ",C4-1," Budget")</f>
        <v>Total Tax Levy Funds Levy Amounts and Levy Rates for 2011 Budget</v>
      </c>
      <c r="B41" s="117"/>
      <c r="C41" s="117"/>
      <c r="D41" s="118"/>
      <c r="E41" s="119">
        <f>SUM(E16:E40)</f>
        <v>3149161</v>
      </c>
      <c r="F41" s="120">
        <f>SUM(F16:F40)</f>
        <v>84.48500000000001</v>
      </c>
    </row>
    <row r="42" spans="1:6" ht="15.75">
      <c r="A42" s="87" t="s">
        <v>25</v>
      </c>
      <c r="B42" s="88"/>
      <c r="C42" s="88"/>
      <c r="D42" s="88"/>
      <c r="E42" s="88"/>
      <c r="F42" s="88"/>
    </row>
    <row r="43" spans="1:6" ht="15.75">
      <c r="A43" s="88"/>
      <c r="B43" s="110" t="s">
        <v>837</v>
      </c>
      <c r="C43" s="88"/>
      <c r="D43" s="108">
        <v>56088</v>
      </c>
      <c r="E43" s="88"/>
      <c r="F43" s="88"/>
    </row>
    <row r="44" spans="1:6" ht="15.75">
      <c r="A44" s="88"/>
      <c r="B44" s="110" t="s">
        <v>838</v>
      </c>
      <c r="C44" s="88"/>
      <c r="D44" s="108">
        <v>40211</v>
      </c>
      <c r="E44" s="88"/>
      <c r="F44" s="88"/>
    </row>
    <row r="45" spans="1:6" ht="15.75">
      <c r="A45" s="88"/>
      <c r="B45" s="110" t="s">
        <v>839</v>
      </c>
      <c r="C45" s="88"/>
      <c r="D45" s="108">
        <v>3200</v>
      </c>
      <c r="E45" s="88"/>
      <c r="F45" s="88"/>
    </row>
    <row r="46" spans="1:6" ht="15.75">
      <c r="A46" s="88"/>
      <c r="B46" s="110" t="s">
        <v>840</v>
      </c>
      <c r="C46" s="88"/>
      <c r="D46" s="108">
        <v>151541</v>
      </c>
      <c r="E46" s="88"/>
      <c r="F46" s="88"/>
    </row>
    <row r="47" spans="1:6" ht="15.75">
      <c r="A47" s="88"/>
      <c r="B47" s="110" t="s">
        <v>841</v>
      </c>
      <c r="C47" s="88"/>
      <c r="D47" s="108">
        <v>34537</v>
      </c>
      <c r="E47" s="88"/>
      <c r="F47" s="88"/>
    </row>
    <row r="48" spans="1:6" ht="15.75">
      <c r="A48" s="88"/>
      <c r="B48" s="110" t="s">
        <v>842</v>
      </c>
      <c r="C48" s="88"/>
      <c r="D48" s="108">
        <v>308641</v>
      </c>
      <c r="E48" s="88"/>
      <c r="F48" s="88"/>
    </row>
    <row r="49" spans="1:6" ht="15.75">
      <c r="A49" s="88"/>
      <c r="B49" s="110" t="s">
        <v>843</v>
      </c>
      <c r="C49" s="88"/>
      <c r="D49" s="108">
        <v>71219</v>
      </c>
      <c r="E49" s="88"/>
      <c r="F49" s="88"/>
    </row>
    <row r="50" spans="1:6" ht="15.75">
      <c r="A50" s="88"/>
      <c r="B50" s="110"/>
      <c r="C50" s="88"/>
      <c r="D50" s="108"/>
      <c r="E50" s="88"/>
      <c r="F50" s="88"/>
    </row>
    <row r="51" spans="1:6" ht="15.75">
      <c r="A51" s="88"/>
      <c r="B51" s="110"/>
      <c r="C51" s="88"/>
      <c r="D51" s="108"/>
      <c r="E51" s="88"/>
      <c r="F51" s="88"/>
    </row>
    <row r="52" spans="1:6" ht="15.75">
      <c r="A52" s="88"/>
      <c r="B52" s="110"/>
      <c r="C52" s="88"/>
      <c r="D52" s="108"/>
      <c r="E52" s="88"/>
      <c r="F52" s="88"/>
    </row>
    <row r="53" spans="1:6" ht="15.75">
      <c r="A53" s="88"/>
      <c r="B53" s="110"/>
      <c r="C53" s="88"/>
      <c r="D53" s="108"/>
      <c r="E53" s="88"/>
      <c r="F53" s="88"/>
    </row>
    <row r="54" spans="1:6" ht="15.75">
      <c r="A54" s="88"/>
      <c r="B54" s="110"/>
      <c r="C54" s="88"/>
      <c r="D54" s="108"/>
      <c r="E54" s="88"/>
      <c r="F54" s="88"/>
    </row>
    <row r="55" spans="1:6" ht="15.75">
      <c r="A55" s="88"/>
      <c r="B55" s="110"/>
      <c r="C55" s="88"/>
      <c r="D55" s="108"/>
      <c r="E55" s="88"/>
      <c r="F55" s="88"/>
    </row>
    <row r="56" spans="1:6" ht="15.75">
      <c r="A56" s="88"/>
      <c r="B56" s="110"/>
      <c r="C56" s="88"/>
      <c r="D56" s="108"/>
      <c r="E56" s="88"/>
      <c r="F56" s="88"/>
    </row>
    <row r="57" spans="1:6" ht="15.75">
      <c r="A57" s="88"/>
      <c r="B57" s="110"/>
      <c r="C57" s="88"/>
      <c r="D57" s="108"/>
      <c r="E57" s="88"/>
      <c r="F57" s="88"/>
    </row>
    <row r="58" spans="1:6" ht="15.75">
      <c r="A58" s="88"/>
      <c r="B58" s="110"/>
      <c r="C58" s="88"/>
      <c r="D58" s="108"/>
      <c r="E58" s="88"/>
      <c r="F58" s="88"/>
    </row>
    <row r="59" spans="1:6" ht="15.75">
      <c r="A59" s="116" t="str">
        <f>CONCATENATE("Total Expenditures for ",C4-1," Budgeted Year")</f>
        <v>Total Expenditures for 2011 Budgeted Year</v>
      </c>
      <c r="B59" s="121"/>
      <c r="C59" s="122"/>
      <c r="D59" s="123">
        <f>SUM(D16:D40,D43:D58)</f>
        <v>6539280</v>
      </c>
      <c r="E59" s="88"/>
      <c r="F59" s="88"/>
    </row>
    <row r="60" spans="1:6" ht="15.75">
      <c r="A60" s="124"/>
      <c r="B60" s="125"/>
      <c r="C60" s="88"/>
      <c r="D60" s="126"/>
      <c r="E60" s="88"/>
      <c r="F60" s="88"/>
    </row>
    <row r="61" spans="1:6" ht="15.75">
      <c r="A61" s="88" t="s">
        <v>12</v>
      </c>
      <c r="B61" s="125"/>
      <c r="C61" s="88"/>
      <c r="D61" s="88"/>
      <c r="E61" s="88"/>
      <c r="F61" s="88"/>
    </row>
    <row r="62" spans="1:6" ht="15.75">
      <c r="A62" s="88">
        <v>1</v>
      </c>
      <c r="B62" s="110" t="s">
        <v>844</v>
      </c>
      <c r="C62" s="88"/>
      <c r="D62" s="88"/>
      <c r="E62" s="88"/>
      <c r="F62" s="88"/>
    </row>
    <row r="63" spans="1:6" ht="15.75">
      <c r="A63" s="88">
        <v>2</v>
      </c>
      <c r="B63" s="110" t="s">
        <v>845</v>
      </c>
      <c r="C63" s="88"/>
      <c r="D63" s="88"/>
      <c r="E63" s="88"/>
      <c r="F63" s="88"/>
    </row>
    <row r="64" spans="1:6" ht="15.75">
      <c r="A64" s="88">
        <v>3</v>
      </c>
      <c r="B64" s="110" t="s">
        <v>846</v>
      </c>
      <c r="C64" s="88"/>
      <c r="D64" s="88"/>
      <c r="E64" s="88"/>
      <c r="F64" s="88"/>
    </row>
    <row r="65" spans="1:6" ht="15.75">
      <c r="A65" s="88">
        <v>4</v>
      </c>
      <c r="B65" s="110" t="s">
        <v>847</v>
      </c>
      <c r="C65" s="88"/>
      <c r="D65" s="88"/>
      <c r="E65" s="88"/>
      <c r="F65" s="88"/>
    </row>
    <row r="66" spans="1:6" ht="15.75">
      <c r="A66" s="88">
        <v>5</v>
      </c>
      <c r="B66" s="110" t="s">
        <v>848</v>
      </c>
      <c r="C66" s="88"/>
      <c r="D66" s="88"/>
      <c r="E66" s="88"/>
      <c r="F66" s="88"/>
    </row>
    <row r="67" spans="1:6" ht="15.75">
      <c r="A67" s="88" t="s">
        <v>21</v>
      </c>
      <c r="B67" s="125"/>
      <c r="C67" s="88"/>
      <c r="D67" s="88"/>
      <c r="E67" s="88"/>
      <c r="F67" s="88"/>
    </row>
    <row r="68" spans="1:6" ht="15.75">
      <c r="A68" s="88">
        <v>1</v>
      </c>
      <c r="B68" s="110" t="s">
        <v>849</v>
      </c>
      <c r="C68" s="88"/>
      <c r="D68" s="88"/>
      <c r="E68" s="88"/>
      <c r="F68" s="88"/>
    </row>
    <row r="69" spans="1:6" ht="15.75">
      <c r="A69" s="88">
        <v>2</v>
      </c>
      <c r="B69" s="110" t="s">
        <v>850</v>
      </c>
      <c r="C69" s="88"/>
      <c r="D69" s="88"/>
      <c r="E69" s="88"/>
      <c r="F69" s="88"/>
    </row>
    <row r="70" spans="1:6" ht="15.75">
      <c r="A70" s="88">
        <v>3</v>
      </c>
      <c r="B70" s="110" t="s">
        <v>851</v>
      </c>
      <c r="C70" s="88"/>
      <c r="D70" s="88"/>
      <c r="E70" s="88"/>
      <c r="F70" s="88"/>
    </row>
    <row r="71" spans="1:6" ht="15.75">
      <c r="A71" s="88">
        <v>4</v>
      </c>
      <c r="B71" s="110" t="s">
        <v>852</v>
      </c>
      <c r="C71" s="88"/>
      <c r="D71" s="88"/>
      <c r="E71" s="88"/>
      <c r="F71" s="88"/>
    </row>
    <row r="72" spans="1:6" ht="15.75">
      <c r="A72" s="88">
        <v>5</v>
      </c>
      <c r="B72" s="110" t="s">
        <v>853</v>
      </c>
      <c r="C72" s="88"/>
      <c r="D72" s="88"/>
      <c r="E72" s="88"/>
      <c r="F72" s="88"/>
    </row>
    <row r="73" spans="1:6" ht="15.75">
      <c r="A73" s="88" t="s">
        <v>23</v>
      </c>
      <c r="B73" s="125"/>
      <c r="C73" s="88"/>
      <c r="D73" s="88"/>
      <c r="E73" s="88"/>
      <c r="F73" s="88"/>
    </row>
    <row r="74" spans="1:6" ht="15.75">
      <c r="A74" s="88">
        <v>1</v>
      </c>
      <c r="B74" s="110" t="s">
        <v>854</v>
      </c>
      <c r="C74" s="88"/>
      <c r="D74" s="88"/>
      <c r="E74" s="88"/>
      <c r="F74" s="88"/>
    </row>
    <row r="75" spans="1:6" ht="15.75">
      <c r="A75" s="88">
        <v>2</v>
      </c>
      <c r="B75" s="110" t="s">
        <v>855</v>
      </c>
      <c r="C75" s="88"/>
      <c r="D75" s="88"/>
      <c r="E75" s="88"/>
      <c r="F75" s="88"/>
    </row>
    <row r="76" spans="1:6" ht="15.75">
      <c r="A76" s="88">
        <v>3</v>
      </c>
      <c r="B76" s="110" t="s">
        <v>856</v>
      </c>
      <c r="C76" s="88"/>
      <c r="D76" s="88"/>
      <c r="E76" s="88"/>
      <c r="F76" s="88"/>
    </row>
    <row r="77" spans="1:6" ht="15.75">
      <c r="A77" s="88">
        <v>4</v>
      </c>
      <c r="B77" s="110" t="s">
        <v>1006</v>
      </c>
      <c r="C77" s="88"/>
      <c r="D77" s="88"/>
      <c r="E77" s="88"/>
      <c r="F77" s="88"/>
    </row>
    <row r="78" spans="1:6" ht="15.75">
      <c r="A78" s="88">
        <v>5</v>
      </c>
      <c r="B78" s="110"/>
      <c r="C78" s="88"/>
      <c r="D78" s="88"/>
      <c r="E78" s="88"/>
      <c r="F78" s="88"/>
    </row>
    <row r="79" spans="1:6" ht="15.75">
      <c r="A79" s="88" t="s">
        <v>24</v>
      </c>
      <c r="B79" s="125"/>
      <c r="C79" s="88"/>
      <c r="D79" s="88"/>
      <c r="E79" s="88"/>
      <c r="F79" s="88"/>
    </row>
    <row r="80" spans="1:6" ht="15.75">
      <c r="A80" s="88">
        <v>1</v>
      </c>
      <c r="B80" s="110"/>
      <c r="C80" s="88"/>
      <c r="D80" s="88"/>
      <c r="E80" s="88"/>
      <c r="F80" s="88"/>
    </row>
    <row r="81" spans="1:6" ht="15.75">
      <c r="A81" s="88">
        <v>2</v>
      </c>
      <c r="B81" s="110"/>
      <c r="C81" s="88"/>
      <c r="D81" s="88"/>
      <c r="E81" s="88"/>
      <c r="F81" s="88"/>
    </row>
    <row r="82" spans="1:6" ht="15.75">
      <c r="A82" s="88">
        <v>3</v>
      </c>
      <c r="B82" s="110"/>
      <c r="C82" s="88"/>
      <c r="D82" s="88"/>
      <c r="E82" s="88"/>
      <c r="F82" s="88"/>
    </row>
    <row r="83" spans="1:6" ht="15.75">
      <c r="A83" s="88">
        <v>4</v>
      </c>
      <c r="B83" s="110"/>
      <c r="C83" s="88"/>
      <c r="D83" s="88"/>
      <c r="E83" s="88"/>
      <c r="F83" s="88"/>
    </row>
    <row r="84" spans="1:6" ht="15.75">
      <c r="A84" s="88">
        <v>5</v>
      </c>
      <c r="B84" s="110"/>
      <c r="C84" s="88"/>
      <c r="D84" s="88"/>
      <c r="E84" s="88"/>
      <c r="F84" s="88"/>
    </row>
    <row r="85" spans="1:6" ht="15.75">
      <c r="A85" s="116" t="str">
        <f>CONCATENATE("County's Final Assessed Valuation for ",C4-1," (November 1,",C4-2," Abstract):")</f>
        <v>County's Final Assessed Valuation for 2011 (November 1,2010 Abstract):</v>
      </c>
      <c r="B85" s="117"/>
      <c r="C85" s="117"/>
      <c r="D85" s="117"/>
      <c r="E85" s="122"/>
      <c r="F85" s="115">
        <v>37275050</v>
      </c>
    </row>
    <row r="86" spans="1:6" ht="15.75">
      <c r="A86" s="87"/>
      <c r="B86" s="88"/>
      <c r="C86" s="88"/>
      <c r="D86" s="88"/>
      <c r="E86" s="88"/>
      <c r="F86" s="88"/>
    </row>
    <row r="87" spans="1:6" ht="15.75">
      <c r="A87" s="88"/>
      <c r="B87" s="88"/>
      <c r="C87" s="88"/>
      <c r="D87" s="88"/>
      <c r="E87" s="88"/>
      <c r="F87" s="88"/>
    </row>
    <row r="88" spans="1:6" ht="15.75">
      <c r="A88" s="127" t="str">
        <f>CONCATENATE("From the ",C4-1," Budget:")</f>
        <v>From the 2011 Budget:</v>
      </c>
      <c r="B88" s="98"/>
      <c r="C88" s="88"/>
      <c r="D88" s="663" t="str">
        <f>CONCATENATE("",C4-3," Tax Rate (",C4-2," Column)")</f>
        <v>2009 Tax Rate (2010 Column)</v>
      </c>
      <c r="E88" s="128"/>
      <c r="F88" s="88"/>
    </row>
    <row r="89" spans="1:6" ht="15.75">
      <c r="A89" s="127" t="s">
        <v>118</v>
      </c>
      <c r="B89" s="129"/>
      <c r="C89" s="88"/>
      <c r="D89" s="664"/>
      <c r="E89" s="128"/>
      <c r="F89" s="88"/>
    </row>
    <row r="90" spans="1:6" ht="15.75">
      <c r="A90" s="88"/>
      <c r="B90" s="130" t="str">
        <f>B16</f>
        <v>General</v>
      </c>
      <c r="C90" s="88"/>
      <c r="D90" s="110">
        <v>34.152</v>
      </c>
      <c r="E90" s="128"/>
      <c r="F90" s="88"/>
    </row>
    <row r="91" spans="1:6" ht="15.75">
      <c r="A91" s="88"/>
      <c r="B91" s="130" t="str">
        <f>B17</f>
        <v>Debt Service</v>
      </c>
      <c r="C91" s="88"/>
      <c r="D91" s="110"/>
      <c r="E91" s="128"/>
      <c r="F91" s="88"/>
    </row>
    <row r="92" spans="1:6" ht="15.75">
      <c r="A92" s="88"/>
      <c r="B92" s="130" t="str">
        <f>B18</f>
        <v>Road &amp; Bridge</v>
      </c>
      <c r="C92" s="88"/>
      <c r="D92" s="110">
        <v>35.232</v>
      </c>
      <c r="E92" s="128"/>
      <c r="F92" s="88"/>
    </row>
    <row r="93" spans="1:6" ht="15.75">
      <c r="A93" s="88"/>
      <c r="B93" s="130" t="str">
        <f aca="true" t="shared" si="0" ref="B93:B114">B19</f>
        <v>Noxious Weed</v>
      </c>
      <c r="C93" s="88"/>
      <c r="D93" s="110">
        <v>2.025</v>
      </c>
      <c r="E93" s="128"/>
      <c r="F93" s="88"/>
    </row>
    <row r="94" spans="1:6" ht="15.75">
      <c r="A94" s="88"/>
      <c r="B94" s="130" t="str">
        <f t="shared" si="0"/>
        <v>Mental Health</v>
      </c>
      <c r="C94" s="88"/>
      <c r="D94" s="110">
        <v>0.435</v>
      </c>
      <c r="E94" s="128"/>
      <c r="F94" s="88"/>
    </row>
    <row r="95" spans="1:6" ht="15.75">
      <c r="A95" s="88"/>
      <c r="B95" s="130" t="str">
        <f t="shared" si="0"/>
        <v>Public Health</v>
      </c>
      <c r="C95" s="88"/>
      <c r="D95" s="110">
        <v>0.619</v>
      </c>
      <c r="E95" s="128"/>
      <c r="F95" s="88"/>
    </row>
    <row r="96" spans="1:6" ht="15.75">
      <c r="A96" s="88"/>
      <c r="B96" s="130" t="str">
        <f t="shared" si="0"/>
        <v>Council on Aging</v>
      </c>
      <c r="C96" s="88"/>
      <c r="D96" s="110">
        <v>0.75</v>
      </c>
      <c r="E96" s="128"/>
      <c r="F96" s="88"/>
    </row>
    <row r="97" spans="1:6" ht="15.75">
      <c r="A97" s="88"/>
      <c r="B97" s="130" t="str">
        <f t="shared" si="0"/>
        <v>Library Service Contract</v>
      </c>
      <c r="C97" s="88"/>
      <c r="D97" s="110">
        <v>0.42</v>
      </c>
      <c r="E97" s="128"/>
      <c r="F97" s="88"/>
    </row>
    <row r="98" spans="1:6" ht="15.75">
      <c r="A98" s="88"/>
      <c r="B98" s="130" t="str">
        <f t="shared" si="0"/>
        <v>Hospital Maintenance</v>
      </c>
      <c r="C98" s="88"/>
      <c r="D98" s="110">
        <v>10</v>
      </c>
      <c r="E98" s="128"/>
      <c r="F98" s="88"/>
    </row>
    <row r="99" spans="1:6" ht="15.75">
      <c r="A99" s="88"/>
      <c r="B99" s="130" t="str">
        <f t="shared" si="0"/>
        <v>Mental Retardation</v>
      </c>
      <c r="C99" s="88"/>
      <c r="D99" s="110">
        <v>1.115</v>
      </c>
      <c r="E99" s="128"/>
      <c r="F99" s="88"/>
    </row>
    <row r="100" spans="1:6" ht="15.75">
      <c r="A100" s="88"/>
      <c r="B100" s="130">
        <f t="shared" si="0"/>
        <v>0</v>
      </c>
      <c r="C100" s="88"/>
      <c r="D100" s="110"/>
      <c r="E100" s="128"/>
      <c r="F100" s="88"/>
    </row>
    <row r="101" spans="1:6" ht="15.75">
      <c r="A101" s="88"/>
      <c r="B101" s="130">
        <f t="shared" si="0"/>
        <v>0</v>
      </c>
      <c r="C101" s="88"/>
      <c r="D101" s="110"/>
      <c r="E101" s="128"/>
      <c r="F101" s="88"/>
    </row>
    <row r="102" spans="1:6" ht="15.75">
      <c r="A102" s="88"/>
      <c r="B102" s="130">
        <f t="shared" si="0"/>
        <v>0</v>
      </c>
      <c r="C102" s="88"/>
      <c r="D102" s="110"/>
      <c r="E102" s="128"/>
      <c r="F102" s="88"/>
    </row>
    <row r="103" spans="1:6" ht="15.75">
      <c r="A103" s="88"/>
      <c r="B103" s="130">
        <f t="shared" si="0"/>
        <v>0</v>
      </c>
      <c r="C103" s="88"/>
      <c r="D103" s="110"/>
      <c r="E103" s="128"/>
      <c r="F103" s="88"/>
    </row>
    <row r="104" spans="1:6" ht="15.75">
      <c r="A104" s="88"/>
      <c r="B104" s="130">
        <f t="shared" si="0"/>
        <v>0</v>
      </c>
      <c r="C104" s="88"/>
      <c r="D104" s="110"/>
      <c r="E104" s="128"/>
      <c r="F104" s="88"/>
    </row>
    <row r="105" spans="1:6" ht="15.75">
      <c r="A105" s="88"/>
      <c r="B105" s="130">
        <f t="shared" si="0"/>
        <v>0</v>
      </c>
      <c r="C105" s="88"/>
      <c r="D105" s="110"/>
      <c r="E105" s="128"/>
      <c r="F105" s="88"/>
    </row>
    <row r="106" spans="1:6" ht="15.75">
      <c r="A106" s="88"/>
      <c r="B106" s="130">
        <f t="shared" si="0"/>
        <v>0</v>
      </c>
      <c r="C106" s="88"/>
      <c r="D106" s="110"/>
      <c r="E106" s="128"/>
      <c r="F106" s="88"/>
    </row>
    <row r="107" spans="1:6" ht="15.75">
      <c r="A107" s="88"/>
      <c r="B107" s="130">
        <f t="shared" si="0"/>
        <v>0</v>
      </c>
      <c r="C107" s="88"/>
      <c r="D107" s="110"/>
      <c r="E107" s="128"/>
      <c r="F107" s="88"/>
    </row>
    <row r="108" spans="1:6" ht="15.75">
      <c r="A108" s="88"/>
      <c r="B108" s="130">
        <f t="shared" si="0"/>
        <v>0</v>
      </c>
      <c r="C108" s="88"/>
      <c r="D108" s="110"/>
      <c r="E108" s="128"/>
      <c r="F108" s="88"/>
    </row>
    <row r="109" spans="1:6" ht="15.75">
      <c r="A109" s="88"/>
      <c r="B109" s="130">
        <f t="shared" si="0"/>
        <v>0</v>
      </c>
      <c r="C109" s="88"/>
      <c r="D109" s="110"/>
      <c r="E109" s="128"/>
      <c r="F109" s="88"/>
    </row>
    <row r="110" spans="1:6" ht="15.75">
      <c r="A110" s="88"/>
      <c r="B110" s="130">
        <f t="shared" si="0"/>
        <v>0</v>
      </c>
      <c r="C110" s="88"/>
      <c r="D110" s="110"/>
      <c r="E110" s="128"/>
      <c r="F110" s="88"/>
    </row>
    <row r="111" spans="1:6" ht="15.75">
      <c r="A111" s="88"/>
      <c r="B111" s="130">
        <f t="shared" si="0"/>
        <v>0</v>
      </c>
      <c r="C111" s="88"/>
      <c r="D111" s="110"/>
      <c r="E111" s="128"/>
      <c r="F111" s="88"/>
    </row>
    <row r="112" spans="1:6" ht="15.75">
      <c r="A112" s="88"/>
      <c r="B112" s="130">
        <f t="shared" si="0"/>
        <v>0</v>
      </c>
      <c r="C112" s="88"/>
      <c r="D112" s="110"/>
      <c r="E112" s="128"/>
      <c r="F112" s="88"/>
    </row>
    <row r="113" spans="1:6" ht="15.75">
      <c r="A113" s="88"/>
      <c r="B113" s="130">
        <f t="shared" si="0"/>
        <v>0</v>
      </c>
      <c r="C113" s="88"/>
      <c r="D113" s="110"/>
      <c r="E113" s="128"/>
      <c r="F113" s="88"/>
    </row>
    <row r="114" spans="1:6" ht="15.75">
      <c r="A114" s="88"/>
      <c r="B114" s="130">
        <f t="shared" si="0"/>
        <v>0</v>
      </c>
      <c r="C114" s="88"/>
      <c r="D114" s="110"/>
      <c r="E114" s="128"/>
      <c r="F114" s="88"/>
    </row>
    <row r="115" spans="1:6" ht="15.75">
      <c r="A115" s="117" t="s">
        <v>128</v>
      </c>
      <c r="B115" s="117"/>
      <c r="C115" s="122"/>
      <c r="D115" s="120">
        <f>SUM(D90:D114)</f>
        <v>84.748</v>
      </c>
      <c r="E115" s="128"/>
      <c r="F115" s="88"/>
    </row>
    <row r="116" spans="1:6" ht="15.75">
      <c r="A116" s="88"/>
      <c r="B116" s="88"/>
      <c r="C116" s="88"/>
      <c r="D116" s="88"/>
      <c r="E116" s="88"/>
      <c r="F116" s="88"/>
    </row>
    <row r="117" spans="1:6" ht="15.75">
      <c r="A117" s="131" t="str">
        <f>CONCATENATE("Total Tax Levied (",C4-2," budget column)")</f>
        <v>Total Tax Levied (2010 budget column)</v>
      </c>
      <c r="B117" s="132"/>
      <c r="C117" s="117"/>
      <c r="D117" s="117"/>
      <c r="E117" s="122"/>
      <c r="F117" s="115">
        <v>2861342</v>
      </c>
    </row>
    <row r="118" spans="1:6" ht="15.75">
      <c r="A118" s="133" t="str">
        <f>CONCATENATE("Assessed Valuation  (",C4-2," budget column)")</f>
        <v>Assessed Valuation  (2010 budget column)</v>
      </c>
      <c r="B118" s="134"/>
      <c r="C118" s="135"/>
      <c r="D118" s="135"/>
      <c r="E118" s="118"/>
      <c r="F118" s="115">
        <v>33763228</v>
      </c>
    </row>
    <row r="119" spans="1:6" ht="15.75">
      <c r="A119" s="124"/>
      <c r="B119" s="91"/>
      <c r="C119" s="91"/>
      <c r="D119" s="91"/>
      <c r="E119" s="91"/>
      <c r="F119" s="136"/>
    </row>
    <row r="120" spans="1:6" ht="15.75">
      <c r="A120" s="137" t="str">
        <f>CONCATENATE("From the ",C4-1," Budget, Budget Summary Page:")</f>
        <v>From the 2011 Budget, Budget Summary Page:</v>
      </c>
      <c r="B120" s="138"/>
      <c r="C120" s="128"/>
      <c r="D120" s="128"/>
      <c r="E120" s="128"/>
      <c r="F120" s="128"/>
    </row>
    <row r="121" spans="1:6" ht="15.75">
      <c r="A121" s="139" t="s">
        <v>0</v>
      </c>
      <c r="B121" s="139"/>
      <c r="C121" s="140"/>
      <c r="D121" s="141">
        <f>C4-3</f>
        <v>2009</v>
      </c>
      <c r="E121" s="142">
        <f>C4-2</f>
        <v>2010</v>
      </c>
      <c r="F121" s="128"/>
    </row>
    <row r="122" spans="1:6" ht="15.75">
      <c r="A122" s="143" t="s">
        <v>1</v>
      </c>
      <c r="B122" s="143"/>
      <c r="C122" s="144"/>
      <c r="D122" s="108">
        <v>0</v>
      </c>
      <c r="E122" s="108">
        <v>0</v>
      </c>
      <c r="F122" s="128"/>
    </row>
    <row r="123" spans="1:6" s="146" customFormat="1" ht="15.75">
      <c r="A123" s="145" t="s">
        <v>2</v>
      </c>
      <c r="B123" s="145"/>
      <c r="C123" s="144"/>
      <c r="D123" s="108">
        <v>0</v>
      </c>
      <c r="E123" s="108">
        <v>0</v>
      </c>
      <c r="F123" s="140"/>
    </row>
    <row r="124" spans="1:6" s="146" customFormat="1" ht="15.75">
      <c r="A124" s="145" t="s">
        <v>3</v>
      </c>
      <c r="B124" s="145"/>
      <c r="C124" s="144"/>
      <c r="D124" s="108">
        <v>0</v>
      </c>
      <c r="E124" s="108">
        <v>0</v>
      </c>
      <c r="F124" s="140"/>
    </row>
    <row r="125" spans="1:6" s="146" customFormat="1" ht="15.75">
      <c r="A125" s="145" t="s">
        <v>4</v>
      </c>
      <c r="B125" s="145"/>
      <c r="C125" s="144"/>
      <c r="D125" s="108">
        <v>0</v>
      </c>
      <c r="E125" s="108">
        <v>0</v>
      </c>
      <c r="F125" s="140"/>
    </row>
    <row r="126" s="146" customFormat="1" ht="15.75"/>
  </sheetData>
  <sheetProtection sheet="1"/>
  <mergeCells count="3">
    <mergeCell ref="D88:D89"/>
    <mergeCell ref="A9:F9"/>
    <mergeCell ref="A1:F1"/>
  </mergeCells>
  <printOptions/>
  <pageMargins left="0.5" right="0.5" top="1" bottom="0.5" header="0.5" footer="0.25"/>
  <pageSetup blackAndWhite="1" fitToHeight="3" fitToWidth="1" horizontalDpi="120" verticalDpi="120" orientation="portrait" scale="96" r:id="rId1"/>
</worksheet>
</file>

<file path=xl/worksheets/sheet20.xml><?xml version="1.0" encoding="utf-8"?>
<worksheet xmlns="http://schemas.openxmlformats.org/spreadsheetml/2006/main" xmlns:r="http://schemas.openxmlformats.org/officeDocument/2006/relationships">
  <dimension ref="B1:E54"/>
  <sheetViews>
    <sheetView zoomScalePageLayoutView="0" workbookViewId="0" topLeftCell="A30">
      <selection activeCell="C47" sqref="C47"/>
    </sheetView>
  </sheetViews>
  <sheetFormatPr defaultColWidth="8.796875" defaultRowHeight="15"/>
  <cols>
    <col min="1" max="1" width="2.3984375" style="75" customWidth="1"/>
    <col min="2" max="2" width="32.796875" style="75" customWidth="1"/>
    <col min="3" max="5" width="17.19921875" style="75" customWidth="1"/>
    <col min="6" max="16384" width="8.8984375" style="75" customWidth="1"/>
  </cols>
  <sheetData>
    <row r="1" spans="2:5" ht="15.75">
      <c r="B1" s="237" t="str">
        <f>(inputPrYr!C2)</f>
        <v>Sheridan County</v>
      </c>
      <c r="C1" s="88"/>
      <c r="D1" s="88"/>
      <c r="E1" s="296">
        <f>inputPrYr!C4</f>
        <v>2012</v>
      </c>
    </row>
    <row r="2" spans="2:5" ht="15.75">
      <c r="B2" s="88"/>
      <c r="C2" s="88"/>
      <c r="D2" s="88"/>
      <c r="E2" s="249"/>
    </row>
    <row r="3" spans="2:5" ht="15.75">
      <c r="B3" s="155" t="s">
        <v>231</v>
      </c>
      <c r="C3" s="342"/>
      <c r="D3" s="342"/>
      <c r="E3" s="343"/>
    </row>
    <row r="4" spans="2:5" ht="15.75">
      <c r="B4" s="88"/>
      <c r="C4" s="336"/>
      <c r="D4" s="336"/>
      <c r="E4" s="336"/>
    </row>
    <row r="5" spans="2:5" ht="15.75">
      <c r="B5" s="87" t="s">
        <v>157</v>
      </c>
      <c r="C5" s="553" t="str">
        <f>general!C4</f>
        <v>Prior Year Actual</v>
      </c>
      <c r="D5" s="465" t="str">
        <f>general!D4</f>
        <v>Current Year Estimate</v>
      </c>
      <c r="E5" s="465" t="str">
        <f>general!E4</f>
        <v>Proposed Budget Year</v>
      </c>
    </row>
    <row r="6" spans="2:5" ht="15.75">
      <c r="B6" s="489" t="str">
        <f>inputPrYr!B43</f>
        <v>Noxious Weed Capital Outlay</v>
      </c>
      <c r="C6" s="325">
        <f>general!C5</f>
        <v>2010</v>
      </c>
      <c r="D6" s="325">
        <f>general!D5</f>
        <v>2011</v>
      </c>
      <c r="E6" s="312">
        <f>general!E5</f>
        <v>2012</v>
      </c>
    </row>
    <row r="7" spans="2:5" ht="15.75">
      <c r="B7" s="151" t="s">
        <v>270</v>
      </c>
      <c r="C7" s="115">
        <v>36088</v>
      </c>
      <c r="D7" s="275">
        <f>C23</f>
        <v>46088</v>
      </c>
      <c r="E7" s="275">
        <f>D23</f>
        <v>56088</v>
      </c>
    </row>
    <row r="8" spans="2:5" ht="15.75">
      <c r="B8" s="344" t="s">
        <v>272</v>
      </c>
      <c r="C8" s="111"/>
      <c r="D8" s="111"/>
      <c r="E8" s="111"/>
    </row>
    <row r="9" spans="2:5" ht="15.75">
      <c r="B9" s="327" t="s">
        <v>958</v>
      </c>
      <c r="C9" s="115">
        <v>10000</v>
      </c>
      <c r="D9" s="115">
        <v>10000</v>
      </c>
      <c r="E9" s="115">
        <v>10000</v>
      </c>
    </row>
    <row r="10" spans="2:5" ht="15.75">
      <c r="B10" s="327"/>
      <c r="C10" s="115"/>
      <c r="D10" s="115"/>
      <c r="E10" s="115"/>
    </row>
    <row r="11" spans="2:5" ht="15.75">
      <c r="B11" s="319" t="s">
        <v>73</v>
      </c>
      <c r="C11" s="115"/>
      <c r="D11" s="314"/>
      <c r="E11" s="314"/>
    </row>
    <row r="12" spans="2:5" ht="15.75">
      <c r="B12" s="319" t="s">
        <v>673</v>
      </c>
      <c r="C12" s="486">
        <f>IF(C13*0.1&lt;C11,"Exceed 10% Rule","")</f>
      </c>
      <c r="D12" s="320">
        <f>IF(D13*0.1&lt;D11,"Exceed 10% Rule","")</f>
      </c>
      <c r="E12" s="320">
        <f>IF(E13*0.1&lt;E11,"Exceed 10% Rule","")</f>
      </c>
    </row>
    <row r="13" spans="2:5" ht="15.75">
      <c r="B13" s="321" t="s">
        <v>158</v>
      </c>
      <c r="C13" s="351">
        <f>SUM(C9:C11)</f>
        <v>10000</v>
      </c>
      <c r="D13" s="351">
        <f>SUM(D9:D11)</f>
        <v>10000</v>
      </c>
      <c r="E13" s="351">
        <f>SUM(E9:E11)</f>
        <v>10000</v>
      </c>
    </row>
    <row r="14" spans="2:5" ht="15.75">
      <c r="B14" s="321" t="s">
        <v>159</v>
      </c>
      <c r="C14" s="351">
        <f>C13+C7</f>
        <v>46088</v>
      </c>
      <c r="D14" s="351">
        <f>D13+D7</f>
        <v>56088</v>
      </c>
      <c r="E14" s="351">
        <f>E13+E7</f>
        <v>66088</v>
      </c>
    </row>
    <row r="15" spans="2:5" ht="15.75">
      <c r="B15" s="151" t="s">
        <v>162</v>
      </c>
      <c r="C15" s="275"/>
      <c r="D15" s="275"/>
      <c r="E15" s="275"/>
    </row>
    <row r="16" spans="2:5" ht="15.75">
      <c r="B16" s="327" t="s">
        <v>168</v>
      </c>
      <c r="C16" s="115"/>
      <c r="D16" s="115"/>
      <c r="E16" s="115">
        <v>66088</v>
      </c>
    </row>
    <row r="17" spans="2:5" ht="15.75">
      <c r="B17" s="327"/>
      <c r="C17" s="115"/>
      <c r="D17" s="115"/>
      <c r="E17" s="115"/>
    </row>
    <row r="18" spans="2:5" ht="15.75">
      <c r="B18" s="327"/>
      <c r="C18" s="115"/>
      <c r="D18" s="115"/>
      <c r="E18" s="115"/>
    </row>
    <row r="19" spans="2:5" ht="15.75">
      <c r="B19" s="327"/>
      <c r="C19" s="115"/>
      <c r="D19" s="115"/>
      <c r="E19" s="115"/>
    </row>
    <row r="20" spans="2:5" ht="15.75">
      <c r="B20" s="319" t="s">
        <v>73</v>
      </c>
      <c r="C20" s="115"/>
      <c r="D20" s="314"/>
      <c r="E20" s="314"/>
    </row>
    <row r="21" spans="2:5" ht="15.75">
      <c r="B21" s="319" t="s">
        <v>672</v>
      </c>
      <c r="C21" s="486">
        <f>IF(C22*0.1&lt;C20,"Exceed 10% Rule","")</f>
      </c>
      <c r="D21" s="320">
        <f>IF(D22*0.1&lt;D20,"Exceed 10% Rule","")</f>
      </c>
      <c r="E21" s="320">
        <f>IF(E22*0.1&lt;E20,"Exceed 10% Rule","")</f>
      </c>
    </row>
    <row r="22" spans="2:5" ht="15.75">
      <c r="B22" s="321" t="s">
        <v>163</v>
      </c>
      <c r="C22" s="351">
        <f>SUM(C16:C20)</f>
        <v>0</v>
      </c>
      <c r="D22" s="351">
        <f>SUM(D16:D20)</f>
        <v>0</v>
      </c>
      <c r="E22" s="351">
        <f>SUM(E16:E20)</f>
        <v>66088</v>
      </c>
    </row>
    <row r="23" spans="2:5" ht="15.75">
      <c r="B23" s="151" t="s">
        <v>271</v>
      </c>
      <c r="C23" s="123">
        <f>C14-C22</f>
        <v>46088</v>
      </c>
      <c r="D23" s="123">
        <f>D14-D22</f>
        <v>56088</v>
      </c>
      <c r="E23" s="123">
        <f>E14-E22</f>
        <v>0</v>
      </c>
    </row>
    <row r="24" spans="2:5" ht="15.75">
      <c r="B24" s="297" t="str">
        <f>CONCATENATE("",E$1-2,"/",E$1-1," Budget Authority Amount:")</f>
        <v>2010/2011 Budget Authority Amount:</v>
      </c>
      <c r="C24" s="289">
        <f>inputOth!B56</f>
        <v>56088</v>
      </c>
      <c r="D24" s="289">
        <f>inputPrYr!D43</f>
        <v>56088</v>
      </c>
      <c r="E24" s="485">
        <f>IF(E23&lt;0,"See Tab E","")</f>
      </c>
    </row>
    <row r="25" spans="2:5" ht="15.75">
      <c r="B25" s="297"/>
      <c r="C25" s="330">
        <f>IF(C22&gt;C24,"See Tab A","")</f>
      </c>
      <c r="D25" s="330">
        <f>IF(D22&gt;D24,"See Tab C","")</f>
      </c>
      <c r="E25" s="148"/>
    </row>
    <row r="26" spans="2:5" ht="15.75">
      <c r="B26" s="297"/>
      <c r="C26" s="330">
        <f>IF(C23&lt;0,"See Tab B","")</f>
      </c>
      <c r="D26" s="330">
        <f>IF(D23&lt;0,"See Tab D","")</f>
      </c>
      <c r="E26" s="148"/>
    </row>
    <row r="27" spans="2:5" ht="15.75">
      <c r="B27" s="88"/>
      <c r="C27" s="148"/>
      <c r="D27" s="148"/>
      <c r="E27" s="148"/>
    </row>
    <row r="28" spans="2:5" ht="15.75">
      <c r="B28" s="87" t="s">
        <v>157</v>
      </c>
      <c r="C28" s="336"/>
      <c r="D28" s="336"/>
      <c r="E28" s="336"/>
    </row>
    <row r="29" spans="2:5" ht="15.75">
      <c r="B29" s="88"/>
      <c r="C29" s="553" t="str">
        <f aca="true" t="shared" si="0" ref="C29:E30">C5</f>
        <v>Prior Year Actual</v>
      </c>
      <c r="D29" s="465" t="str">
        <f t="shared" si="0"/>
        <v>Current Year Estimate</v>
      </c>
      <c r="E29" s="465" t="str">
        <f t="shared" si="0"/>
        <v>Proposed Budget Year</v>
      </c>
    </row>
    <row r="30" spans="2:5" ht="15.75">
      <c r="B30" s="488" t="str">
        <f>inputPrYr!B44</f>
        <v>911 Emergency Tax</v>
      </c>
      <c r="C30" s="325">
        <f t="shared" si="0"/>
        <v>2010</v>
      </c>
      <c r="D30" s="325">
        <f t="shared" si="0"/>
        <v>2011</v>
      </c>
      <c r="E30" s="312">
        <f t="shared" si="0"/>
        <v>2012</v>
      </c>
    </row>
    <row r="31" spans="2:5" ht="15.75">
      <c r="B31" s="151" t="s">
        <v>270</v>
      </c>
      <c r="C31" s="115">
        <v>22212</v>
      </c>
      <c r="D31" s="275">
        <f>C49</f>
        <v>17642</v>
      </c>
      <c r="E31" s="275">
        <f>D49</f>
        <v>16524</v>
      </c>
    </row>
    <row r="32" spans="2:5" ht="15.75">
      <c r="B32" s="151" t="s">
        <v>272</v>
      </c>
      <c r="C32" s="111"/>
      <c r="D32" s="111"/>
      <c r="E32" s="111"/>
    </row>
    <row r="33" spans="2:5" ht="15.75">
      <c r="B33" s="327" t="s">
        <v>959</v>
      </c>
      <c r="C33" s="115">
        <v>10268</v>
      </c>
      <c r="D33" s="115">
        <v>14500</v>
      </c>
      <c r="E33" s="115">
        <v>17500</v>
      </c>
    </row>
    <row r="34" spans="2:5" ht="15.75">
      <c r="B34" s="327" t="s">
        <v>951</v>
      </c>
      <c r="C34" s="115"/>
      <c r="D34" s="115"/>
      <c r="E34" s="115"/>
    </row>
    <row r="35" spans="2:5" ht="15.75">
      <c r="B35" s="327"/>
      <c r="C35" s="115"/>
      <c r="D35" s="115"/>
      <c r="E35" s="115"/>
    </row>
    <row r="36" spans="2:5" ht="15.75">
      <c r="B36" s="318"/>
      <c r="C36" s="115"/>
      <c r="D36" s="115"/>
      <c r="E36" s="115"/>
    </row>
    <row r="37" spans="2:5" ht="15.75">
      <c r="B37" s="319" t="s">
        <v>73</v>
      </c>
      <c r="C37" s="115"/>
      <c r="D37" s="314"/>
      <c r="E37" s="314"/>
    </row>
    <row r="38" spans="2:5" ht="15.75">
      <c r="B38" s="319" t="s">
        <v>673</v>
      </c>
      <c r="C38" s="486">
        <f>IF(C39*0.1&lt;C37,"Exceed 10% Rule","")</f>
      </c>
      <c r="D38" s="320">
        <f>IF(D39*0.1&lt;D37,"Exceed 10% Rule","")</f>
      </c>
      <c r="E38" s="320">
        <f>IF(E39*0.1&lt;E37,"Exceed 10% Rule","")</f>
      </c>
    </row>
    <row r="39" spans="2:5" ht="15.75">
      <c r="B39" s="321" t="s">
        <v>158</v>
      </c>
      <c r="C39" s="351">
        <f>SUM(C33:C37)</f>
        <v>10268</v>
      </c>
      <c r="D39" s="351">
        <f>SUM(D33:D37)</f>
        <v>14500</v>
      </c>
      <c r="E39" s="351">
        <f>SUM(E33:E37)</f>
        <v>17500</v>
      </c>
    </row>
    <row r="40" spans="2:5" ht="15.75">
      <c r="B40" s="321" t="s">
        <v>159</v>
      </c>
      <c r="C40" s="351">
        <f>C31+C39</f>
        <v>32480</v>
      </c>
      <c r="D40" s="351">
        <f>D31+D39</f>
        <v>32142</v>
      </c>
      <c r="E40" s="351">
        <f>E31+E39</f>
        <v>34024</v>
      </c>
    </row>
    <row r="41" spans="2:5" ht="15.75">
      <c r="B41" s="151" t="s">
        <v>162</v>
      </c>
      <c r="C41" s="275"/>
      <c r="D41" s="275"/>
      <c r="E41" s="275"/>
    </row>
    <row r="42" spans="2:5" ht="15.75">
      <c r="B42" s="327" t="s">
        <v>960</v>
      </c>
      <c r="C42" s="115">
        <v>14838</v>
      </c>
      <c r="D42" s="115">
        <v>15618</v>
      </c>
      <c r="E42" s="115">
        <v>34024</v>
      </c>
    </row>
    <row r="43" spans="2:5" ht="15.75">
      <c r="B43" s="327"/>
      <c r="C43" s="115"/>
      <c r="D43" s="115"/>
      <c r="E43" s="115"/>
    </row>
    <row r="44" spans="2:5" ht="15.75">
      <c r="B44" s="327"/>
      <c r="C44" s="115"/>
      <c r="D44" s="115"/>
      <c r="E44" s="115"/>
    </row>
    <row r="45" spans="2:5" ht="15.75">
      <c r="B45" s="327"/>
      <c r="C45" s="115"/>
      <c r="D45" s="115"/>
      <c r="E45" s="115"/>
    </row>
    <row r="46" spans="2:5" ht="15.75">
      <c r="B46" s="319" t="s">
        <v>73</v>
      </c>
      <c r="C46" s="115"/>
      <c r="D46" s="314"/>
      <c r="E46" s="314"/>
    </row>
    <row r="47" spans="2:5" ht="15.75">
      <c r="B47" s="319" t="s">
        <v>672</v>
      </c>
      <c r="C47" s="486">
        <f>IF(C48*0.1&lt;C46,"Exceed 10% Rule","")</f>
      </c>
      <c r="D47" s="320">
        <f>IF(D48*0.1&lt;D46,"Exceed 10% Rule","")</f>
      </c>
      <c r="E47" s="320">
        <f>IF(E48*0.1&lt;E46,"Exceed 10% Rule","")</f>
      </c>
    </row>
    <row r="48" spans="2:5" ht="15.75">
      <c r="B48" s="321" t="s">
        <v>163</v>
      </c>
      <c r="C48" s="351">
        <f>SUM(C42:C46)</f>
        <v>14838</v>
      </c>
      <c r="D48" s="351">
        <f>SUM(D42:D46)</f>
        <v>15618</v>
      </c>
      <c r="E48" s="351">
        <f>SUM(E42:E46)</f>
        <v>34024</v>
      </c>
    </row>
    <row r="49" spans="2:5" ht="15.75">
      <c r="B49" s="151" t="s">
        <v>271</v>
      </c>
      <c r="C49" s="123">
        <f>C40-C48</f>
        <v>17642</v>
      </c>
      <c r="D49" s="123">
        <f>D40-D48</f>
        <v>16524</v>
      </c>
      <c r="E49" s="123">
        <f>E40-E48</f>
        <v>0</v>
      </c>
    </row>
    <row r="50" spans="2:5" ht="15.75">
      <c r="B50" s="297" t="str">
        <f>CONCATENATE("",E$1-2,"/",E$1-1," Budget Authority Amount:")</f>
        <v>2010/2011 Budget Authority Amount:</v>
      </c>
      <c r="C50" s="289">
        <f>inputOth!B57</f>
        <v>34259</v>
      </c>
      <c r="D50" s="289">
        <f>inputPrYr!D44</f>
        <v>40211</v>
      </c>
      <c r="E50" s="484">
        <f>IF(E49&lt;0,"See Tab E","")</f>
      </c>
    </row>
    <row r="51" spans="2:5" ht="15.75">
      <c r="B51" s="297"/>
      <c r="C51" s="330">
        <f>IF(C48&gt;C50,"See Tab A","")</f>
      </c>
      <c r="D51" s="330">
        <f>IF(D48&gt;D50,"See Tab C","")</f>
      </c>
      <c r="E51" s="88"/>
    </row>
    <row r="52" spans="2:5" ht="15.75">
      <c r="B52" s="297"/>
      <c r="C52" s="330">
        <f>IF(C49&lt;0,"See Tab B","")</f>
      </c>
      <c r="D52" s="330">
        <f>IF(D49&lt;0,"See Tab D","")</f>
      </c>
      <c r="E52" s="88"/>
    </row>
    <row r="53" spans="2:5" ht="15.75">
      <c r="B53" s="88"/>
      <c r="C53" s="88"/>
      <c r="D53" s="88"/>
      <c r="E53" s="88"/>
    </row>
    <row r="54" spans="2:5" ht="15.75">
      <c r="B54" s="297"/>
      <c r="C54" s="658" t="s">
        <v>1013</v>
      </c>
      <c r="D54" s="88"/>
      <c r="E54" s="88"/>
    </row>
  </sheetData>
  <sheetProtection/>
  <conditionalFormatting sqref="C20">
    <cfRule type="cellIs" priority="7" dxfId="163" operator="greaterThan" stopIfTrue="1">
      <formula>$C$22*0.1</formula>
    </cfRule>
  </conditionalFormatting>
  <conditionalFormatting sqref="D20">
    <cfRule type="cellIs" priority="8" dxfId="163" operator="greaterThan" stopIfTrue="1">
      <formula>$D$22*0.1</formula>
    </cfRule>
  </conditionalFormatting>
  <conditionalFormatting sqref="E20">
    <cfRule type="cellIs" priority="9" dxfId="163" operator="greaterThan" stopIfTrue="1">
      <formula>$E$22*0.1</formula>
    </cfRule>
  </conditionalFormatting>
  <conditionalFormatting sqref="C11">
    <cfRule type="cellIs" priority="10" dxfId="163" operator="greaterThan" stopIfTrue="1">
      <formula>$C$13*0.1</formula>
    </cfRule>
  </conditionalFormatting>
  <conditionalFormatting sqref="D11">
    <cfRule type="cellIs" priority="11" dxfId="163" operator="greaterThan" stopIfTrue="1">
      <formula>$D$13*0.1</formula>
    </cfRule>
  </conditionalFormatting>
  <conditionalFormatting sqref="E11">
    <cfRule type="cellIs" priority="12" dxfId="163" operator="greaterThan" stopIfTrue="1">
      <formula>$E$13*0.1</formula>
    </cfRule>
  </conditionalFormatting>
  <conditionalFormatting sqref="C37">
    <cfRule type="cellIs" priority="13" dxfId="163" operator="greaterThan" stopIfTrue="1">
      <formula>$C$39*0.1</formula>
    </cfRule>
  </conditionalFormatting>
  <conditionalFormatting sqref="D37">
    <cfRule type="cellIs" priority="14" dxfId="163" operator="greaterThan" stopIfTrue="1">
      <formula>$D$39*0.1</formula>
    </cfRule>
  </conditionalFormatting>
  <conditionalFormatting sqref="E37">
    <cfRule type="cellIs" priority="15" dxfId="163" operator="greaterThan" stopIfTrue="1">
      <formula>$E$39*0.1</formula>
    </cfRule>
  </conditionalFormatting>
  <conditionalFormatting sqref="C46">
    <cfRule type="cellIs" priority="16" dxfId="163" operator="greaterThan" stopIfTrue="1">
      <formula>$C$48*0.1</formula>
    </cfRule>
  </conditionalFormatting>
  <conditionalFormatting sqref="D46">
    <cfRule type="cellIs" priority="17" dxfId="163" operator="greaterThan" stopIfTrue="1">
      <formula>$D$48*0.1</formula>
    </cfRule>
  </conditionalFormatting>
  <conditionalFormatting sqref="E46">
    <cfRule type="cellIs" priority="18" dxfId="163" operator="greaterThan" stopIfTrue="1">
      <formula>$E$48*0.1</formula>
    </cfRule>
  </conditionalFormatting>
  <conditionalFormatting sqref="E49 C49 E23">
    <cfRule type="cellIs" priority="19" dxfId="1" operator="lessThan" stopIfTrue="1">
      <formula>0</formula>
    </cfRule>
  </conditionalFormatting>
  <conditionalFormatting sqref="D48">
    <cfRule type="cellIs" priority="20" dxfId="1" operator="greaterThan" stopIfTrue="1">
      <formula>$D$50</formula>
    </cfRule>
  </conditionalFormatting>
  <conditionalFormatting sqref="C48">
    <cfRule type="cellIs" priority="21" dxfId="1" operator="greaterThan" stopIfTrue="1">
      <formula>$C$50</formula>
    </cfRule>
  </conditionalFormatting>
  <conditionalFormatting sqref="C22">
    <cfRule type="cellIs" priority="6" dxfId="0" operator="greaterThan" stopIfTrue="1">
      <formula>$C$24</formula>
    </cfRule>
  </conditionalFormatting>
  <conditionalFormatting sqref="D22">
    <cfRule type="cellIs" priority="5" dxfId="0" operator="greaterThan" stopIfTrue="1">
      <formula>$D$24</formula>
    </cfRule>
  </conditionalFormatting>
  <conditionalFormatting sqref="C23">
    <cfRule type="cellIs" priority="4" dxfId="0" operator="lessThan" stopIfTrue="1">
      <formula>0</formula>
    </cfRule>
  </conditionalFormatting>
  <conditionalFormatting sqref="D23">
    <cfRule type="cellIs" priority="2" dxfId="0" operator="lessThan" stopIfTrue="1">
      <formula>0</formula>
    </cfRule>
    <cfRule type="cellIs" priority="3" dxfId="0" operator="lessThan" stopIfTrue="1">
      <formula>0</formula>
    </cfRule>
  </conditionalFormatting>
  <conditionalFormatting sqref="D49">
    <cfRule type="cellIs" priority="1" dxfId="0" operator="lessThan" stopIfTrue="1">
      <formula>0</formula>
    </cfRule>
  </conditionalFormatting>
  <printOptions/>
  <pageMargins left="0.78" right="0.5" top="0.74" bottom="0.34" header="0.5" footer="0"/>
  <pageSetup blackAndWhite="1" horizontalDpi="120" verticalDpi="120" orientation="portrait" scale="85"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dimension ref="B1:E54"/>
  <sheetViews>
    <sheetView zoomScalePageLayoutView="0" workbookViewId="0" topLeftCell="A4">
      <selection activeCell="C47" sqref="C47"/>
    </sheetView>
  </sheetViews>
  <sheetFormatPr defaultColWidth="8.796875" defaultRowHeight="15"/>
  <cols>
    <col min="1" max="1" width="2.3984375" style="75" customWidth="1"/>
    <col min="2" max="2" width="32.8984375" style="75" customWidth="1"/>
    <col min="3" max="5" width="17.09765625" style="75" customWidth="1"/>
    <col min="6" max="16384" width="8.8984375" style="75" customWidth="1"/>
  </cols>
  <sheetData>
    <row r="1" spans="2:5" ht="15.75">
      <c r="B1" s="237" t="str">
        <f>(inputPrYr!C2)</f>
        <v>Sheridan County</v>
      </c>
      <c r="C1" s="88"/>
      <c r="D1" s="88"/>
      <c r="E1" s="296">
        <f>inputPrYr!C4</f>
        <v>2012</v>
      </c>
    </row>
    <row r="2" spans="2:5" ht="15.75">
      <c r="B2" s="88"/>
      <c r="C2" s="88"/>
      <c r="D2" s="88"/>
      <c r="E2" s="249"/>
    </row>
    <row r="3" spans="2:5" ht="15.75">
      <c r="B3" s="155" t="s">
        <v>231</v>
      </c>
      <c r="C3" s="342"/>
      <c r="D3" s="342"/>
      <c r="E3" s="343"/>
    </row>
    <row r="4" spans="2:5" ht="15.75">
      <c r="B4" s="88"/>
      <c r="C4" s="336"/>
      <c r="D4" s="336"/>
      <c r="E4" s="336"/>
    </row>
    <row r="5" spans="2:5" ht="15.75">
      <c r="B5" s="87" t="s">
        <v>157</v>
      </c>
      <c r="C5" s="553" t="str">
        <f>general!C4</f>
        <v>Prior Year Actual</v>
      </c>
      <c r="D5" s="465" t="str">
        <f>general!D4</f>
        <v>Current Year Estimate</v>
      </c>
      <c r="E5" s="465" t="str">
        <f>general!E4</f>
        <v>Proposed Budget Year</v>
      </c>
    </row>
    <row r="6" spans="2:5" ht="15.75">
      <c r="B6" s="489" t="str">
        <f>inputPrYr!B45</f>
        <v>Parks &amp; Recreation</v>
      </c>
      <c r="C6" s="325">
        <f>general!C5</f>
        <v>2010</v>
      </c>
      <c r="D6" s="325">
        <f>general!D5</f>
        <v>2011</v>
      </c>
      <c r="E6" s="312">
        <f>general!E5</f>
        <v>2012</v>
      </c>
    </row>
    <row r="7" spans="2:5" ht="15.75">
      <c r="B7" s="151" t="s">
        <v>270</v>
      </c>
      <c r="C7" s="115">
        <v>1033</v>
      </c>
      <c r="D7" s="275">
        <f>C23</f>
        <v>2022</v>
      </c>
      <c r="E7" s="275">
        <f>D23</f>
        <v>1922</v>
      </c>
    </row>
    <row r="8" spans="2:5" ht="15.75">
      <c r="B8" s="344" t="s">
        <v>272</v>
      </c>
      <c r="C8" s="111"/>
      <c r="D8" s="111"/>
      <c r="E8" s="111"/>
    </row>
    <row r="9" spans="2:5" ht="15.75">
      <c r="B9" s="327" t="s">
        <v>961</v>
      </c>
      <c r="C9" s="115">
        <v>989</v>
      </c>
      <c r="D9" s="115">
        <v>1500</v>
      </c>
      <c r="E9" s="115">
        <v>1878</v>
      </c>
    </row>
    <row r="10" spans="2:5" ht="15.75">
      <c r="B10" s="327"/>
      <c r="C10" s="115"/>
      <c r="D10" s="115"/>
      <c r="E10" s="115"/>
    </row>
    <row r="11" spans="2:5" ht="15.75">
      <c r="B11" s="319" t="s">
        <v>73</v>
      </c>
      <c r="C11" s="115"/>
      <c r="D11" s="314"/>
      <c r="E11" s="314"/>
    </row>
    <row r="12" spans="2:5" ht="15.75">
      <c r="B12" s="319" t="s">
        <v>673</v>
      </c>
      <c r="C12" s="486">
        <f>IF(C13*0.1&lt;C11,"Exceed 10% Rule","")</f>
      </c>
      <c r="D12" s="320">
        <f>IF(D13*0.1&lt;D11,"Exceed 10% Rule","")</f>
      </c>
      <c r="E12" s="320">
        <f>IF(E13*0.1&lt;E11,"Exceed 10% Rule","")</f>
      </c>
    </row>
    <row r="13" spans="2:5" ht="15.75">
      <c r="B13" s="321" t="s">
        <v>158</v>
      </c>
      <c r="C13" s="351">
        <f>SUM(C9:C11)</f>
        <v>989</v>
      </c>
      <c r="D13" s="351">
        <f>SUM(D9:D11)</f>
        <v>1500</v>
      </c>
      <c r="E13" s="351">
        <f>SUM(E9:E11)</f>
        <v>1878</v>
      </c>
    </row>
    <row r="14" spans="2:5" ht="15.75">
      <c r="B14" s="321" t="s">
        <v>159</v>
      </c>
      <c r="C14" s="351">
        <f>C13+C7</f>
        <v>2022</v>
      </c>
      <c r="D14" s="351">
        <f>D13+D7</f>
        <v>3522</v>
      </c>
      <c r="E14" s="351">
        <f>E13+E7</f>
        <v>3800</v>
      </c>
    </row>
    <row r="15" spans="2:5" ht="15.75">
      <c r="B15" s="151" t="s">
        <v>162</v>
      </c>
      <c r="C15" s="275"/>
      <c r="D15" s="275"/>
      <c r="E15" s="275"/>
    </row>
    <row r="16" spans="2:5" ht="15.75">
      <c r="B16" s="327" t="s">
        <v>962</v>
      </c>
      <c r="C16" s="115"/>
      <c r="D16" s="115">
        <v>800</v>
      </c>
      <c r="E16" s="115">
        <v>1900</v>
      </c>
    </row>
    <row r="17" spans="2:5" ht="15.75">
      <c r="B17" s="327" t="s">
        <v>963</v>
      </c>
      <c r="C17" s="115"/>
      <c r="D17" s="115">
        <v>800</v>
      </c>
      <c r="E17" s="115">
        <v>1900</v>
      </c>
    </row>
    <row r="18" spans="2:5" ht="15.75">
      <c r="B18" s="327"/>
      <c r="C18" s="115"/>
      <c r="D18" s="115"/>
      <c r="E18" s="115"/>
    </row>
    <row r="19" spans="2:5" ht="15.75">
      <c r="B19" s="327"/>
      <c r="C19" s="115"/>
      <c r="D19" s="115"/>
      <c r="E19" s="115"/>
    </row>
    <row r="20" spans="2:5" ht="15.75">
      <c r="B20" s="319" t="s">
        <v>73</v>
      </c>
      <c r="C20" s="115"/>
      <c r="D20" s="314"/>
      <c r="E20" s="314"/>
    </row>
    <row r="21" spans="2:5" ht="15.75">
      <c r="B21" s="319" t="s">
        <v>672</v>
      </c>
      <c r="C21" s="486">
        <f>IF(C22*0.1&lt;C20,"Exceed 10% Rule","")</f>
      </c>
      <c r="D21" s="320">
        <f>IF(D22*0.1&lt;D20,"Exceed 10% Rule","")</f>
      </c>
      <c r="E21" s="320">
        <f>IF(E22*0.1&lt;E20,"Exceed 10% Rule","")</f>
      </c>
    </row>
    <row r="22" spans="2:5" ht="15.75">
      <c r="B22" s="321" t="s">
        <v>163</v>
      </c>
      <c r="C22" s="351">
        <f>SUM(C16:C20)</f>
        <v>0</v>
      </c>
      <c r="D22" s="351">
        <f>SUM(D16:D20)</f>
        <v>1600</v>
      </c>
      <c r="E22" s="351">
        <f>SUM(E16:E20)</f>
        <v>3800</v>
      </c>
    </row>
    <row r="23" spans="2:5" ht="15.75">
      <c r="B23" s="151" t="s">
        <v>271</v>
      </c>
      <c r="C23" s="123">
        <f>C14-C22</f>
        <v>2022</v>
      </c>
      <c r="D23" s="123">
        <f>D14-D22</f>
        <v>1922</v>
      </c>
      <c r="E23" s="123">
        <f>E14-E22</f>
        <v>0</v>
      </c>
    </row>
    <row r="24" spans="2:5" ht="15.75">
      <c r="B24" s="297" t="str">
        <f>CONCATENATE("",E$1-2,"/",E$1-1," Budget Authority Amount:")</f>
        <v>2010/2011 Budget Authority Amount:</v>
      </c>
      <c r="C24" s="289">
        <f>inputOth!B58</f>
        <v>2700</v>
      </c>
      <c r="D24" s="289">
        <f>inputPrYr!D45</f>
        <v>3200</v>
      </c>
      <c r="E24" s="485">
        <f>IF(E23&lt;0,"See Tab E","")</f>
      </c>
    </row>
    <row r="25" spans="2:5" ht="15.75">
      <c r="B25" s="297"/>
      <c r="C25" s="330">
        <f>IF(C22&gt;C24,"See Tab A","")</f>
      </c>
      <c r="D25" s="330">
        <f>IF(D22&gt;D24,"See Tab C","")</f>
      </c>
      <c r="E25" s="148"/>
    </row>
    <row r="26" spans="2:5" ht="15.75">
      <c r="B26" s="297"/>
      <c r="C26" s="330">
        <f>IF(C23&lt;0,"See Tab B","")</f>
      </c>
      <c r="D26" s="330">
        <f>IF(D23&lt;0,"See Tab D","")</f>
      </c>
      <c r="E26" s="148"/>
    </row>
    <row r="27" spans="2:5" ht="15.75">
      <c r="B27" s="88"/>
      <c r="C27" s="148"/>
      <c r="D27" s="148"/>
      <c r="E27" s="148"/>
    </row>
    <row r="28" spans="2:5" ht="15.75">
      <c r="B28" s="87" t="s">
        <v>157</v>
      </c>
      <c r="C28" s="336"/>
      <c r="D28" s="336"/>
      <c r="E28" s="336"/>
    </row>
    <row r="29" spans="2:5" ht="15.75">
      <c r="B29" s="88"/>
      <c r="C29" s="553" t="str">
        <f aca="true" t="shared" si="0" ref="C29:E30">C5</f>
        <v>Prior Year Actual</v>
      </c>
      <c r="D29" s="465" t="str">
        <f t="shared" si="0"/>
        <v>Current Year Estimate</v>
      </c>
      <c r="E29" s="465" t="str">
        <f t="shared" si="0"/>
        <v>Proposed Budget Year</v>
      </c>
    </row>
    <row r="30" spans="2:5" ht="15.75">
      <c r="B30" s="488" t="str">
        <f>inputPrYr!B46</f>
        <v>Solid Waste Disposal</v>
      </c>
      <c r="C30" s="325">
        <f t="shared" si="0"/>
        <v>2010</v>
      </c>
      <c r="D30" s="325">
        <f t="shared" si="0"/>
        <v>2011</v>
      </c>
      <c r="E30" s="325">
        <f t="shared" si="0"/>
        <v>2012</v>
      </c>
    </row>
    <row r="31" spans="2:5" ht="15.75">
      <c r="B31" s="151" t="s">
        <v>270</v>
      </c>
      <c r="C31" s="115">
        <v>95991</v>
      </c>
      <c r="D31" s="275">
        <f>C49</f>
        <v>75919</v>
      </c>
      <c r="E31" s="275">
        <f>D49</f>
        <v>73869</v>
      </c>
    </row>
    <row r="32" spans="2:5" ht="15.75">
      <c r="B32" s="151" t="s">
        <v>272</v>
      </c>
      <c r="C32" s="111"/>
      <c r="D32" s="111"/>
      <c r="E32" s="111"/>
    </row>
    <row r="33" spans="2:5" ht="15.75">
      <c r="B33" s="327" t="s">
        <v>964</v>
      </c>
      <c r="C33" s="115">
        <v>15029</v>
      </c>
      <c r="D33" s="115">
        <v>9000</v>
      </c>
      <c r="E33" s="115">
        <v>15000</v>
      </c>
    </row>
    <row r="34" spans="2:5" ht="15.75">
      <c r="B34" s="327" t="s">
        <v>965</v>
      </c>
      <c r="C34" s="115">
        <v>31700</v>
      </c>
      <c r="D34" s="115">
        <v>35000</v>
      </c>
      <c r="E34" s="115">
        <v>40000</v>
      </c>
    </row>
    <row r="35" spans="2:5" ht="15.75">
      <c r="B35" s="327" t="s">
        <v>966</v>
      </c>
      <c r="C35" s="115">
        <v>4500</v>
      </c>
      <c r="D35" s="115">
        <v>4950</v>
      </c>
      <c r="E35" s="115">
        <v>7500</v>
      </c>
    </row>
    <row r="36" spans="2:5" ht="15.75">
      <c r="B36" s="318" t="s">
        <v>948</v>
      </c>
      <c r="C36" s="115"/>
      <c r="D36" s="115"/>
      <c r="E36" s="115"/>
    </row>
    <row r="37" spans="2:5" ht="15.75">
      <c r="B37" s="319"/>
      <c r="C37" s="115"/>
      <c r="D37" s="314"/>
      <c r="E37" s="314"/>
    </row>
    <row r="38" spans="2:5" ht="15.75">
      <c r="B38" s="319" t="s">
        <v>673</v>
      </c>
      <c r="C38" s="486">
        <f>IF(C39*0.1&lt;C36,"Exceed 10% Rule","")</f>
      </c>
      <c r="D38" s="320">
        <f>IF(D39*0.1&lt;D36,"Exceed 10% Rule","")</f>
      </c>
      <c r="E38" s="320">
        <f>IF(E39*0.1&lt;E36,"Exceed 10% Rule","")</f>
      </c>
    </row>
    <row r="39" spans="2:5" ht="15.75">
      <c r="B39" s="321" t="s">
        <v>158</v>
      </c>
      <c r="C39" s="351">
        <f>SUM(C33:C37)</f>
        <v>51229</v>
      </c>
      <c r="D39" s="351">
        <f>SUM(D33:D37)</f>
        <v>48950</v>
      </c>
      <c r="E39" s="351">
        <f>SUM(E33:E37)</f>
        <v>62500</v>
      </c>
    </row>
    <row r="40" spans="2:5" ht="15.75">
      <c r="B40" s="321" t="s">
        <v>159</v>
      </c>
      <c r="C40" s="351">
        <f>C31+C39</f>
        <v>147220</v>
      </c>
      <c r="D40" s="351">
        <f>D31+D39</f>
        <v>124869</v>
      </c>
      <c r="E40" s="351">
        <f>E31+E39</f>
        <v>136369</v>
      </c>
    </row>
    <row r="41" spans="2:5" ht="15.75">
      <c r="B41" s="151" t="s">
        <v>162</v>
      </c>
      <c r="C41" s="275"/>
      <c r="D41" s="275"/>
      <c r="E41" s="275"/>
    </row>
    <row r="42" spans="2:5" ht="15.75">
      <c r="B42" s="327" t="s">
        <v>911</v>
      </c>
      <c r="C42" s="115">
        <v>55823</v>
      </c>
      <c r="D42" s="115">
        <v>35000</v>
      </c>
      <c r="E42" s="115">
        <v>40000</v>
      </c>
    </row>
    <row r="43" spans="2:5" ht="15.75">
      <c r="B43" s="327" t="s">
        <v>915</v>
      </c>
      <c r="C43" s="115">
        <v>15478</v>
      </c>
      <c r="D43" s="115">
        <v>16000</v>
      </c>
      <c r="E43" s="115">
        <v>96369</v>
      </c>
    </row>
    <row r="44" spans="2:5" ht="15.75">
      <c r="B44" s="327"/>
      <c r="C44" s="115"/>
      <c r="D44" s="115"/>
      <c r="E44" s="115"/>
    </row>
    <row r="45" spans="2:5" ht="15.75">
      <c r="B45" s="327"/>
      <c r="C45" s="115"/>
      <c r="D45" s="115"/>
      <c r="E45" s="115"/>
    </row>
    <row r="46" spans="2:5" ht="15.75">
      <c r="B46" s="319" t="s">
        <v>73</v>
      </c>
      <c r="C46" s="115"/>
      <c r="D46" s="314"/>
      <c r="E46" s="314"/>
    </row>
    <row r="47" spans="2:5" ht="15.75">
      <c r="B47" s="319" t="s">
        <v>672</v>
      </c>
      <c r="C47" s="486">
        <f>IF(C48*0.1&lt;C46,"Exceed 10% Rule","")</f>
      </c>
      <c r="D47" s="320">
        <f>IF(D48*0.1&lt;D46,"Exceed 10% Rule","")</f>
      </c>
      <c r="E47" s="320">
        <f>IF(E48*0.1&lt;E46,"Exceed 10% Rule","")</f>
      </c>
    </row>
    <row r="48" spans="2:5" ht="15.75">
      <c r="B48" s="321" t="s">
        <v>163</v>
      </c>
      <c r="C48" s="351">
        <f>SUM(C42:C46)</f>
        <v>71301</v>
      </c>
      <c r="D48" s="351">
        <f>SUM(D42:D46)</f>
        <v>51000</v>
      </c>
      <c r="E48" s="351">
        <f>SUM(E42:E46)</f>
        <v>136369</v>
      </c>
    </row>
    <row r="49" spans="2:5" ht="15.75">
      <c r="B49" s="151" t="s">
        <v>271</v>
      </c>
      <c r="C49" s="123">
        <f>C40-C48</f>
        <v>75919</v>
      </c>
      <c r="D49" s="123">
        <f>D40-D48</f>
        <v>73869</v>
      </c>
      <c r="E49" s="123">
        <f>E40-E48</f>
        <v>0</v>
      </c>
    </row>
    <row r="50" spans="2:5" ht="15.75">
      <c r="B50" s="297" t="str">
        <f>CONCATENATE("",E$1-2,"/",E$1-1," Budget Authority Amount:")</f>
        <v>2010/2011 Budget Authority Amount:</v>
      </c>
      <c r="C50" s="289">
        <f>inputOth!B59</f>
        <v>145096</v>
      </c>
      <c r="D50" s="289">
        <f>inputPrYr!D46</f>
        <v>151541</v>
      </c>
      <c r="E50" s="484">
        <f>IF(E49&lt;0,"See Tab E","")</f>
      </c>
    </row>
    <row r="51" spans="2:5" ht="15.75">
      <c r="B51" s="297"/>
      <c r="C51" s="330">
        <f>IF(C48&gt;C50,"See Tab A","")</f>
      </c>
      <c r="D51" s="330">
        <f>IF(D48&gt;D50,"See Tab C","")</f>
      </c>
      <c r="E51" s="88"/>
    </row>
    <row r="52" spans="2:5" ht="15.75">
      <c r="B52" s="297"/>
      <c r="C52" s="330">
        <f>IF(C49&lt;0,"See Tab B","")</f>
      </c>
      <c r="D52" s="330">
        <f>IF(D49&lt;0,"See Tab D","")</f>
      </c>
      <c r="E52" s="88"/>
    </row>
    <row r="53" spans="2:5" ht="15.75">
      <c r="B53" s="88"/>
      <c r="C53" s="88"/>
      <c r="D53" s="88"/>
      <c r="E53" s="88"/>
    </row>
    <row r="54" spans="2:5" ht="15.75">
      <c r="B54" s="297"/>
      <c r="C54" s="658" t="s">
        <v>1014</v>
      </c>
      <c r="D54" s="88"/>
      <c r="E54" s="88"/>
    </row>
  </sheetData>
  <sheetProtection/>
  <conditionalFormatting sqref="C20">
    <cfRule type="cellIs" priority="3" dxfId="163" operator="greaterThan" stopIfTrue="1">
      <formula>$C$22*0.1</formula>
    </cfRule>
  </conditionalFormatting>
  <conditionalFormatting sqref="D20">
    <cfRule type="cellIs" priority="4" dxfId="163" operator="greaterThan" stopIfTrue="1">
      <formula>$D$22*0.1</formula>
    </cfRule>
  </conditionalFormatting>
  <conditionalFormatting sqref="E20">
    <cfRule type="cellIs" priority="5" dxfId="163" operator="greaterThan" stopIfTrue="1">
      <formula>$E$22*0.1</formula>
    </cfRule>
  </conditionalFormatting>
  <conditionalFormatting sqref="C11">
    <cfRule type="cellIs" priority="6" dxfId="163" operator="greaterThan" stopIfTrue="1">
      <formula>$C$13*0.1</formula>
    </cfRule>
  </conditionalFormatting>
  <conditionalFormatting sqref="D11">
    <cfRule type="cellIs" priority="7" dxfId="163" operator="greaterThan" stopIfTrue="1">
      <formula>$D$13*0.1</formula>
    </cfRule>
  </conditionalFormatting>
  <conditionalFormatting sqref="E11">
    <cfRule type="cellIs" priority="8" dxfId="163" operator="greaterThan" stopIfTrue="1">
      <formula>$E$13*0.1</formula>
    </cfRule>
  </conditionalFormatting>
  <conditionalFormatting sqref="C37">
    <cfRule type="cellIs" priority="9" dxfId="163" operator="greaterThan" stopIfTrue="1">
      <formula>$C$39*0.1</formula>
    </cfRule>
  </conditionalFormatting>
  <conditionalFormatting sqref="D37">
    <cfRule type="cellIs" priority="10" dxfId="163" operator="greaterThan" stopIfTrue="1">
      <formula>$D$39*0.1</formula>
    </cfRule>
  </conditionalFormatting>
  <conditionalFormatting sqref="E37">
    <cfRule type="cellIs" priority="11" dxfId="163" operator="greaterThan" stopIfTrue="1">
      <formula>$E$39*0.1</formula>
    </cfRule>
  </conditionalFormatting>
  <conditionalFormatting sqref="C46">
    <cfRule type="cellIs" priority="12" dxfId="163" operator="greaterThan" stopIfTrue="1">
      <formula>$C$48*0.1</formula>
    </cfRule>
  </conditionalFormatting>
  <conditionalFormatting sqref="D46">
    <cfRule type="cellIs" priority="13" dxfId="163" operator="greaterThan" stopIfTrue="1">
      <formula>$D$48*0.1</formula>
    </cfRule>
  </conditionalFormatting>
  <conditionalFormatting sqref="E46">
    <cfRule type="cellIs" priority="14" dxfId="163" operator="greaterThan" stopIfTrue="1">
      <formula>$E$48*0.1</formula>
    </cfRule>
  </conditionalFormatting>
  <conditionalFormatting sqref="E49 C49 E23 C23">
    <cfRule type="cellIs" priority="15" dxfId="1" operator="lessThan" stopIfTrue="1">
      <formula>0</formula>
    </cfRule>
  </conditionalFormatting>
  <conditionalFormatting sqref="D22">
    <cfRule type="cellIs" priority="16" dxfId="1" operator="greaterThan" stopIfTrue="1">
      <formula>$D$24</formula>
    </cfRule>
  </conditionalFormatting>
  <conditionalFormatting sqref="C22">
    <cfRule type="cellIs" priority="17" dxfId="1" operator="greaterThan" stopIfTrue="1">
      <formula>$C$24</formula>
    </cfRule>
  </conditionalFormatting>
  <conditionalFormatting sqref="D48">
    <cfRule type="cellIs" priority="18" dxfId="1" operator="greaterThan" stopIfTrue="1">
      <formula>$D$50</formula>
    </cfRule>
  </conditionalFormatting>
  <conditionalFormatting sqref="C48">
    <cfRule type="cellIs" priority="19" dxfId="1" operator="greaterThan" stopIfTrue="1">
      <formula>$C$50</formula>
    </cfRule>
  </conditionalFormatting>
  <conditionalFormatting sqref="D23">
    <cfRule type="cellIs" priority="2" dxfId="0" operator="lessThan" stopIfTrue="1">
      <formula>0</formula>
    </cfRule>
  </conditionalFormatting>
  <conditionalFormatting sqref="D49">
    <cfRule type="cellIs" priority="1" dxfId="0" operator="lessThan" stopIfTrue="1">
      <formula>0</formula>
    </cfRule>
  </conditionalFormatting>
  <printOptions/>
  <pageMargins left="0.68" right="0.5" top="0.74" bottom="0.34" header="0.5" footer="0"/>
  <pageSetup blackAndWhite="1" horizontalDpi="120" verticalDpi="120" orientation="portrait" scale="85"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dimension ref="B1:E54"/>
  <sheetViews>
    <sheetView zoomScalePageLayoutView="0" workbookViewId="0" topLeftCell="A28">
      <selection activeCell="C47" sqref="C47"/>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16384" width="8.8984375" style="75" customWidth="1"/>
  </cols>
  <sheetData>
    <row r="1" spans="2:5" ht="15.75">
      <c r="B1" s="237" t="str">
        <f>(inputPrYr!C2)</f>
        <v>Sheridan County</v>
      </c>
      <c r="C1" s="88"/>
      <c r="D1" s="88"/>
      <c r="E1" s="296">
        <f>inputPrYr!C4</f>
        <v>2012</v>
      </c>
    </row>
    <row r="2" spans="2:5" ht="15.75">
      <c r="B2" s="88"/>
      <c r="C2" s="88"/>
      <c r="D2" s="88"/>
      <c r="E2" s="249"/>
    </row>
    <row r="3" spans="2:5" ht="15.75">
      <c r="B3" s="155" t="s">
        <v>231</v>
      </c>
      <c r="C3" s="342"/>
      <c r="D3" s="342"/>
      <c r="E3" s="343"/>
    </row>
    <row r="4" spans="2:5" ht="15.75">
      <c r="B4" s="88"/>
      <c r="C4" s="336"/>
      <c r="D4" s="336"/>
      <c r="E4" s="336"/>
    </row>
    <row r="5" spans="2:5" ht="15.75">
      <c r="B5" s="87" t="s">
        <v>157</v>
      </c>
      <c r="C5" s="553" t="str">
        <f>general!C4</f>
        <v>Prior Year Actual</v>
      </c>
      <c r="D5" s="465" t="str">
        <f>general!D4</f>
        <v>Current Year Estimate</v>
      </c>
      <c r="E5" s="465" t="str">
        <f>general!E4</f>
        <v>Proposed Budget Year</v>
      </c>
    </row>
    <row r="6" spans="2:5" ht="15.75">
      <c r="B6" s="489" t="str">
        <f>inputPrYr!B47</f>
        <v>Alcohol Program</v>
      </c>
      <c r="C6" s="325">
        <f>general!C5</f>
        <v>2010</v>
      </c>
      <c r="D6" s="325">
        <f>general!D5</f>
        <v>2011</v>
      </c>
      <c r="E6" s="312">
        <f>general!E5</f>
        <v>2012</v>
      </c>
    </row>
    <row r="7" spans="2:5" ht="15.75">
      <c r="B7" s="151" t="s">
        <v>270</v>
      </c>
      <c r="C7" s="115">
        <v>30037</v>
      </c>
      <c r="D7" s="275">
        <f>C24</f>
        <v>30105</v>
      </c>
      <c r="E7" s="275">
        <f>D24</f>
        <v>31105</v>
      </c>
    </row>
    <row r="8" spans="2:5" ht="15.75">
      <c r="B8" s="344" t="s">
        <v>272</v>
      </c>
      <c r="C8" s="111"/>
      <c r="D8" s="111"/>
      <c r="E8" s="111"/>
    </row>
    <row r="9" spans="2:5" ht="15.75">
      <c r="B9" s="327" t="s">
        <v>961</v>
      </c>
      <c r="C9" s="115">
        <v>1968</v>
      </c>
      <c r="D9" s="115">
        <v>2500</v>
      </c>
      <c r="E9" s="115">
        <v>3500</v>
      </c>
    </row>
    <row r="10" spans="2:5" ht="15.75">
      <c r="B10" s="327"/>
      <c r="C10" s="115"/>
      <c r="D10" s="115"/>
      <c r="E10" s="115"/>
    </row>
    <row r="11" spans="2:5" ht="15.75">
      <c r="B11" s="318"/>
      <c r="C11" s="115"/>
      <c r="D11" s="115"/>
      <c r="E11" s="115"/>
    </row>
    <row r="12" spans="2:5" ht="15.75">
      <c r="B12" s="319" t="s">
        <v>73</v>
      </c>
      <c r="C12" s="115"/>
      <c r="D12" s="314"/>
      <c r="E12" s="314"/>
    </row>
    <row r="13" spans="2:5" ht="15.75">
      <c r="B13" s="319" t="s">
        <v>673</v>
      </c>
      <c r="C13" s="486">
        <f>IF(C14*0.1&lt;C12,"Exceed 10% Rule","")</f>
      </c>
      <c r="D13" s="320">
        <f>IF(D14*0.1&lt;D12,"Exceed 10% Rule","")</f>
      </c>
      <c r="E13" s="320">
        <f>IF(E14*0.1&lt;E12,"Exceed 10% Rule","")</f>
      </c>
    </row>
    <row r="14" spans="2:5" ht="15.75">
      <c r="B14" s="321" t="s">
        <v>158</v>
      </c>
      <c r="C14" s="351">
        <f>SUM(C9:C12)</f>
        <v>1968</v>
      </c>
      <c r="D14" s="351">
        <f>SUM(D9:D12)</f>
        <v>2500</v>
      </c>
      <c r="E14" s="351">
        <f>SUM(E9:E12)</f>
        <v>3500</v>
      </c>
    </row>
    <row r="15" spans="2:5" ht="15.75">
      <c r="B15" s="321" t="s">
        <v>159</v>
      </c>
      <c r="C15" s="351">
        <f>C14+C7</f>
        <v>32005</v>
      </c>
      <c r="D15" s="351">
        <f>D14+D7</f>
        <v>32605</v>
      </c>
      <c r="E15" s="351">
        <f>E14+E7</f>
        <v>34605</v>
      </c>
    </row>
    <row r="16" spans="2:5" ht="15.75">
      <c r="B16" s="151" t="s">
        <v>162</v>
      </c>
      <c r="C16" s="275"/>
      <c r="D16" s="275"/>
      <c r="E16" s="275"/>
    </row>
    <row r="17" spans="2:5" ht="15.75">
      <c r="B17" s="327" t="s">
        <v>967</v>
      </c>
      <c r="C17" s="115">
        <v>1900</v>
      </c>
      <c r="D17" s="115">
        <v>1500</v>
      </c>
      <c r="E17" s="115">
        <v>34605</v>
      </c>
    </row>
    <row r="18" spans="2:5" ht="15.75">
      <c r="B18" s="327"/>
      <c r="C18" s="115"/>
      <c r="D18" s="115"/>
      <c r="E18" s="115"/>
    </row>
    <row r="19" spans="2:5" ht="15.75">
      <c r="B19" s="327"/>
      <c r="C19" s="115"/>
      <c r="D19" s="115"/>
      <c r="E19" s="115"/>
    </row>
    <row r="20" spans="2:5" ht="15.75">
      <c r="B20" s="327"/>
      <c r="C20" s="115"/>
      <c r="D20" s="115"/>
      <c r="E20" s="115"/>
    </row>
    <row r="21" spans="2:5" ht="15.75">
      <c r="B21" s="319" t="s">
        <v>73</v>
      </c>
      <c r="C21" s="115"/>
      <c r="D21" s="314"/>
      <c r="E21" s="314"/>
    </row>
    <row r="22" spans="2:5" ht="15.75">
      <c r="B22" s="319" t="s">
        <v>672</v>
      </c>
      <c r="C22" s="486">
        <f>IF(C23*0.1&lt;C21,"Exceed 10% Rule","")</f>
      </c>
      <c r="D22" s="320">
        <f>IF(D23*0.1&lt;D21,"Exceed 10% Rule","")</f>
      </c>
      <c r="E22" s="320">
        <f>IF(E23*0.1&lt;E21,"Exceed 10% Rule","")</f>
      </c>
    </row>
    <row r="23" spans="2:5" ht="15.75">
      <c r="B23" s="321" t="s">
        <v>163</v>
      </c>
      <c r="C23" s="351">
        <f>SUM(C17:C21)</f>
        <v>1900</v>
      </c>
      <c r="D23" s="351">
        <f>SUM(D17:D21)</f>
        <v>1500</v>
      </c>
      <c r="E23" s="351">
        <f>SUM(E17:E21)</f>
        <v>34605</v>
      </c>
    </row>
    <row r="24" spans="2:5" ht="15.75">
      <c r="B24" s="151" t="s">
        <v>271</v>
      </c>
      <c r="C24" s="123">
        <f>C15-C23</f>
        <v>30105</v>
      </c>
      <c r="D24" s="123">
        <f>D15-D23</f>
        <v>31105</v>
      </c>
      <c r="E24" s="123">
        <f>E15-E23</f>
        <v>0</v>
      </c>
    </row>
    <row r="25" spans="2:5" ht="15.75">
      <c r="B25" s="297" t="str">
        <f>CONCATENATE("",E$1-2,"/",E$1-1," Budget Authority Amount:")</f>
        <v>2010/2011 Budget Authority Amount:</v>
      </c>
      <c r="C25" s="289">
        <f>inputOth!B60</f>
        <v>34517</v>
      </c>
      <c r="D25" s="289">
        <f>inputPrYr!D47</f>
        <v>34537</v>
      </c>
      <c r="E25" s="485">
        <f>IF(E24&lt;0,"See Tab E","")</f>
      </c>
    </row>
    <row r="26" spans="2:5" ht="15.75">
      <c r="B26" s="297"/>
      <c r="C26" s="330">
        <f>IF(C23&gt;C25,"See Tab A","")</f>
      </c>
      <c r="D26" s="330">
        <f>IF(D23&gt;D25,"See Tab C","")</f>
      </c>
      <c r="E26" s="148"/>
    </row>
    <row r="27" spans="2:5" ht="15.75">
      <c r="B27" s="297"/>
      <c r="C27" s="330">
        <f>IF(C24&lt;0,"See Tab B","")</f>
      </c>
      <c r="D27" s="330">
        <f>IF(D24&lt;0,"See Tab D","")</f>
      </c>
      <c r="E27" s="148"/>
    </row>
    <row r="28" spans="2:5" ht="15.75">
      <c r="B28" s="88"/>
      <c r="C28" s="148"/>
      <c r="D28" s="148"/>
      <c r="E28" s="148"/>
    </row>
    <row r="29" spans="2:5" ht="15.75">
      <c r="B29" s="87" t="s">
        <v>157</v>
      </c>
      <c r="C29" s="336"/>
      <c r="D29" s="336"/>
      <c r="E29" s="336"/>
    </row>
    <row r="30" spans="2:5" ht="15.75">
      <c r="B30" s="88"/>
      <c r="C30" s="553" t="str">
        <f aca="true" t="shared" si="0" ref="C30:E31">C5</f>
        <v>Prior Year Actual</v>
      </c>
      <c r="D30" s="465" t="str">
        <f t="shared" si="0"/>
        <v>Current Year Estimate</v>
      </c>
      <c r="E30" s="465" t="str">
        <f t="shared" si="0"/>
        <v>Proposed Budget Year</v>
      </c>
    </row>
    <row r="31" spans="2:5" ht="15.75">
      <c r="B31" s="488" t="str">
        <f>inputPrYr!B48</f>
        <v>Special Ambulance</v>
      </c>
      <c r="C31" s="325">
        <f t="shared" si="0"/>
        <v>2010</v>
      </c>
      <c r="D31" s="325">
        <f t="shared" si="0"/>
        <v>2011</v>
      </c>
      <c r="E31" s="325">
        <f t="shared" si="0"/>
        <v>2012</v>
      </c>
    </row>
    <row r="32" spans="2:5" ht="15.75">
      <c r="B32" s="151" t="s">
        <v>270</v>
      </c>
      <c r="C32" s="115">
        <v>238641</v>
      </c>
      <c r="D32" s="275">
        <f>C49</f>
        <v>150494</v>
      </c>
      <c r="E32" s="275">
        <f>D49</f>
        <v>180494</v>
      </c>
    </row>
    <row r="33" spans="2:5" ht="15.75">
      <c r="B33" s="151" t="s">
        <v>272</v>
      </c>
      <c r="C33" s="111"/>
      <c r="D33" s="111"/>
      <c r="E33" s="111"/>
    </row>
    <row r="34" spans="2:5" ht="15.75">
      <c r="B34" s="327" t="s">
        <v>968</v>
      </c>
      <c r="C34" s="115">
        <v>55000</v>
      </c>
      <c r="D34" s="115">
        <v>35000</v>
      </c>
      <c r="E34" s="115">
        <v>50000</v>
      </c>
    </row>
    <row r="35" spans="2:5" ht="15.75">
      <c r="B35" s="327"/>
      <c r="C35" s="115"/>
      <c r="D35" s="115"/>
      <c r="E35" s="115"/>
    </row>
    <row r="36" spans="2:5" ht="15.75">
      <c r="B36" s="318"/>
      <c r="C36" s="115"/>
      <c r="D36" s="115"/>
      <c r="E36" s="115"/>
    </row>
    <row r="37" spans="2:5" ht="15.75">
      <c r="B37" s="319" t="s">
        <v>73</v>
      </c>
      <c r="C37" s="115"/>
      <c r="D37" s="314"/>
      <c r="E37" s="314"/>
    </row>
    <row r="38" spans="2:5" ht="15.75">
      <c r="B38" s="319" t="s">
        <v>673</v>
      </c>
      <c r="C38" s="486">
        <f>IF(C39*0.1&lt;C37,"Exceed 10% Rule","")</f>
      </c>
      <c r="D38" s="320">
        <f>IF(D39*0.1&lt;D37,"Exceed 10% Rule","")</f>
      </c>
      <c r="E38" s="320">
        <f>IF(E39*0.1&lt;E37,"Exceed 10% Rule","")</f>
      </c>
    </row>
    <row r="39" spans="2:5" ht="15.75">
      <c r="B39" s="321" t="s">
        <v>158</v>
      </c>
      <c r="C39" s="351">
        <f>SUM(C34:C37)</f>
        <v>55000</v>
      </c>
      <c r="D39" s="351">
        <f>SUM(D34:D37)</f>
        <v>35000</v>
      </c>
      <c r="E39" s="351">
        <f>SUM(E34:E37)</f>
        <v>50000</v>
      </c>
    </row>
    <row r="40" spans="2:5" ht="15.75">
      <c r="B40" s="321" t="s">
        <v>159</v>
      </c>
      <c r="C40" s="351">
        <f>C32+C39</f>
        <v>293641</v>
      </c>
      <c r="D40" s="351">
        <f>D32+D39</f>
        <v>185494</v>
      </c>
      <c r="E40" s="351">
        <f>E32+E39</f>
        <v>230494</v>
      </c>
    </row>
    <row r="41" spans="2:5" ht="15.75">
      <c r="B41" s="151" t="s">
        <v>162</v>
      </c>
      <c r="C41" s="275"/>
      <c r="D41" s="275"/>
      <c r="E41" s="275"/>
    </row>
    <row r="42" spans="2:5" ht="15.75">
      <c r="B42" s="327" t="s">
        <v>168</v>
      </c>
      <c r="C42" s="115">
        <v>143147</v>
      </c>
      <c r="D42" s="115">
        <v>5000</v>
      </c>
      <c r="E42" s="115">
        <v>230494</v>
      </c>
    </row>
    <row r="43" spans="2:5" ht="15.75">
      <c r="B43" s="327"/>
      <c r="C43" s="115"/>
      <c r="D43" s="115"/>
      <c r="E43" s="115"/>
    </row>
    <row r="44" spans="2:5" ht="15.75">
      <c r="B44" s="327"/>
      <c r="C44" s="115"/>
      <c r="D44" s="115"/>
      <c r="E44" s="115"/>
    </row>
    <row r="45" spans="2:5" ht="15.75">
      <c r="B45" s="327"/>
      <c r="C45" s="115"/>
      <c r="D45" s="115"/>
      <c r="E45" s="115"/>
    </row>
    <row r="46" spans="2:5" ht="15.75">
      <c r="B46" s="319" t="s">
        <v>73</v>
      </c>
      <c r="C46" s="115"/>
      <c r="D46" s="314"/>
      <c r="E46" s="314"/>
    </row>
    <row r="47" spans="2:5" ht="15.75">
      <c r="B47" s="319" t="s">
        <v>672</v>
      </c>
      <c r="C47" s="486">
        <f>IF(C48*0.1&lt;C46,"Exceed 10% Rule","")</f>
      </c>
      <c r="D47" s="320">
        <f>IF(D48*0.1&lt;D46,"Exceed 10% Rule","")</f>
      </c>
      <c r="E47" s="320">
        <f>IF(E48*0.1&lt;E46,"Exceed 10% Rule","")</f>
      </c>
    </row>
    <row r="48" spans="2:5" ht="15.75">
      <c r="B48" s="321" t="s">
        <v>163</v>
      </c>
      <c r="C48" s="351">
        <f>SUM(C42:C46)</f>
        <v>143147</v>
      </c>
      <c r="D48" s="351">
        <f>SUM(D42:D46)</f>
        <v>5000</v>
      </c>
      <c r="E48" s="351">
        <f>SUM(E42:E46)</f>
        <v>230494</v>
      </c>
    </row>
    <row r="49" spans="2:5" ht="15.75">
      <c r="B49" s="151" t="s">
        <v>271</v>
      </c>
      <c r="C49" s="123">
        <f>C40-C48</f>
        <v>150494</v>
      </c>
      <c r="D49" s="123">
        <f>D40-D48</f>
        <v>180494</v>
      </c>
      <c r="E49" s="123">
        <f>E40-E48</f>
        <v>0</v>
      </c>
    </row>
    <row r="50" spans="2:5" ht="15.75">
      <c r="B50" s="297" t="str">
        <f>CONCATENATE("",E$1-2,"/",E$1-1," Budget Authority Amount:")</f>
        <v>2010/2011 Budget Authority Amount:</v>
      </c>
      <c r="C50" s="289">
        <f>inputOth!B61</f>
        <v>248641</v>
      </c>
      <c r="D50" s="289">
        <f>inputPrYr!D48</f>
        <v>308641</v>
      </c>
      <c r="E50" s="484">
        <f>IF(E49&lt;0,"See Tab E","")</f>
      </c>
    </row>
    <row r="51" spans="2:5" ht="15.75">
      <c r="B51" s="297"/>
      <c r="C51" s="330">
        <f>IF(C48&gt;C50,"See Tab A","")</f>
      </c>
      <c r="D51" s="330">
        <f>IF(D48&gt;D50,"See Tab C","")</f>
      </c>
      <c r="E51" s="88"/>
    </row>
    <row r="52" spans="2:5" ht="15.75">
      <c r="B52" s="297"/>
      <c r="C52" s="330">
        <f>IF(C49&lt;0,"See Tab B","")</f>
      </c>
      <c r="D52" s="330">
        <f>IF(D49&lt;0,"See Tab D","")</f>
      </c>
      <c r="E52" s="88"/>
    </row>
    <row r="53" spans="2:5" ht="15.75">
      <c r="B53" s="88"/>
      <c r="C53" s="88"/>
      <c r="D53" s="88"/>
      <c r="E53" s="88"/>
    </row>
    <row r="54" spans="2:5" ht="15.75">
      <c r="B54" s="297"/>
      <c r="C54" s="658" t="s">
        <v>1015</v>
      </c>
      <c r="D54" s="88"/>
      <c r="E54" s="88"/>
    </row>
  </sheetData>
  <sheetProtection/>
  <conditionalFormatting sqref="C21">
    <cfRule type="cellIs" priority="3" dxfId="163" operator="greaterThan" stopIfTrue="1">
      <formula>$C$23*0.1</formula>
    </cfRule>
  </conditionalFormatting>
  <conditionalFormatting sqref="D21">
    <cfRule type="cellIs" priority="4" dxfId="163" operator="greaterThan" stopIfTrue="1">
      <formula>$D$23*0.1</formula>
    </cfRule>
  </conditionalFormatting>
  <conditionalFormatting sqref="E21">
    <cfRule type="cellIs" priority="5" dxfId="163" operator="greaterThan" stopIfTrue="1">
      <formula>$E$23*0.1</formula>
    </cfRule>
  </conditionalFormatting>
  <conditionalFormatting sqref="C12">
    <cfRule type="cellIs" priority="6" dxfId="163" operator="greaterThan" stopIfTrue="1">
      <formula>$C$14*0.1</formula>
    </cfRule>
  </conditionalFormatting>
  <conditionalFormatting sqref="D12">
    <cfRule type="cellIs" priority="7" dxfId="163" operator="greaterThan" stopIfTrue="1">
      <formula>$D$14*0.1</formula>
    </cfRule>
  </conditionalFormatting>
  <conditionalFormatting sqref="E12">
    <cfRule type="cellIs" priority="8" dxfId="163" operator="greaterThan" stopIfTrue="1">
      <formula>$E$14*0.1</formula>
    </cfRule>
  </conditionalFormatting>
  <conditionalFormatting sqref="C37">
    <cfRule type="cellIs" priority="9" dxfId="163" operator="greaterThan" stopIfTrue="1">
      <formula>$C$39*0.1</formula>
    </cfRule>
  </conditionalFormatting>
  <conditionalFormatting sqref="D37">
    <cfRule type="cellIs" priority="10" dxfId="163" operator="greaterThan" stopIfTrue="1">
      <formula>$D$39*0.1</formula>
    </cfRule>
  </conditionalFormatting>
  <conditionalFormatting sqref="E37">
    <cfRule type="cellIs" priority="11" dxfId="163" operator="greaterThan" stopIfTrue="1">
      <formula>$E$39*0.1</formula>
    </cfRule>
  </conditionalFormatting>
  <conditionalFormatting sqref="C46">
    <cfRule type="cellIs" priority="12" dxfId="163" operator="greaterThan" stopIfTrue="1">
      <formula>$C$48*0.1</formula>
    </cfRule>
  </conditionalFormatting>
  <conditionalFormatting sqref="D46">
    <cfRule type="cellIs" priority="13" dxfId="163" operator="greaterThan" stopIfTrue="1">
      <formula>$D$48*0.1</formula>
    </cfRule>
  </conditionalFormatting>
  <conditionalFormatting sqref="E46">
    <cfRule type="cellIs" priority="14" dxfId="163" operator="greaterThan" stopIfTrue="1">
      <formula>$E$48*0.1</formula>
    </cfRule>
  </conditionalFormatting>
  <conditionalFormatting sqref="E49 C49 E24 C24">
    <cfRule type="cellIs" priority="15" dxfId="1" operator="lessThan" stopIfTrue="1">
      <formula>0</formula>
    </cfRule>
  </conditionalFormatting>
  <conditionalFormatting sqref="D23">
    <cfRule type="cellIs" priority="16" dxfId="1" operator="greaterThan" stopIfTrue="1">
      <formula>$D$25</formula>
    </cfRule>
  </conditionalFormatting>
  <conditionalFormatting sqref="C23">
    <cfRule type="cellIs" priority="17" dxfId="1" operator="greaterThan" stopIfTrue="1">
      <formula>$C$25</formula>
    </cfRule>
  </conditionalFormatting>
  <conditionalFormatting sqref="D48">
    <cfRule type="cellIs" priority="18" dxfId="1" operator="greaterThan" stopIfTrue="1">
      <formula>$D$50</formula>
    </cfRule>
  </conditionalFormatting>
  <conditionalFormatting sqref="C48">
    <cfRule type="cellIs" priority="19" dxfId="1" operator="greaterThan" stopIfTrue="1">
      <formula>$C$50</formula>
    </cfRule>
  </conditionalFormatting>
  <conditionalFormatting sqref="D24">
    <cfRule type="cellIs" priority="2" dxfId="0" operator="lessThan" stopIfTrue="1">
      <formula>0</formula>
    </cfRule>
  </conditionalFormatting>
  <conditionalFormatting sqref="D49">
    <cfRule type="cellIs" priority="1" dxfId="0" operator="lessThan" stopIfTrue="1">
      <formula>0</formula>
    </cfRule>
  </conditionalFormatting>
  <printOptions/>
  <pageMargins left="0.78" right="0.5" top="0.74" bottom="0.34" header="0.5" footer="0"/>
  <pageSetup blackAndWhite="1" horizontalDpi="120" verticalDpi="120" orientation="portrait" scale="85"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dimension ref="B1:E54"/>
  <sheetViews>
    <sheetView zoomScalePageLayoutView="0" workbookViewId="0" topLeftCell="A4">
      <selection activeCell="C47" sqref="C47"/>
    </sheetView>
  </sheetViews>
  <sheetFormatPr defaultColWidth="8.796875" defaultRowHeight="15"/>
  <cols>
    <col min="1" max="1" width="2.3984375" style="75" customWidth="1"/>
    <col min="2" max="2" width="31.09765625" style="75" customWidth="1"/>
    <col min="3" max="4" width="15.796875" style="75" customWidth="1"/>
    <col min="5" max="5" width="16.09765625" style="75" customWidth="1"/>
    <col min="6" max="16384" width="8.8984375" style="75" customWidth="1"/>
  </cols>
  <sheetData>
    <row r="1" spans="2:5" ht="15.75">
      <c r="B1" s="237" t="str">
        <f>(inputPrYr!C2)</f>
        <v>Sheridan County</v>
      </c>
      <c r="C1" s="88"/>
      <c r="D1" s="88"/>
      <c r="E1" s="296">
        <f>inputPrYr!C4</f>
        <v>2012</v>
      </c>
    </row>
    <row r="2" spans="2:5" ht="15.75">
      <c r="B2" s="88"/>
      <c r="C2" s="88"/>
      <c r="D2" s="88"/>
      <c r="E2" s="249"/>
    </row>
    <row r="3" spans="2:5" ht="15.75">
      <c r="B3" s="155" t="s">
        <v>231</v>
      </c>
      <c r="C3" s="342"/>
      <c r="D3" s="342"/>
      <c r="E3" s="343"/>
    </row>
    <row r="4" spans="2:5" ht="15.75">
      <c r="B4" s="88"/>
      <c r="C4" s="336"/>
      <c r="D4" s="336"/>
      <c r="E4" s="336"/>
    </row>
    <row r="5" spans="2:5" ht="15.75">
      <c r="B5" s="87" t="s">
        <v>157</v>
      </c>
      <c r="C5" s="553" t="str">
        <f>general!C4</f>
        <v>Prior Year Actual</v>
      </c>
      <c r="D5" s="465" t="str">
        <f>general!D4</f>
        <v>Current Year Estimate</v>
      </c>
      <c r="E5" s="465" t="str">
        <f>general!E4</f>
        <v>Proposed Budget Year</v>
      </c>
    </row>
    <row r="6" spans="2:5" ht="15.75">
      <c r="B6" s="489" t="str">
        <f>inputPrYr!B49</f>
        <v>911 Wireless</v>
      </c>
      <c r="C6" s="325">
        <f>general!C5</f>
        <v>2010</v>
      </c>
      <c r="D6" s="325">
        <f>general!D5</f>
        <v>2011</v>
      </c>
      <c r="E6" s="312">
        <f>general!E5</f>
        <v>2012</v>
      </c>
    </row>
    <row r="7" spans="2:5" ht="15.75">
      <c r="B7" s="151" t="s">
        <v>270</v>
      </c>
      <c r="C7" s="115">
        <v>22718</v>
      </c>
      <c r="D7" s="275">
        <f>C24</f>
        <v>28219</v>
      </c>
      <c r="E7" s="275">
        <f>D24</f>
        <v>34741</v>
      </c>
    </row>
    <row r="8" spans="2:5" ht="15.75">
      <c r="B8" s="344" t="s">
        <v>272</v>
      </c>
      <c r="C8" s="111"/>
      <c r="D8" s="111"/>
      <c r="E8" s="111"/>
    </row>
    <row r="9" spans="2:5" ht="15.75">
      <c r="B9" s="327" t="s">
        <v>969</v>
      </c>
      <c r="C9" s="115"/>
      <c r="D9" s="115">
        <v>8500</v>
      </c>
      <c r="E9" s="115">
        <v>10000</v>
      </c>
    </row>
    <row r="10" spans="2:5" ht="15.75">
      <c r="B10" s="327" t="s">
        <v>884</v>
      </c>
      <c r="C10" s="115">
        <v>58</v>
      </c>
      <c r="D10" s="115">
        <v>22</v>
      </c>
      <c r="E10" s="115"/>
    </row>
    <row r="11" spans="2:5" ht="15.75">
      <c r="B11" s="327" t="s">
        <v>970</v>
      </c>
      <c r="C11" s="115">
        <v>11843</v>
      </c>
      <c r="D11" s="115">
        <v>28000</v>
      </c>
      <c r="E11" s="115">
        <v>28000</v>
      </c>
    </row>
    <row r="12" spans="2:5" ht="15.75">
      <c r="B12" s="318"/>
      <c r="C12" s="115"/>
      <c r="D12" s="115"/>
      <c r="E12" s="115"/>
    </row>
    <row r="13" spans="2:5" ht="15.75">
      <c r="B13" s="319" t="s">
        <v>73</v>
      </c>
      <c r="C13" s="115"/>
      <c r="D13" s="314"/>
      <c r="E13" s="314"/>
    </row>
    <row r="14" spans="2:5" ht="15.75">
      <c r="B14" s="319" t="s">
        <v>673</v>
      </c>
      <c r="C14" s="486">
        <f>IF(C15*0.1&lt;C13,"Exceed 10% Rule","")</f>
      </c>
      <c r="D14" s="320">
        <f>IF(D15*0.1&lt;D13,"Exceed 10% Rule","")</f>
      </c>
      <c r="E14" s="320">
        <f>IF(E15*0.1&lt;E13,"Exceed 10% Rule","")</f>
      </c>
    </row>
    <row r="15" spans="2:5" ht="15.75">
      <c r="B15" s="321" t="s">
        <v>158</v>
      </c>
      <c r="C15" s="351">
        <f>SUM(C9:C13)</f>
        <v>11901</v>
      </c>
      <c r="D15" s="351">
        <f>SUM(D9:D13)</f>
        <v>36522</v>
      </c>
      <c r="E15" s="351">
        <f>SUM(E9:E13)</f>
        <v>38000</v>
      </c>
    </row>
    <row r="16" spans="2:5" ht="15.75">
      <c r="B16" s="321" t="s">
        <v>159</v>
      </c>
      <c r="C16" s="351">
        <f>C15+C7</f>
        <v>34619</v>
      </c>
      <c r="D16" s="351">
        <f>D15+D7</f>
        <v>64741</v>
      </c>
      <c r="E16" s="351">
        <f>E15+E7</f>
        <v>72741</v>
      </c>
    </row>
    <row r="17" spans="2:5" ht="15.75">
      <c r="B17" s="151" t="s">
        <v>162</v>
      </c>
      <c r="C17" s="275"/>
      <c r="D17" s="275"/>
      <c r="E17" s="275"/>
    </row>
    <row r="18" spans="2:5" ht="15.75">
      <c r="B18" s="327" t="s">
        <v>915</v>
      </c>
      <c r="C18" s="115">
        <v>6400</v>
      </c>
      <c r="D18" s="115">
        <v>30000</v>
      </c>
      <c r="E18" s="115">
        <v>72741</v>
      </c>
    </row>
    <row r="19" spans="2:5" ht="15.75">
      <c r="B19" s="327"/>
      <c r="C19" s="115"/>
      <c r="D19" s="115"/>
      <c r="E19" s="115"/>
    </row>
    <row r="20" spans="2:5" ht="15.75">
      <c r="B20" s="327"/>
      <c r="C20" s="115"/>
      <c r="D20" s="115"/>
      <c r="E20" s="115"/>
    </row>
    <row r="21" spans="2:5" ht="15.75">
      <c r="B21" s="319" t="s">
        <v>73</v>
      </c>
      <c r="C21" s="115"/>
      <c r="D21" s="314"/>
      <c r="E21" s="314"/>
    </row>
    <row r="22" spans="2:5" ht="15.75">
      <c r="B22" s="319" t="s">
        <v>672</v>
      </c>
      <c r="C22" s="486">
        <f>IF(C23*0.1&lt;C21,"Exceed 10% Rule","")</f>
      </c>
      <c r="D22" s="320">
        <f>IF(D23*0.1&lt;D21,"Exceed 10% Rule","")</f>
      </c>
      <c r="E22" s="320">
        <f>IF(E23*0.1&lt;E21,"Exceed 10% Rule","")</f>
      </c>
    </row>
    <row r="23" spans="2:5" ht="15.75">
      <c r="B23" s="321" t="s">
        <v>163</v>
      </c>
      <c r="C23" s="351">
        <f>SUM(C18:C21)</f>
        <v>6400</v>
      </c>
      <c r="D23" s="351">
        <f>SUM(D18:D21)</f>
        <v>30000</v>
      </c>
      <c r="E23" s="351">
        <f>SUM(E18:E21)</f>
        <v>72741</v>
      </c>
    </row>
    <row r="24" spans="2:5" ht="15.75">
      <c r="B24" s="151" t="s">
        <v>271</v>
      </c>
      <c r="C24" s="123">
        <f>C16-C23</f>
        <v>28219</v>
      </c>
      <c r="D24" s="123">
        <f>D16-D23</f>
        <v>34741</v>
      </c>
      <c r="E24" s="123">
        <f>E16-E23</f>
        <v>0</v>
      </c>
    </row>
    <row r="25" spans="2:5" ht="15.75">
      <c r="B25" s="297" t="str">
        <f>CONCATENATE("",E$1-2,"/",E$1-1," Budget Authority Amount:")</f>
        <v>2010/2011 Budget Authority Amount:</v>
      </c>
      <c r="C25" s="289">
        <f>inputOth!B62</f>
        <v>61179</v>
      </c>
      <c r="D25" s="289">
        <f>inputPrYr!D49</f>
        <v>71219</v>
      </c>
      <c r="E25" s="485">
        <f>IF(E24&lt;0,"See Tab E","")</f>
      </c>
    </row>
    <row r="26" spans="2:5" ht="15.75">
      <c r="B26" s="297"/>
      <c r="C26" s="330">
        <f>IF(C23&gt;C25,"See Tab A","")</f>
      </c>
      <c r="D26" s="330">
        <f>IF(D23&gt;D25,"See Tab C","")</f>
      </c>
      <c r="E26" s="148"/>
    </row>
    <row r="27" spans="2:5" ht="15.75">
      <c r="B27" s="297"/>
      <c r="C27" s="330">
        <f>IF(C24&lt;0,"See Tab B","")</f>
      </c>
      <c r="D27" s="330">
        <f>IF(D24&lt;0,"See Tab D","")</f>
      </c>
      <c r="E27" s="148"/>
    </row>
    <row r="28" spans="2:5" ht="15.75">
      <c r="B28" s="88"/>
      <c r="C28" s="148"/>
      <c r="D28" s="148"/>
      <c r="E28" s="148"/>
    </row>
    <row r="29" spans="2:5" ht="15.75">
      <c r="B29" s="124"/>
      <c r="C29" s="659"/>
      <c r="D29" s="659"/>
      <c r="E29" s="659"/>
    </row>
    <row r="30" spans="2:5" ht="15.75">
      <c r="B30" s="91"/>
      <c r="C30" s="638"/>
      <c r="D30" s="639"/>
      <c r="E30" s="639"/>
    </row>
    <row r="31" spans="2:5" ht="15.75">
      <c r="B31" s="489"/>
      <c r="C31" s="640"/>
      <c r="D31" s="640"/>
      <c r="E31" s="640"/>
    </row>
    <row r="32" spans="2:5" ht="15.75">
      <c r="B32" s="124"/>
      <c r="C32" s="642"/>
      <c r="D32" s="126"/>
      <c r="E32" s="126"/>
    </row>
    <row r="33" spans="2:5" ht="15.75">
      <c r="B33" s="124"/>
      <c r="C33" s="91"/>
      <c r="D33" s="91"/>
      <c r="E33" s="91"/>
    </row>
    <row r="34" spans="2:5" ht="15.75">
      <c r="B34" s="645"/>
      <c r="C34" s="642"/>
      <c r="D34" s="642"/>
      <c r="E34" s="642"/>
    </row>
    <row r="35" spans="2:5" ht="15.75">
      <c r="B35" s="645"/>
      <c r="C35" s="642"/>
      <c r="D35" s="642"/>
      <c r="E35" s="642"/>
    </row>
    <row r="36" spans="2:5" ht="15.75">
      <c r="B36" s="646"/>
      <c r="C36" s="642"/>
      <c r="D36" s="642"/>
      <c r="E36" s="642"/>
    </row>
    <row r="37" spans="2:5" ht="15.75">
      <c r="B37" s="91"/>
      <c r="C37" s="642"/>
      <c r="D37" s="642"/>
      <c r="E37" s="642"/>
    </row>
    <row r="38" spans="2:5" ht="15.75">
      <c r="B38" s="91"/>
      <c r="C38" s="647"/>
      <c r="D38" s="647"/>
      <c r="E38" s="647"/>
    </row>
    <row r="39" spans="2:5" ht="15.75">
      <c r="B39" s="648"/>
      <c r="C39" s="649"/>
      <c r="D39" s="649"/>
      <c r="E39" s="649"/>
    </row>
    <row r="40" spans="2:5" ht="15.75">
      <c r="B40" s="648"/>
      <c r="C40" s="649"/>
      <c r="D40" s="649"/>
      <c r="E40" s="649"/>
    </row>
    <row r="41" spans="2:5" ht="15.75">
      <c r="B41" s="124"/>
      <c r="C41" s="126"/>
      <c r="D41" s="126"/>
      <c r="E41" s="126"/>
    </row>
    <row r="42" spans="2:5" ht="15.75">
      <c r="B42" s="645"/>
      <c r="C42" s="642"/>
      <c r="D42" s="642"/>
      <c r="E42" s="642"/>
    </row>
    <row r="43" spans="2:5" ht="15.75">
      <c r="B43" s="645"/>
      <c r="C43" s="642"/>
      <c r="D43" s="642"/>
      <c r="E43" s="642"/>
    </row>
    <row r="44" spans="2:5" ht="15.75">
      <c r="B44" s="645"/>
      <c r="C44" s="642"/>
      <c r="D44" s="642"/>
      <c r="E44" s="642"/>
    </row>
    <row r="45" spans="2:5" ht="15.75">
      <c r="B45" s="645"/>
      <c r="C45" s="642"/>
      <c r="D45" s="642"/>
      <c r="E45" s="642"/>
    </row>
    <row r="46" spans="2:5" ht="15.75">
      <c r="B46" s="645"/>
      <c r="C46" s="642"/>
      <c r="D46" s="642"/>
      <c r="E46" s="642"/>
    </row>
    <row r="47" spans="2:5" ht="15.75">
      <c r="B47" s="645"/>
      <c r="C47" s="642"/>
      <c r="D47" s="642"/>
      <c r="E47" s="642"/>
    </row>
    <row r="48" spans="2:5" ht="15.75">
      <c r="B48" s="645"/>
      <c r="C48" s="642"/>
      <c r="D48" s="642"/>
      <c r="E48" s="642"/>
    </row>
    <row r="49" spans="2:5" ht="15.75">
      <c r="B49" s="648"/>
      <c r="C49" s="649"/>
      <c r="D49" s="649"/>
      <c r="E49" s="649"/>
    </row>
    <row r="50" spans="2:5" ht="15.75">
      <c r="B50" s="124"/>
      <c r="C50" s="650"/>
      <c r="D50" s="650"/>
      <c r="E50" s="650"/>
    </row>
    <row r="51" spans="2:5" ht="15.75">
      <c r="B51" s="651"/>
      <c r="C51" s="652"/>
      <c r="D51" s="652"/>
      <c r="E51" s="654"/>
    </row>
    <row r="52" spans="2:5" ht="15.75">
      <c r="B52" s="651"/>
      <c r="C52" s="654"/>
      <c r="D52" s="654"/>
      <c r="E52" s="91"/>
    </row>
    <row r="53" spans="2:5" ht="15.75">
      <c r="B53" s="88"/>
      <c r="C53" s="88"/>
      <c r="D53" s="88"/>
      <c r="E53" s="88"/>
    </row>
    <row r="54" spans="2:5" ht="15.75">
      <c r="B54" s="297"/>
      <c r="C54" s="658" t="s">
        <v>1016</v>
      </c>
      <c r="D54" s="88"/>
      <c r="E54" s="88"/>
    </row>
  </sheetData>
  <sheetProtection/>
  <conditionalFormatting sqref="C21">
    <cfRule type="cellIs" priority="3" dxfId="163" operator="greaterThan" stopIfTrue="1">
      <formula>$C$23*0.1</formula>
    </cfRule>
  </conditionalFormatting>
  <conditionalFormatting sqref="D21">
    <cfRule type="cellIs" priority="4" dxfId="163" operator="greaterThan" stopIfTrue="1">
      <formula>$D$23*0.1</formula>
    </cfRule>
  </conditionalFormatting>
  <conditionalFormatting sqref="E21">
    <cfRule type="cellIs" priority="5" dxfId="163" operator="greaterThan" stopIfTrue="1">
      <formula>$E$23*0.1</formula>
    </cfRule>
  </conditionalFormatting>
  <conditionalFormatting sqref="C13">
    <cfRule type="cellIs" priority="6" dxfId="163" operator="greaterThan" stopIfTrue="1">
      <formula>$C$15*0.1</formula>
    </cfRule>
  </conditionalFormatting>
  <conditionalFormatting sqref="D13">
    <cfRule type="cellIs" priority="7" dxfId="163" operator="greaterThan" stopIfTrue="1">
      <formula>$D$15*0.1</formula>
    </cfRule>
  </conditionalFormatting>
  <conditionalFormatting sqref="E13">
    <cfRule type="cellIs" priority="8" dxfId="163" operator="greaterThan" stopIfTrue="1">
      <formula>$E$15*0.1</formula>
    </cfRule>
  </conditionalFormatting>
  <conditionalFormatting sqref="C37">
    <cfRule type="cellIs" priority="9" dxfId="163" operator="greaterThan" stopIfTrue="1">
      <formula>$C$39*0.1</formula>
    </cfRule>
  </conditionalFormatting>
  <conditionalFormatting sqref="D37">
    <cfRule type="cellIs" priority="10" dxfId="163" operator="greaterThan" stopIfTrue="1">
      <formula>$D$39*0.1</formula>
    </cfRule>
  </conditionalFormatting>
  <conditionalFormatting sqref="E37">
    <cfRule type="cellIs" priority="11" dxfId="163" operator="greaterThan" stopIfTrue="1">
      <formula>$E$39*0.1</formula>
    </cfRule>
  </conditionalFormatting>
  <conditionalFormatting sqref="E50 C50 E24 C24">
    <cfRule type="cellIs" priority="15" dxfId="1" operator="lessThan" stopIfTrue="1">
      <formula>0</formula>
    </cfRule>
  </conditionalFormatting>
  <conditionalFormatting sqref="D23">
    <cfRule type="cellIs" priority="16" dxfId="1" operator="greaterThan" stopIfTrue="1">
      <formula>$D$25</formula>
    </cfRule>
  </conditionalFormatting>
  <conditionalFormatting sqref="C23">
    <cfRule type="cellIs" priority="17" dxfId="1" operator="greaterThan" stopIfTrue="1">
      <formula>$C$25</formula>
    </cfRule>
  </conditionalFormatting>
  <conditionalFormatting sqref="D49">
    <cfRule type="cellIs" priority="18" dxfId="1" operator="greaterThan" stopIfTrue="1">
      <formula>$D$51</formula>
    </cfRule>
  </conditionalFormatting>
  <conditionalFormatting sqref="C49">
    <cfRule type="cellIs" priority="19" dxfId="1" operator="greaterThan" stopIfTrue="1">
      <formula>$C$51</formula>
    </cfRule>
  </conditionalFormatting>
  <conditionalFormatting sqref="D24 D50">
    <cfRule type="cellIs" priority="2" dxfId="0" operator="lessThan" stopIfTrue="1">
      <formula>0</formula>
    </cfRule>
  </conditionalFormatting>
  <printOptions/>
  <pageMargins left="0.86" right="0.5" top="0.74" bottom="0.34" header="0.5" footer="0"/>
  <pageSetup blackAndWhite="1" horizontalDpi="120" verticalDpi="120" orientation="portrait" scale="85"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dimension ref="A1:L43"/>
  <sheetViews>
    <sheetView zoomScalePageLayoutView="0" workbookViewId="0" topLeftCell="A22">
      <selection activeCell="C47" sqref="C47"/>
    </sheetView>
  </sheetViews>
  <sheetFormatPr defaultColWidth="8.796875" defaultRowHeight="15"/>
  <cols>
    <col min="1" max="1" width="11.59765625" style="75" customWidth="1"/>
    <col min="2" max="2" width="7.3984375" style="75" customWidth="1"/>
    <col min="3" max="3" width="11.59765625" style="75" customWidth="1"/>
    <col min="4" max="4" width="7.3984375" style="75" customWidth="1"/>
    <col min="5" max="5" width="11.59765625" style="75" customWidth="1"/>
    <col min="6" max="6" width="7.3984375" style="75" customWidth="1"/>
    <col min="7" max="7" width="11.59765625" style="75" customWidth="1"/>
    <col min="8" max="8" width="7.3984375" style="75" customWidth="1"/>
    <col min="9" max="9" width="11.59765625" style="75" customWidth="1"/>
    <col min="10" max="11" width="8.8984375" style="75" customWidth="1"/>
    <col min="12" max="12" width="3" style="75" customWidth="1"/>
    <col min="13" max="16384" width="8.8984375" style="75" customWidth="1"/>
  </cols>
  <sheetData>
    <row r="1" spans="1:11" ht="15.75">
      <c r="A1" s="147" t="str">
        <f>inputPrYr!$C$2</f>
        <v>Sheridan County</v>
      </c>
      <c r="B1" s="354"/>
      <c r="C1" s="128"/>
      <c r="D1" s="128"/>
      <c r="E1" s="128"/>
      <c r="F1" s="355" t="s">
        <v>11</v>
      </c>
      <c r="G1" s="128"/>
      <c r="H1" s="128"/>
      <c r="I1" s="128"/>
      <c r="J1" s="128"/>
      <c r="K1" s="128">
        <f>inputPrYr!$C$4</f>
        <v>2012</v>
      </c>
    </row>
    <row r="2" spans="1:11" ht="15.75">
      <c r="A2" s="128"/>
      <c r="B2" s="128"/>
      <c r="C2" s="128"/>
      <c r="D2" s="128"/>
      <c r="E2" s="128"/>
      <c r="F2" s="356" t="str">
        <f>CONCATENATE("(Only the actual budget year for ",K1-2," is to be shown)")</f>
        <v>(Only the actual budget year for 2010 is to be shown)</v>
      </c>
      <c r="G2" s="128"/>
      <c r="H2" s="128"/>
      <c r="I2" s="128"/>
      <c r="J2" s="128"/>
      <c r="K2" s="128"/>
    </row>
    <row r="3" spans="1:11" ht="15.75">
      <c r="A3" s="128" t="s">
        <v>12</v>
      </c>
      <c r="B3" s="128"/>
      <c r="C3" s="128"/>
      <c r="D3" s="128"/>
      <c r="E3" s="128"/>
      <c r="F3" s="354"/>
      <c r="G3" s="128"/>
      <c r="H3" s="128"/>
      <c r="I3" s="128"/>
      <c r="J3" s="128"/>
      <c r="K3" s="128"/>
    </row>
    <row r="4" spans="1:11" ht="15.75">
      <c r="A4" s="128" t="s">
        <v>13</v>
      </c>
      <c r="B4" s="128"/>
      <c r="C4" s="128" t="s">
        <v>14</v>
      </c>
      <c r="D4" s="128"/>
      <c r="E4" s="128" t="s">
        <v>15</v>
      </c>
      <c r="F4" s="354"/>
      <c r="G4" s="128" t="s">
        <v>16</v>
      </c>
      <c r="H4" s="128"/>
      <c r="I4" s="128" t="s">
        <v>17</v>
      </c>
      <c r="J4" s="128"/>
      <c r="K4" s="128"/>
    </row>
    <row r="5" spans="1:11" ht="15.75">
      <c r="A5" s="724" t="str">
        <f>IF(inputPrYr!B62&gt;" ",(inputPrYr!B62)," ")</f>
        <v>Special Hwy Improvement</v>
      </c>
      <c r="B5" s="725"/>
      <c r="C5" s="724" t="str">
        <f>IF(inputPrYr!B63&gt;" ",(inputPrYr!B63)," ")</f>
        <v>Special Machinery</v>
      </c>
      <c r="D5" s="725"/>
      <c r="E5" s="724" t="str">
        <f>IF(inputPrYr!B64&gt;" ",(inputPrYr!B64)," ")</f>
        <v>Public Transportation Van</v>
      </c>
      <c r="F5" s="725"/>
      <c r="G5" s="724" t="str">
        <f>IF(inputPrYr!B65&gt;" ",(inputPrYr!B65)," ")</f>
        <v>Capital Project</v>
      </c>
      <c r="H5" s="725"/>
      <c r="I5" s="724" t="str">
        <f>IF(inputPrYr!B66&gt;" ",(inputPrYr!B66)," ")</f>
        <v>Special Motor Vehicle</v>
      </c>
      <c r="J5" s="725"/>
      <c r="K5" s="358"/>
    </row>
    <row r="6" spans="1:11" ht="15.75">
      <c r="A6" s="359" t="s">
        <v>18</v>
      </c>
      <c r="B6" s="360"/>
      <c r="C6" s="361" t="s">
        <v>18</v>
      </c>
      <c r="D6" s="362"/>
      <c r="E6" s="361" t="s">
        <v>18</v>
      </c>
      <c r="F6" s="357"/>
      <c r="G6" s="361" t="s">
        <v>18</v>
      </c>
      <c r="H6" s="363"/>
      <c r="I6" s="361" t="s">
        <v>18</v>
      </c>
      <c r="J6" s="128"/>
      <c r="K6" s="364" t="s">
        <v>128</v>
      </c>
    </row>
    <row r="7" spans="1:11" ht="15.75">
      <c r="A7" s="365" t="s">
        <v>82</v>
      </c>
      <c r="B7" s="366">
        <v>149893</v>
      </c>
      <c r="C7" s="367" t="s">
        <v>82</v>
      </c>
      <c r="D7" s="366">
        <v>532725</v>
      </c>
      <c r="E7" s="367" t="s">
        <v>82</v>
      </c>
      <c r="F7" s="366">
        <v>3665</v>
      </c>
      <c r="G7" s="367" t="s">
        <v>82</v>
      </c>
      <c r="H7" s="366">
        <v>116606</v>
      </c>
      <c r="I7" s="367" t="s">
        <v>82</v>
      </c>
      <c r="J7" s="366">
        <v>0</v>
      </c>
      <c r="K7" s="368">
        <f>SUM(B7+D7+F7+H7+J7)</f>
        <v>802889</v>
      </c>
    </row>
    <row r="8" spans="1:11" ht="15.75">
      <c r="A8" s="369" t="s">
        <v>272</v>
      </c>
      <c r="B8" s="370"/>
      <c r="C8" s="369" t="s">
        <v>272</v>
      </c>
      <c r="D8" s="371"/>
      <c r="E8" s="369" t="s">
        <v>272</v>
      </c>
      <c r="F8" s="354"/>
      <c r="G8" s="369" t="s">
        <v>272</v>
      </c>
      <c r="H8" s="128"/>
      <c r="I8" s="369" t="s">
        <v>272</v>
      </c>
      <c r="J8" s="128"/>
      <c r="K8" s="354"/>
    </row>
    <row r="9" spans="1:11" ht="15.75">
      <c r="A9" s="372" t="s">
        <v>971</v>
      </c>
      <c r="B9" s="366">
        <v>175000</v>
      </c>
      <c r="C9" s="372" t="s">
        <v>971</v>
      </c>
      <c r="D9" s="366">
        <v>350000</v>
      </c>
      <c r="E9" s="372" t="s">
        <v>976</v>
      </c>
      <c r="F9" s="366">
        <v>6067</v>
      </c>
      <c r="G9" s="372" t="s">
        <v>984</v>
      </c>
      <c r="H9" s="366">
        <v>52450</v>
      </c>
      <c r="I9" s="372" t="s">
        <v>981</v>
      </c>
      <c r="J9" s="366"/>
      <c r="K9" s="354"/>
    </row>
    <row r="10" spans="1:11" ht="15.75">
      <c r="A10" s="372"/>
      <c r="B10" s="366"/>
      <c r="C10" s="372" t="s">
        <v>974</v>
      </c>
      <c r="D10" s="366"/>
      <c r="E10" s="372" t="s">
        <v>977</v>
      </c>
      <c r="F10" s="366">
        <v>12183</v>
      </c>
      <c r="G10" s="372"/>
      <c r="H10" s="366"/>
      <c r="I10" s="372" t="s">
        <v>73</v>
      </c>
      <c r="J10" s="366"/>
      <c r="K10" s="354"/>
    </row>
    <row r="11" spans="1:11" ht="15.75">
      <c r="A11" s="372"/>
      <c r="B11" s="366"/>
      <c r="C11" s="373"/>
      <c r="D11" s="366"/>
      <c r="E11" s="373"/>
      <c r="F11" s="366"/>
      <c r="G11" s="373"/>
      <c r="H11" s="366"/>
      <c r="I11" s="374" t="s">
        <v>982</v>
      </c>
      <c r="J11" s="366">
        <v>236</v>
      </c>
      <c r="K11" s="354"/>
    </row>
    <row r="12" spans="1:11" ht="15.75">
      <c r="A12" s="372"/>
      <c r="B12" s="366"/>
      <c r="C12" s="372"/>
      <c r="D12" s="366"/>
      <c r="E12" s="375"/>
      <c r="F12" s="366"/>
      <c r="G12" s="375"/>
      <c r="H12" s="366"/>
      <c r="I12" s="375" t="s">
        <v>983</v>
      </c>
      <c r="J12" s="366">
        <v>34582</v>
      </c>
      <c r="K12" s="354"/>
    </row>
    <row r="13" spans="1:11" ht="15.75">
      <c r="A13" s="376"/>
      <c r="B13" s="366"/>
      <c r="C13" s="377"/>
      <c r="D13" s="366"/>
      <c r="E13" s="377"/>
      <c r="F13" s="366"/>
      <c r="G13" s="377"/>
      <c r="H13" s="366"/>
      <c r="I13" s="374" t="s">
        <v>984</v>
      </c>
      <c r="J13" s="366">
        <v>350</v>
      </c>
      <c r="K13" s="354"/>
    </row>
    <row r="14" spans="1:11" ht="15.75">
      <c r="A14" s="372"/>
      <c r="B14" s="366"/>
      <c r="C14" s="375"/>
      <c r="D14" s="366"/>
      <c r="E14" s="375"/>
      <c r="F14" s="366"/>
      <c r="G14" s="375"/>
      <c r="H14" s="366"/>
      <c r="I14" s="375" t="s">
        <v>1008</v>
      </c>
      <c r="J14" s="366">
        <v>370</v>
      </c>
      <c r="K14" s="354"/>
    </row>
    <row r="15" spans="1:11" ht="15.75">
      <c r="A15" s="372"/>
      <c r="B15" s="366"/>
      <c r="C15" s="375"/>
      <c r="D15" s="366"/>
      <c r="E15" s="375"/>
      <c r="F15" s="366"/>
      <c r="G15" s="375"/>
      <c r="H15" s="366"/>
      <c r="I15" s="375"/>
      <c r="J15" s="366"/>
      <c r="K15" s="354"/>
    </row>
    <row r="16" spans="1:11" ht="15.75">
      <c r="A16" s="372"/>
      <c r="B16" s="366"/>
      <c r="C16" s="372"/>
      <c r="D16" s="366"/>
      <c r="E16" s="372"/>
      <c r="F16" s="366"/>
      <c r="G16" s="375"/>
      <c r="H16" s="366"/>
      <c r="I16" s="372"/>
      <c r="J16" s="366"/>
      <c r="K16" s="354"/>
    </row>
    <row r="17" spans="1:11" ht="15.75">
      <c r="A17" s="369" t="s">
        <v>158</v>
      </c>
      <c r="B17" s="378">
        <f>SUM(B9:B16)</f>
        <v>175000</v>
      </c>
      <c r="C17" s="369" t="s">
        <v>158</v>
      </c>
      <c r="D17" s="368">
        <f>SUM(D9:D16)</f>
        <v>350000</v>
      </c>
      <c r="E17" s="369" t="s">
        <v>158</v>
      </c>
      <c r="F17" s="444">
        <f>SUM(F9:F16)</f>
        <v>18250</v>
      </c>
      <c r="G17" s="369" t="s">
        <v>158</v>
      </c>
      <c r="H17" s="368">
        <f>SUM(H9:H16)</f>
        <v>52450</v>
      </c>
      <c r="I17" s="369" t="s">
        <v>158</v>
      </c>
      <c r="J17" s="368">
        <f>SUM(J9:J16)</f>
        <v>35538</v>
      </c>
      <c r="K17" s="368">
        <f>SUM(B17+D17+F17+H17+J17)</f>
        <v>631238</v>
      </c>
    </row>
    <row r="18" spans="1:11" ht="15.75">
      <c r="A18" s="369" t="s">
        <v>159</v>
      </c>
      <c r="B18" s="378">
        <f>SUM(B7+B17)</f>
        <v>324893</v>
      </c>
      <c r="C18" s="369" t="s">
        <v>159</v>
      </c>
      <c r="D18" s="368">
        <f>SUM(D7+D17)</f>
        <v>882725</v>
      </c>
      <c r="E18" s="369" t="s">
        <v>159</v>
      </c>
      <c r="F18" s="368">
        <f>SUM(F7+F17)</f>
        <v>21915</v>
      </c>
      <c r="G18" s="369" t="s">
        <v>159</v>
      </c>
      <c r="H18" s="368">
        <f>SUM(H7+H17)</f>
        <v>169056</v>
      </c>
      <c r="I18" s="369" t="s">
        <v>159</v>
      </c>
      <c r="J18" s="368">
        <f>SUM(J7+J17)</f>
        <v>35538</v>
      </c>
      <c r="K18" s="368">
        <f>SUM(B18+D18+F18+H18+J18)</f>
        <v>1434127</v>
      </c>
    </row>
    <row r="19" spans="1:11" ht="15.75">
      <c r="A19" s="369" t="s">
        <v>162</v>
      </c>
      <c r="B19" s="370"/>
      <c r="C19" s="369" t="s">
        <v>162</v>
      </c>
      <c r="D19" s="371"/>
      <c r="E19" s="369" t="s">
        <v>162</v>
      </c>
      <c r="F19" s="354"/>
      <c r="G19" s="369" t="s">
        <v>162</v>
      </c>
      <c r="H19" s="128"/>
      <c r="I19" s="369" t="s">
        <v>162</v>
      </c>
      <c r="J19" s="128"/>
      <c r="K19" s="354"/>
    </row>
    <row r="20" spans="1:11" ht="15.75">
      <c r="A20" s="372" t="s">
        <v>972</v>
      </c>
      <c r="B20" s="366">
        <v>865</v>
      </c>
      <c r="C20" s="375" t="s">
        <v>973</v>
      </c>
      <c r="D20" s="366"/>
      <c r="E20" s="375" t="s">
        <v>978</v>
      </c>
      <c r="F20" s="366">
        <v>7105</v>
      </c>
      <c r="G20" s="375" t="s">
        <v>980</v>
      </c>
      <c r="H20" s="366">
        <v>116054</v>
      </c>
      <c r="I20" s="375" t="s">
        <v>978</v>
      </c>
      <c r="J20" s="366">
        <v>15671</v>
      </c>
      <c r="K20" s="354"/>
    </row>
    <row r="21" spans="1:11" ht="15.75">
      <c r="A21" s="372" t="s">
        <v>973</v>
      </c>
      <c r="B21" s="366">
        <v>16242</v>
      </c>
      <c r="C21" s="375" t="s">
        <v>975</v>
      </c>
      <c r="D21" s="366">
        <v>710052</v>
      </c>
      <c r="E21" s="375" t="s">
        <v>979</v>
      </c>
      <c r="F21" s="366">
        <v>12522</v>
      </c>
      <c r="G21" s="375"/>
      <c r="H21" s="366"/>
      <c r="I21" s="375" t="s">
        <v>979</v>
      </c>
      <c r="J21" s="366">
        <v>3943</v>
      </c>
      <c r="K21" s="354"/>
    </row>
    <row r="22" spans="1:11" ht="15.75">
      <c r="A22" s="372" t="s">
        <v>975</v>
      </c>
      <c r="B22" s="366">
        <v>8698</v>
      </c>
      <c r="C22" s="377"/>
      <c r="D22" s="366"/>
      <c r="E22" s="377"/>
      <c r="F22" s="366"/>
      <c r="G22" s="377"/>
      <c r="H22" s="366"/>
      <c r="I22" s="374" t="s">
        <v>985</v>
      </c>
      <c r="J22" s="366">
        <v>15924</v>
      </c>
      <c r="K22" s="354"/>
    </row>
    <row r="23" spans="1:11" ht="15.75">
      <c r="A23" s="372"/>
      <c r="B23" s="366"/>
      <c r="C23" s="375"/>
      <c r="D23" s="366"/>
      <c r="E23" s="375"/>
      <c r="F23" s="366"/>
      <c r="G23" s="375"/>
      <c r="H23" s="366"/>
      <c r="I23" s="375"/>
      <c r="J23" s="366"/>
      <c r="K23" s="354"/>
    </row>
    <row r="24" spans="1:11" ht="15.75">
      <c r="A24" s="372"/>
      <c r="B24" s="366"/>
      <c r="C24" s="377"/>
      <c r="D24" s="366"/>
      <c r="E24" s="377"/>
      <c r="F24" s="366"/>
      <c r="G24" s="377"/>
      <c r="H24" s="366"/>
      <c r="I24" s="374"/>
      <c r="J24" s="366"/>
      <c r="K24" s="354"/>
    </row>
    <row r="25" spans="1:11" ht="15.75">
      <c r="A25" s="372"/>
      <c r="B25" s="366"/>
      <c r="C25" s="375"/>
      <c r="D25" s="366"/>
      <c r="E25" s="375"/>
      <c r="F25" s="366"/>
      <c r="G25" s="375"/>
      <c r="H25" s="366"/>
      <c r="I25" s="375"/>
      <c r="J25" s="366"/>
      <c r="K25" s="354"/>
    </row>
    <row r="26" spans="1:11" ht="15.75">
      <c r="A26" s="372"/>
      <c r="B26" s="366"/>
      <c r="C26" s="375"/>
      <c r="D26" s="366"/>
      <c r="E26" s="375"/>
      <c r="F26" s="366"/>
      <c r="G26" s="375"/>
      <c r="H26" s="366"/>
      <c r="I26" s="375"/>
      <c r="J26" s="366"/>
      <c r="K26" s="354"/>
    </row>
    <row r="27" spans="1:11" ht="15.75">
      <c r="A27" s="372"/>
      <c r="B27" s="366"/>
      <c r="C27" s="372"/>
      <c r="D27" s="366"/>
      <c r="E27" s="372"/>
      <c r="F27" s="366"/>
      <c r="G27" s="375"/>
      <c r="H27" s="366"/>
      <c r="I27" s="375"/>
      <c r="J27" s="366"/>
      <c r="K27" s="354"/>
    </row>
    <row r="28" spans="1:11" ht="15.75">
      <c r="A28" s="369" t="s">
        <v>163</v>
      </c>
      <c r="B28" s="368">
        <f>SUM(B20:B27)</f>
        <v>25805</v>
      </c>
      <c r="C28" s="369" t="s">
        <v>163</v>
      </c>
      <c r="D28" s="368">
        <f>SUM(D20:D27)</f>
        <v>710052</v>
      </c>
      <c r="E28" s="369" t="s">
        <v>163</v>
      </c>
      <c r="F28" s="444">
        <f>SUM(F20:F27)</f>
        <v>19627</v>
      </c>
      <c r="G28" s="369" t="s">
        <v>163</v>
      </c>
      <c r="H28" s="444">
        <f>SUM(H20:H27)</f>
        <v>116054</v>
      </c>
      <c r="I28" s="369" t="s">
        <v>163</v>
      </c>
      <c r="J28" s="368">
        <f>SUM(J20:J27)</f>
        <v>35538</v>
      </c>
      <c r="K28" s="368">
        <f>SUM(B28+D28+F28+H28+J28)</f>
        <v>907076</v>
      </c>
    </row>
    <row r="29" spans="1:12" ht="15.75">
      <c r="A29" s="369" t="s">
        <v>19</v>
      </c>
      <c r="B29" s="368">
        <f>B18-B28</f>
        <v>299088</v>
      </c>
      <c r="C29" s="369" t="s">
        <v>19</v>
      </c>
      <c r="D29" s="368">
        <f>D18-D28</f>
        <v>172673</v>
      </c>
      <c r="E29" s="369" t="s">
        <v>19</v>
      </c>
      <c r="F29" s="368">
        <f>F18-F28</f>
        <v>2288</v>
      </c>
      <c r="G29" s="369" t="s">
        <v>19</v>
      </c>
      <c r="H29" s="368">
        <f>H18-H28</f>
        <v>53002</v>
      </c>
      <c r="I29" s="369" t="s">
        <v>19</v>
      </c>
      <c r="J29" s="368">
        <f>J18-J28</f>
        <v>0</v>
      </c>
      <c r="K29" s="379">
        <f>SUM(B29+D29+F29+H29+J29)</f>
        <v>527051</v>
      </c>
      <c r="L29" s="75" t="s">
        <v>57</v>
      </c>
    </row>
    <row r="30" spans="1:12" ht="15.75">
      <c r="A30" s="369"/>
      <c r="B30" s="409">
        <f>IF(B29&lt;0,"See Tab B","")</f>
      </c>
      <c r="C30" s="369"/>
      <c r="D30" s="409">
        <f>IF(D29&lt;0,"See Tab B","")</f>
      </c>
      <c r="E30" s="369"/>
      <c r="F30" s="409">
        <f>IF(F29&lt;0,"See Tab B","")</f>
      </c>
      <c r="G30" s="128"/>
      <c r="H30" s="409">
        <f>IF(H29&lt;0,"See Tab B","")</f>
      </c>
      <c r="I30" s="128"/>
      <c r="J30" s="409">
        <f>IF(J29&lt;0,"See Tab B","")</f>
      </c>
      <c r="K30" s="379">
        <f>SUM(K7+K17-K28)</f>
        <v>527051</v>
      </c>
      <c r="L30" s="75" t="s">
        <v>57</v>
      </c>
    </row>
    <row r="31" spans="1:11" ht="15.75">
      <c r="A31" s="128"/>
      <c r="B31" s="380"/>
      <c r="C31" s="128"/>
      <c r="D31" s="354"/>
      <c r="E31" s="128"/>
      <c r="F31" s="128"/>
      <c r="G31" s="85" t="s">
        <v>58</v>
      </c>
      <c r="H31" s="85"/>
      <c r="I31" s="85"/>
      <c r="J31" s="85"/>
      <c r="K31" s="128"/>
    </row>
    <row r="32" spans="1:11" ht="15.75">
      <c r="A32" s="128"/>
      <c r="B32" s="380"/>
      <c r="C32" s="128"/>
      <c r="D32" s="128"/>
      <c r="E32" s="128"/>
      <c r="F32" s="128"/>
      <c r="G32" s="128"/>
      <c r="H32" s="128"/>
      <c r="I32" s="128"/>
      <c r="J32" s="128"/>
      <c r="K32" s="128"/>
    </row>
    <row r="33" spans="1:11" ht="15.75">
      <c r="A33" s="128"/>
      <c r="B33" s="380"/>
      <c r="C33" s="128"/>
      <c r="D33" s="128"/>
      <c r="E33" s="128"/>
      <c r="F33" s="128"/>
      <c r="G33" s="128"/>
      <c r="H33" s="128"/>
      <c r="I33" s="128"/>
      <c r="J33" s="128"/>
      <c r="K33" s="128"/>
    </row>
    <row r="34" spans="1:11" ht="15.75">
      <c r="A34" s="128"/>
      <c r="B34" s="380"/>
      <c r="C34" s="128"/>
      <c r="D34" s="128"/>
      <c r="E34" s="128"/>
      <c r="F34" s="128"/>
      <c r="G34" s="128"/>
      <c r="H34" s="128"/>
      <c r="I34" s="128"/>
      <c r="J34" s="128"/>
      <c r="K34" s="128"/>
    </row>
    <row r="35" spans="1:11" ht="15.75">
      <c r="A35" s="128"/>
      <c r="B35" s="380"/>
      <c r="C35" s="128"/>
      <c r="D35" s="128"/>
      <c r="E35" s="331" t="s">
        <v>182</v>
      </c>
      <c r="F35" s="348">
        <v>17</v>
      </c>
      <c r="G35" s="128"/>
      <c r="H35" s="128"/>
      <c r="I35" s="128"/>
      <c r="J35" s="128"/>
      <c r="K35" s="128"/>
    </row>
    <row r="36" ht="15.75">
      <c r="B36" s="381"/>
    </row>
    <row r="37" ht="15.75">
      <c r="B37" s="381"/>
    </row>
    <row r="38" ht="15.75">
      <c r="B38" s="381"/>
    </row>
    <row r="39" ht="15.75">
      <c r="B39" s="381"/>
    </row>
    <row r="40" ht="15.75">
      <c r="B40" s="381"/>
    </row>
    <row r="41" ht="15.75">
      <c r="B41" s="381"/>
    </row>
    <row r="42" ht="15.75">
      <c r="B42" s="381"/>
    </row>
    <row r="43" ht="15.75">
      <c r="B43" s="381"/>
    </row>
  </sheetData>
  <sheetProtection/>
  <mergeCells count="5">
    <mergeCell ref="I5:J5"/>
    <mergeCell ref="A5:B5"/>
    <mergeCell ref="C5:D5"/>
    <mergeCell ref="E5:F5"/>
    <mergeCell ref="G5:H5"/>
  </mergeCells>
  <printOptions/>
  <pageMargins left="0.75" right="0.75" top="1" bottom="0.67" header="0.5" footer="0.5"/>
  <pageSetup blackAndWhite="1" horizontalDpi="600" verticalDpi="600" orientation="landscape" scale="90"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4"/>
  <sheetViews>
    <sheetView view="pageBreakPreview" zoomScale="60" zoomScalePageLayoutView="0" workbookViewId="0" topLeftCell="A4">
      <selection activeCell="C47" sqref="C47"/>
    </sheetView>
  </sheetViews>
  <sheetFormatPr defaultColWidth="8.796875" defaultRowHeight="15"/>
  <cols>
    <col min="1" max="1" width="11.59765625" style="75" customWidth="1"/>
    <col min="2" max="2" width="7.3984375" style="75" customWidth="1"/>
    <col min="3" max="3" width="11.59765625" style="75" customWidth="1"/>
    <col min="4" max="4" width="7.3984375" style="75" customWidth="1"/>
    <col min="5" max="5" width="11.59765625" style="75" customWidth="1"/>
    <col min="6" max="6" width="7.3984375" style="75" customWidth="1"/>
    <col min="7" max="7" width="11.59765625" style="75" customWidth="1"/>
    <col min="8" max="8" width="7.3984375" style="75" customWidth="1"/>
    <col min="9" max="9" width="11.59765625" style="75" customWidth="1"/>
    <col min="10" max="11" width="8.8984375" style="75" customWidth="1"/>
    <col min="12" max="12" width="2.59765625" style="75" customWidth="1"/>
    <col min="13" max="16384" width="8.8984375" style="75" customWidth="1"/>
  </cols>
  <sheetData>
    <row r="1" spans="1:11" ht="15.75">
      <c r="A1" s="147" t="str">
        <f>inputPrYr!$C$2</f>
        <v>Sheridan County</v>
      </c>
      <c r="B1" s="354"/>
      <c r="C1" s="128"/>
      <c r="D1" s="128"/>
      <c r="E1" s="128"/>
      <c r="F1" s="355" t="s">
        <v>20</v>
      </c>
      <c r="G1" s="128"/>
      <c r="H1" s="128"/>
      <c r="I1" s="128"/>
      <c r="J1" s="128"/>
      <c r="K1" s="128">
        <f>inputPrYr!$C$4</f>
        <v>2012</v>
      </c>
    </row>
    <row r="2" spans="1:11" ht="15.75">
      <c r="A2" s="128"/>
      <c r="B2" s="128"/>
      <c r="C2" s="128"/>
      <c r="D2" s="128"/>
      <c r="E2" s="128"/>
      <c r="F2" s="356" t="str">
        <f>CONCATENATE("(Only the actual budget year for ",K1-2," is to be shown)")</f>
        <v>(Only the actual budget year for 2010 is to be shown)</v>
      </c>
      <c r="G2" s="128"/>
      <c r="H2" s="128"/>
      <c r="I2" s="128"/>
      <c r="J2" s="128"/>
      <c r="K2" s="128"/>
    </row>
    <row r="3" spans="1:11" ht="15.75">
      <c r="A3" s="128" t="s">
        <v>21</v>
      </c>
      <c r="B3" s="128"/>
      <c r="C3" s="128"/>
      <c r="D3" s="128"/>
      <c r="E3" s="128"/>
      <c r="F3" s="354"/>
      <c r="G3" s="128"/>
      <c r="H3" s="128"/>
      <c r="I3" s="128"/>
      <c r="J3" s="128"/>
      <c r="K3" s="128"/>
    </row>
    <row r="4" spans="1:11" ht="15.75">
      <c r="A4" s="128" t="s">
        <v>13</v>
      </c>
      <c r="B4" s="128"/>
      <c r="C4" s="128" t="s">
        <v>14</v>
      </c>
      <c r="D4" s="128"/>
      <c r="E4" s="128" t="s">
        <v>15</v>
      </c>
      <c r="F4" s="354"/>
      <c r="G4" s="128" t="s">
        <v>16</v>
      </c>
      <c r="H4" s="128"/>
      <c r="I4" s="128" t="s">
        <v>17</v>
      </c>
      <c r="J4" s="128"/>
      <c r="K4" s="128"/>
    </row>
    <row r="5" spans="1:11" ht="15.75">
      <c r="A5" s="724" t="str">
        <f>IF(inputPrYr!B68&gt;" ",(inputPrYr!B68)," ")</f>
        <v>VIN</v>
      </c>
      <c r="B5" s="725"/>
      <c r="C5" s="724" t="str">
        <f>IF(inputPrYr!B69&gt;" ",(inputPrYr!B69)," ")</f>
        <v>Prosecuting Attorney Tr.</v>
      </c>
      <c r="D5" s="725"/>
      <c r="E5" s="724" t="str">
        <f>IF(inputPrYr!B70&gt;" ",(inputPrYr!B70)," ")</f>
        <v>CDBG (Micro-Loan)</v>
      </c>
      <c r="F5" s="725"/>
      <c r="G5" s="724" t="str">
        <f>IF(inputPrYr!B71&gt;" ",(inputPrYr!B71)," ")</f>
        <v>Recycling Grant</v>
      </c>
      <c r="H5" s="725"/>
      <c r="I5" s="724" t="str">
        <f>IF(inputPrYr!B72&gt;" ",(inputPrYr!B72)," ")</f>
        <v>Special Technology</v>
      </c>
      <c r="J5" s="725"/>
      <c r="K5" s="358"/>
    </row>
    <row r="6" spans="1:11" ht="15.75">
      <c r="A6" s="359" t="s">
        <v>18</v>
      </c>
      <c r="B6" s="360"/>
      <c r="C6" s="361" t="s">
        <v>18</v>
      </c>
      <c r="D6" s="362"/>
      <c r="E6" s="361" t="s">
        <v>18</v>
      </c>
      <c r="F6" s="357"/>
      <c r="G6" s="361" t="s">
        <v>18</v>
      </c>
      <c r="H6" s="363"/>
      <c r="I6" s="361" t="s">
        <v>18</v>
      </c>
      <c r="J6" s="128"/>
      <c r="K6" s="364" t="s">
        <v>128</v>
      </c>
    </row>
    <row r="7" spans="1:11" ht="15.75">
      <c r="A7" s="365" t="s">
        <v>82</v>
      </c>
      <c r="B7" s="366">
        <v>1683</v>
      </c>
      <c r="C7" s="367" t="s">
        <v>82</v>
      </c>
      <c r="D7" s="366">
        <v>0</v>
      </c>
      <c r="E7" s="367" t="s">
        <v>82</v>
      </c>
      <c r="F7" s="366">
        <v>76538</v>
      </c>
      <c r="G7" s="367" t="s">
        <v>82</v>
      </c>
      <c r="H7" s="366">
        <v>5016</v>
      </c>
      <c r="I7" s="367" t="s">
        <v>82</v>
      </c>
      <c r="J7" s="366">
        <v>14703</v>
      </c>
      <c r="K7" s="368">
        <f>SUM(B7+D7+F7+H7+J7)</f>
        <v>97940</v>
      </c>
    </row>
    <row r="8" spans="1:11" ht="15.75">
      <c r="A8" s="369" t="s">
        <v>272</v>
      </c>
      <c r="B8" s="370"/>
      <c r="C8" s="369" t="s">
        <v>272</v>
      </c>
      <c r="D8" s="371"/>
      <c r="E8" s="369" t="s">
        <v>272</v>
      </c>
      <c r="F8" s="354"/>
      <c r="G8" s="369" t="s">
        <v>272</v>
      </c>
      <c r="H8" s="128"/>
      <c r="I8" s="369" t="s">
        <v>272</v>
      </c>
      <c r="J8" s="128"/>
      <c r="K8" s="354"/>
    </row>
    <row r="9" spans="1:11" ht="15.75">
      <c r="A9" s="372" t="s">
        <v>986</v>
      </c>
      <c r="B9" s="366">
        <v>2079</v>
      </c>
      <c r="C9" s="372" t="s">
        <v>988</v>
      </c>
      <c r="D9" s="366">
        <v>233</v>
      </c>
      <c r="E9" s="372" t="s">
        <v>984</v>
      </c>
      <c r="F9" s="366"/>
      <c r="G9" s="372" t="s">
        <v>992</v>
      </c>
      <c r="H9" s="366"/>
      <c r="I9" s="372" t="s">
        <v>995</v>
      </c>
      <c r="J9" s="366">
        <v>5457</v>
      </c>
      <c r="K9" s="354"/>
    </row>
    <row r="10" spans="1:11" ht="15.75">
      <c r="A10" s="372"/>
      <c r="B10" s="366"/>
      <c r="C10" s="372"/>
      <c r="D10" s="366"/>
      <c r="E10" s="372" t="s">
        <v>990</v>
      </c>
      <c r="F10" s="366">
        <v>13988</v>
      </c>
      <c r="G10" s="372" t="s">
        <v>73</v>
      </c>
      <c r="H10" s="366"/>
      <c r="I10" s="372"/>
      <c r="J10" s="366"/>
      <c r="K10" s="354"/>
    </row>
    <row r="11" spans="1:11" ht="15.75">
      <c r="A11" s="372"/>
      <c r="B11" s="366"/>
      <c r="C11" s="373"/>
      <c r="D11" s="366"/>
      <c r="E11" s="373" t="s">
        <v>215</v>
      </c>
      <c r="F11" s="366">
        <v>246</v>
      </c>
      <c r="G11" s="373" t="s">
        <v>971</v>
      </c>
      <c r="H11" s="366"/>
      <c r="I11" s="374"/>
      <c r="J11" s="366"/>
      <c r="K11" s="354"/>
    </row>
    <row r="12" spans="1:11" ht="15.75">
      <c r="A12" s="372"/>
      <c r="B12" s="366"/>
      <c r="C12" s="372"/>
      <c r="D12" s="366"/>
      <c r="E12" s="375"/>
      <c r="F12" s="366"/>
      <c r="G12" s="375"/>
      <c r="H12" s="366"/>
      <c r="I12" s="375"/>
      <c r="J12" s="366"/>
      <c r="K12" s="354"/>
    </row>
    <row r="13" spans="1:11" ht="15.75">
      <c r="A13" s="376"/>
      <c r="B13" s="366"/>
      <c r="C13" s="377"/>
      <c r="D13" s="366"/>
      <c r="E13" s="377"/>
      <c r="F13" s="366"/>
      <c r="G13" s="377"/>
      <c r="H13" s="366"/>
      <c r="I13" s="374"/>
      <c r="J13" s="366"/>
      <c r="K13" s="354"/>
    </row>
    <row r="14" spans="1:11" ht="15.75">
      <c r="A14" s="372"/>
      <c r="B14" s="366"/>
      <c r="C14" s="375"/>
      <c r="D14" s="366"/>
      <c r="E14" s="375"/>
      <c r="F14" s="366"/>
      <c r="G14" s="375"/>
      <c r="H14" s="366"/>
      <c r="I14" s="375"/>
      <c r="J14" s="366"/>
      <c r="K14" s="354"/>
    </row>
    <row r="15" spans="1:11" ht="15.75">
      <c r="A15" s="372"/>
      <c r="B15" s="366"/>
      <c r="C15" s="375"/>
      <c r="D15" s="366"/>
      <c r="E15" s="375"/>
      <c r="F15" s="366"/>
      <c r="G15" s="375"/>
      <c r="H15" s="366"/>
      <c r="I15" s="375"/>
      <c r="J15" s="366"/>
      <c r="K15" s="354"/>
    </row>
    <row r="16" spans="1:11" ht="15.75">
      <c r="A16" s="372"/>
      <c r="B16" s="366"/>
      <c r="C16" s="372"/>
      <c r="D16" s="366"/>
      <c r="E16" s="372"/>
      <c r="F16" s="366"/>
      <c r="G16" s="375"/>
      <c r="H16" s="366"/>
      <c r="I16" s="372"/>
      <c r="J16" s="366"/>
      <c r="K16" s="354"/>
    </row>
    <row r="17" spans="1:11" ht="15.75">
      <c r="A17" s="369" t="s">
        <v>158</v>
      </c>
      <c r="B17" s="368">
        <f>SUM(B9:B16)</f>
        <v>2079</v>
      </c>
      <c r="C17" s="369" t="s">
        <v>158</v>
      </c>
      <c r="D17" s="368">
        <f>SUM(D9:D16)</f>
        <v>233</v>
      </c>
      <c r="E17" s="369" t="s">
        <v>158</v>
      </c>
      <c r="F17" s="444">
        <f>SUM(F9:F16)</f>
        <v>14234</v>
      </c>
      <c r="G17" s="369" t="s">
        <v>158</v>
      </c>
      <c r="H17" s="368">
        <f>SUM(H9:H16)</f>
        <v>0</v>
      </c>
      <c r="I17" s="369" t="s">
        <v>158</v>
      </c>
      <c r="J17" s="368">
        <f>SUM(J9:J16)</f>
        <v>5457</v>
      </c>
      <c r="K17" s="368">
        <f>SUM(B17+D17+F17+H17+J17)</f>
        <v>22003</v>
      </c>
    </row>
    <row r="18" spans="1:11" ht="15.75">
      <c r="A18" s="369" t="s">
        <v>159</v>
      </c>
      <c r="B18" s="368">
        <f>SUM(B7+B17)</f>
        <v>3762</v>
      </c>
      <c r="C18" s="369" t="s">
        <v>159</v>
      </c>
      <c r="D18" s="368">
        <f>SUM(D7+D17)</f>
        <v>233</v>
      </c>
      <c r="E18" s="369" t="s">
        <v>159</v>
      </c>
      <c r="F18" s="368">
        <f>SUM(F7+F17)</f>
        <v>90772</v>
      </c>
      <c r="G18" s="369" t="s">
        <v>159</v>
      </c>
      <c r="H18" s="368">
        <f>SUM(H7+H17)</f>
        <v>5016</v>
      </c>
      <c r="I18" s="369" t="s">
        <v>159</v>
      </c>
      <c r="J18" s="368">
        <f>SUM(J7+J17)</f>
        <v>20160</v>
      </c>
      <c r="K18" s="368">
        <f>SUM(B18+D18+F18+H18+J18)</f>
        <v>119943</v>
      </c>
    </row>
    <row r="19" spans="1:11" ht="15.75">
      <c r="A19" s="369" t="s">
        <v>162</v>
      </c>
      <c r="B19" s="370"/>
      <c r="C19" s="369" t="s">
        <v>162</v>
      </c>
      <c r="D19" s="371"/>
      <c r="E19" s="369" t="s">
        <v>162</v>
      </c>
      <c r="F19" s="354"/>
      <c r="G19" s="369" t="s">
        <v>162</v>
      </c>
      <c r="H19" s="128"/>
      <c r="I19" s="369" t="s">
        <v>162</v>
      </c>
      <c r="J19" s="128"/>
      <c r="K19" s="354"/>
    </row>
    <row r="20" spans="1:11" ht="15.75">
      <c r="A20" s="372" t="s">
        <v>987</v>
      </c>
      <c r="B20" s="366">
        <v>1007</v>
      </c>
      <c r="C20" s="375" t="s">
        <v>989</v>
      </c>
      <c r="D20" s="366">
        <v>233</v>
      </c>
      <c r="E20" s="375" t="s">
        <v>991</v>
      </c>
      <c r="F20" s="366">
        <v>2865</v>
      </c>
      <c r="G20" s="375" t="s">
        <v>993</v>
      </c>
      <c r="H20" s="366"/>
      <c r="I20" s="375" t="s">
        <v>73</v>
      </c>
      <c r="J20" s="366">
        <v>991</v>
      </c>
      <c r="K20" s="354"/>
    </row>
    <row r="21" spans="1:11" ht="15.75">
      <c r="A21" s="372"/>
      <c r="B21" s="366"/>
      <c r="C21" s="375"/>
      <c r="D21" s="366"/>
      <c r="E21" s="375"/>
      <c r="F21" s="366"/>
      <c r="G21" s="375" t="s">
        <v>994</v>
      </c>
      <c r="H21" s="366"/>
      <c r="I21" s="375"/>
      <c r="J21" s="366"/>
      <c r="K21" s="354"/>
    </row>
    <row r="22" spans="1:11" ht="15.75">
      <c r="A22" s="372"/>
      <c r="B22" s="366"/>
      <c r="C22" s="377"/>
      <c r="D22" s="366"/>
      <c r="E22" s="377"/>
      <c r="F22" s="366"/>
      <c r="G22" s="377"/>
      <c r="H22" s="366"/>
      <c r="I22" s="374"/>
      <c r="J22" s="366"/>
      <c r="K22" s="354"/>
    </row>
    <row r="23" spans="1:11" ht="15.75">
      <c r="A23" s="372"/>
      <c r="B23" s="366"/>
      <c r="C23" s="375"/>
      <c r="D23" s="366"/>
      <c r="E23" s="375"/>
      <c r="F23" s="366"/>
      <c r="G23" s="375"/>
      <c r="H23" s="366"/>
      <c r="I23" s="375"/>
      <c r="J23" s="366"/>
      <c r="K23" s="354"/>
    </row>
    <row r="24" spans="1:11" ht="15.75">
      <c r="A24" s="372"/>
      <c r="B24" s="366"/>
      <c r="C24" s="377"/>
      <c r="D24" s="366"/>
      <c r="E24" s="377"/>
      <c r="F24" s="366"/>
      <c r="G24" s="377"/>
      <c r="H24" s="366"/>
      <c r="I24" s="374"/>
      <c r="J24" s="366"/>
      <c r="K24" s="354"/>
    </row>
    <row r="25" spans="1:11" ht="15.75">
      <c r="A25" s="372"/>
      <c r="B25" s="366"/>
      <c r="C25" s="375"/>
      <c r="D25" s="366"/>
      <c r="E25" s="375"/>
      <c r="F25" s="366"/>
      <c r="G25" s="375"/>
      <c r="H25" s="366"/>
      <c r="I25" s="375"/>
      <c r="J25" s="366"/>
      <c r="K25" s="354"/>
    </row>
    <row r="26" spans="1:11" ht="15.75">
      <c r="A26" s="372"/>
      <c r="B26" s="366"/>
      <c r="C26" s="375"/>
      <c r="D26" s="366"/>
      <c r="E26" s="375"/>
      <c r="F26" s="366"/>
      <c r="G26" s="375"/>
      <c r="H26" s="366"/>
      <c r="I26" s="375"/>
      <c r="J26" s="366"/>
      <c r="K26" s="354"/>
    </row>
    <row r="27" spans="1:11" ht="15.75">
      <c r="A27" s="372"/>
      <c r="B27" s="366"/>
      <c r="C27" s="372"/>
      <c r="D27" s="366"/>
      <c r="E27" s="372"/>
      <c r="F27" s="366"/>
      <c r="G27" s="375"/>
      <c r="H27" s="366"/>
      <c r="I27" s="375"/>
      <c r="J27" s="366"/>
      <c r="K27" s="354"/>
    </row>
    <row r="28" spans="1:11" ht="15.75">
      <c r="A28" s="369" t="s">
        <v>163</v>
      </c>
      <c r="B28" s="368">
        <f>SUM(B20:B27)</f>
        <v>1007</v>
      </c>
      <c r="C28" s="369" t="s">
        <v>163</v>
      </c>
      <c r="D28" s="368">
        <f>SUM(D20:D27)</f>
        <v>233</v>
      </c>
      <c r="E28" s="369" t="s">
        <v>163</v>
      </c>
      <c r="F28" s="444">
        <f>SUM(F20:F27)</f>
        <v>2865</v>
      </c>
      <c r="G28" s="369" t="s">
        <v>163</v>
      </c>
      <c r="H28" s="444">
        <f>SUM(H20:H27)</f>
        <v>0</v>
      </c>
      <c r="I28" s="369" t="s">
        <v>163</v>
      </c>
      <c r="J28" s="368">
        <f>SUM(J20:J27)</f>
        <v>991</v>
      </c>
      <c r="K28" s="368">
        <f>SUM(B28+D28+F28+H28+J28)</f>
        <v>5096</v>
      </c>
    </row>
    <row r="29" spans="1:12" ht="15.75">
      <c r="A29" s="369" t="s">
        <v>19</v>
      </c>
      <c r="B29" s="368">
        <f>B18-B28</f>
        <v>2755</v>
      </c>
      <c r="C29" s="369" t="s">
        <v>19</v>
      </c>
      <c r="D29" s="368">
        <f>D18-D28</f>
        <v>0</v>
      </c>
      <c r="E29" s="369" t="s">
        <v>19</v>
      </c>
      <c r="F29" s="368">
        <f>F18-F28</f>
        <v>87907</v>
      </c>
      <c r="G29" s="369" t="s">
        <v>19</v>
      </c>
      <c r="H29" s="368">
        <f>H18-H28</f>
        <v>5016</v>
      </c>
      <c r="I29" s="369" t="s">
        <v>19</v>
      </c>
      <c r="J29" s="368">
        <f>J18-J28</f>
        <v>19169</v>
      </c>
      <c r="K29" s="379">
        <f>SUM(B29+D29+F29+H29+J29)</f>
        <v>114847</v>
      </c>
      <c r="L29" s="75" t="s">
        <v>57</v>
      </c>
    </row>
    <row r="30" spans="1:12" ht="15.75">
      <c r="A30" s="369"/>
      <c r="B30" s="409">
        <f>IF(B29&lt;0,"See Tab B","")</f>
      </c>
      <c r="C30" s="369"/>
      <c r="D30" s="409">
        <f>IF(D29&lt;0,"See Tab B","")</f>
      </c>
      <c r="E30" s="369"/>
      <c r="F30" s="409">
        <f>IF(F29&lt;0,"See Tab B","")</f>
      </c>
      <c r="G30" s="128"/>
      <c r="H30" s="409">
        <f>IF(H29&lt;0,"See Tab B","")</f>
      </c>
      <c r="I30" s="128"/>
      <c r="J30" s="409">
        <f>IF(J29&lt;0,"See Tab B","")</f>
      </c>
      <c r="K30" s="379">
        <f>SUM(K7+K17-K28)</f>
        <v>114847</v>
      </c>
      <c r="L30" s="75" t="s">
        <v>57</v>
      </c>
    </row>
    <row r="31" spans="1:11" ht="15.75">
      <c r="A31" s="128"/>
      <c r="B31" s="380"/>
      <c r="C31" s="128"/>
      <c r="D31" s="354"/>
      <c r="E31" s="128"/>
      <c r="F31" s="128"/>
      <c r="G31" s="85" t="s">
        <v>58</v>
      </c>
      <c r="H31" s="85"/>
      <c r="I31" s="85"/>
      <c r="J31" s="85"/>
      <c r="K31" s="128"/>
    </row>
    <row r="32" spans="1:11" ht="15.75">
      <c r="A32" s="128"/>
      <c r="B32" s="380"/>
      <c r="C32" s="128"/>
      <c r="D32" s="128"/>
      <c r="E32" s="128"/>
      <c r="F32" s="128"/>
      <c r="G32" s="128"/>
      <c r="H32" s="128"/>
      <c r="I32" s="128"/>
      <c r="J32" s="128"/>
      <c r="K32" s="128"/>
    </row>
    <row r="33" spans="1:11" ht="15.75">
      <c r="A33" s="128"/>
      <c r="B33" s="380"/>
      <c r="C33" s="128"/>
      <c r="D33" s="128"/>
      <c r="E33" s="128"/>
      <c r="F33" s="128"/>
      <c r="G33" s="128"/>
      <c r="H33" s="128"/>
      <c r="I33" s="128"/>
      <c r="J33" s="128"/>
      <c r="K33" s="128"/>
    </row>
    <row r="34" spans="1:11" ht="15.75">
      <c r="A34" s="128"/>
      <c r="B34" s="380"/>
      <c r="C34" s="128"/>
      <c r="D34" s="128"/>
      <c r="E34" s="128"/>
      <c r="F34" s="128"/>
      <c r="G34" s="128"/>
      <c r="H34" s="128"/>
      <c r="I34" s="128"/>
      <c r="J34" s="128"/>
      <c r="K34" s="128"/>
    </row>
    <row r="35" spans="1:11" ht="15.75">
      <c r="A35" s="128"/>
      <c r="B35" s="380"/>
      <c r="C35" s="128"/>
      <c r="D35" s="128"/>
      <c r="E35" s="128"/>
      <c r="F35" s="128"/>
      <c r="G35" s="128"/>
      <c r="H35" s="128"/>
      <c r="I35" s="128"/>
      <c r="J35" s="128"/>
      <c r="K35" s="128"/>
    </row>
    <row r="36" spans="1:11" ht="15.75">
      <c r="A36" s="128"/>
      <c r="B36" s="380"/>
      <c r="C36" s="128"/>
      <c r="D36" s="128"/>
      <c r="E36" s="331" t="s">
        <v>182</v>
      </c>
      <c r="F36" s="348">
        <v>18</v>
      </c>
      <c r="G36" s="128"/>
      <c r="H36" s="128"/>
      <c r="I36" s="128"/>
      <c r="J36" s="128"/>
      <c r="K36" s="128"/>
    </row>
    <row r="37" ht="15.75">
      <c r="B37" s="381"/>
    </row>
    <row r="38" ht="15.75">
      <c r="B38" s="381"/>
    </row>
    <row r="39" ht="15.75">
      <c r="B39" s="381"/>
    </row>
    <row r="40" ht="15.75">
      <c r="B40" s="381"/>
    </row>
    <row r="41" ht="15.75">
      <c r="B41" s="381"/>
    </row>
    <row r="42" ht="15.75">
      <c r="B42" s="381"/>
    </row>
    <row r="43" ht="15.75">
      <c r="B43" s="381"/>
    </row>
    <row r="44" ht="15.75">
      <c r="B44" s="381"/>
    </row>
  </sheetData>
  <sheetProtection/>
  <mergeCells count="5">
    <mergeCell ref="I5:J5"/>
    <mergeCell ref="A5:B5"/>
    <mergeCell ref="C5:D5"/>
    <mergeCell ref="E5:F5"/>
    <mergeCell ref="G5:H5"/>
  </mergeCells>
  <printOptions/>
  <pageMargins left="0.75" right="0.75" top="1" bottom="0.63" header="0.5" footer="0.5"/>
  <pageSetup blackAndWhite="1" fitToHeight="1" fitToWidth="1" horizontalDpi="600" verticalDpi="600" orientation="landscape" scale="88" r:id="rId1"/>
  <headerFooter alignWithMargins="0">
    <oddHeader>&amp;RState of Kansas
County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4"/>
  <sheetViews>
    <sheetView view="pageBreakPreview" zoomScale="60" zoomScalePageLayoutView="0" workbookViewId="0" topLeftCell="A1">
      <selection activeCell="C47" sqref="C47"/>
    </sheetView>
  </sheetViews>
  <sheetFormatPr defaultColWidth="8.796875" defaultRowHeight="15"/>
  <cols>
    <col min="1" max="1" width="11.59765625" style="75" customWidth="1"/>
    <col min="2" max="2" width="7.3984375" style="75" customWidth="1"/>
    <col min="3" max="3" width="11.59765625" style="75" customWidth="1"/>
    <col min="4" max="4" width="7.3984375" style="75" customWidth="1"/>
    <col min="5" max="5" width="11.59765625" style="75" customWidth="1"/>
    <col min="6" max="6" width="7.3984375" style="75" customWidth="1"/>
    <col min="7" max="7" width="11.59765625" style="75" customWidth="1"/>
    <col min="8" max="8" width="7.3984375" style="75" customWidth="1"/>
    <col min="9" max="9" width="11.59765625" style="75" customWidth="1"/>
    <col min="10" max="11" width="8.8984375" style="75" customWidth="1"/>
    <col min="12" max="12" width="2.796875" style="75" customWidth="1"/>
    <col min="13" max="16384" width="8.8984375" style="75" customWidth="1"/>
  </cols>
  <sheetData>
    <row r="1" spans="1:11" ht="15.75">
      <c r="A1" s="147" t="str">
        <f>inputPrYr!$C$2</f>
        <v>Sheridan County</v>
      </c>
      <c r="B1" s="354"/>
      <c r="C1" s="128"/>
      <c r="D1" s="128"/>
      <c r="E1" s="128"/>
      <c r="F1" s="355" t="s">
        <v>22</v>
      </c>
      <c r="G1" s="128"/>
      <c r="H1" s="128"/>
      <c r="I1" s="128"/>
      <c r="J1" s="128"/>
      <c r="K1" s="128">
        <f>inputPrYr!$C$4</f>
        <v>2012</v>
      </c>
    </row>
    <row r="2" spans="1:11" ht="15.75">
      <c r="A2" s="128"/>
      <c r="B2" s="128"/>
      <c r="C2" s="128"/>
      <c r="D2" s="128"/>
      <c r="E2" s="128"/>
      <c r="F2" s="356" t="str">
        <f>CONCATENATE("(Only the actual budget year for ",K1-2," is to be shown)")</f>
        <v>(Only the actual budget year for 2010 is to be shown)</v>
      </c>
      <c r="G2" s="128"/>
      <c r="H2" s="128"/>
      <c r="I2" s="128"/>
      <c r="J2" s="128"/>
      <c r="K2" s="128"/>
    </row>
    <row r="3" spans="1:11" ht="15.75">
      <c r="A3" s="128" t="s">
        <v>23</v>
      </c>
      <c r="B3" s="128"/>
      <c r="C3" s="128"/>
      <c r="D3" s="128"/>
      <c r="E3" s="128"/>
      <c r="F3" s="354"/>
      <c r="G3" s="128"/>
      <c r="H3" s="128"/>
      <c r="I3" s="128"/>
      <c r="J3" s="128"/>
      <c r="K3" s="128"/>
    </row>
    <row r="4" spans="1:11" ht="15.75">
      <c r="A4" s="128" t="s">
        <v>13</v>
      </c>
      <c r="B4" s="128"/>
      <c r="C4" s="128" t="s">
        <v>14</v>
      </c>
      <c r="D4" s="128"/>
      <c r="E4" s="128" t="s">
        <v>15</v>
      </c>
      <c r="F4" s="354"/>
      <c r="G4" s="128" t="s">
        <v>16</v>
      </c>
      <c r="H4" s="128"/>
      <c r="I4" s="128" t="s">
        <v>17</v>
      </c>
      <c r="J4" s="128"/>
      <c r="K4" s="128"/>
    </row>
    <row r="5" spans="1:11" ht="15.75">
      <c r="A5" s="724" t="str">
        <f>IF(inputPrYr!B74&gt;" ",(inputPrYr!B74)," ")</f>
        <v>Concealed Carry Law</v>
      </c>
      <c r="B5" s="725"/>
      <c r="C5" s="724" t="str">
        <f>IF(inputPrYr!B75&gt;" ",(inputPrYr!B75)," ")</f>
        <v>Sexual Offender Registry</v>
      </c>
      <c r="D5" s="725"/>
      <c r="E5" s="724" t="str">
        <f>IF(inputPrYr!B76&gt;" ",(inputPrYr!B76)," ")</f>
        <v>FEMA Allocation of Road</v>
      </c>
      <c r="F5" s="725"/>
      <c r="G5" s="724" t="str">
        <f>IF(inputPrYr!B77&gt;" ",(inputPrYr!B77)," ")</f>
        <v>FEMA Mitigation Plan</v>
      </c>
      <c r="H5" s="725"/>
      <c r="I5" s="724" t="str">
        <f>IF(inputPrYr!B78&gt;" ",(inputPrYr!B78)," ")</f>
        <v> </v>
      </c>
      <c r="J5" s="725"/>
      <c r="K5" s="358"/>
    </row>
    <row r="6" spans="1:11" ht="15.75">
      <c r="A6" s="359" t="s">
        <v>18</v>
      </c>
      <c r="B6" s="360"/>
      <c r="C6" s="361" t="s">
        <v>18</v>
      </c>
      <c r="D6" s="362"/>
      <c r="E6" s="361" t="s">
        <v>18</v>
      </c>
      <c r="F6" s="357"/>
      <c r="G6" s="361" t="s">
        <v>18</v>
      </c>
      <c r="H6" s="363"/>
      <c r="I6" s="361" t="s">
        <v>18</v>
      </c>
      <c r="J6" s="128"/>
      <c r="K6" s="364" t="s">
        <v>128</v>
      </c>
    </row>
    <row r="7" spans="1:11" ht="15.75">
      <c r="A7" s="365" t="s">
        <v>82</v>
      </c>
      <c r="B7" s="366">
        <v>400</v>
      </c>
      <c r="C7" s="367" t="s">
        <v>82</v>
      </c>
      <c r="D7" s="366">
        <v>564</v>
      </c>
      <c r="E7" s="367" t="s">
        <v>82</v>
      </c>
      <c r="F7" s="366">
        <v>18414</v>
      </c>
      <c r="G7" s="367" t="s">
        <v>82</v>
      </c>
      <c r="H7" s="366">
        <v>0</v>
      </c>
      <c r="I7" s="367" t="s">
        <v>82</v>
      </c>
      <c r="J7" s="366"/>
      <c r="K7" s="368">
        <f>SUM(B7+D7+F7+H7+J7)</f>
        <v>19378</v>
      </c>
    </row>
    <row r="8" spans="1:11" ht="15.75">
      <c r="A8" s="369" t="s">
        <v>272</v>
      </c>
      <c r="B8" s="370"/>
      <c r="C8" s="369" t="s">
        <v>272</v>
      </c>
      <c r="D8" s="371"/>
      <c r="E8" s="369" t="s">
        <v>272</v>
      </c>
      <c r="F8" s="354"/>
      <c r="G8" s="369" t="s">
        <v>272</v>
      </c>
      <c r="H8" s="128"/>
      <c r="I8" s="369" t="s">
        <v>272</v>
      </c>
      <c r="J8" s="128"/>
      <c r="K8" s="354"/>
    </row>
    <row r="9" spans="1:11" ht="15.75">
      <c r="A9" s="372" t="s">
        <v>996</v>
      </c>
      <c r="B9" s="366">
        <v>240</v>
      </c>
      <c r="C9" s="372" t="s">
        <v>997</v>
      </c>
      <c r="D9" s="366">
        <v>300</v>
      </c>
      <c r="E9" s="372" t="s">
        <v>997</v>
      </c>
      <c r="F9" s="366"/>
      <c r="G9" s="372" t="s">
        <v>984</v>
      </c>
      <c r="H9" s="366">
        <v>21403</v>
      </c>
      <c r="I9" s="372"/>
      <c r="J9" s="366"/>
      <c r="K9" s="354"/>
    </row>
    <row r="10" spans="1:11" ht="15.75">
      <c r="A10" s="372"/>
      <c r="B10" s="366"/>
      <c r="C10" s="372"/>
      <c r="D10" s="366"/>
      <c r="E10" s="372"/>
      <c r="F10" s="366"/>
      <c r="G10" s="372"/>
      <c r="H10" s="366"/>
      <c r="I10" s="372"/>
      <c r="J10" s="366"/>
      <c r="K10" s="354"/>
    </row>
    <row r="11" spans="1:11" ht="15.75">
      <c r="A11" s="372"/>
      <c r="B11" s="366"/>
      <c r="C11" s="373"/>
      <c r="D11" s="366"/>
      <c r="E11" s="373"/>
      <c r="F11" s="366"/>
      <c r="G11" s="373"/>
      <c r="H11" s="366"/>
      <c r="I11" s="374"/>
      <c r="J11" s="366"/>
      <c r="K11" s="354"/>
    </row>
    <row r="12" spans="1:11" ht="15.75">
      <c r="A12" s="372"/>
      <c r="B12" s="366"/>
      <c r="C12" s="372"/>
      <c r="D12" s="366"/>
      <c r="E12" s="375"/>
      <c r="F12" s="366"/>
      <c r="G12" s="375"/>
      <c r="H12" s="366"/>
      <c r="I12" s="375"/>
      <c r="J12" s="366"/>
      <c r="K12" s="354"/>
    </row>
    <row r="13" spans="1:11" ht="15.75">
      <c r="A13" s="376"/>
      <c r="B13" s="366"/>
      <c r="C13" s="377"/>
      <c r="D13" s="366"/>
      <c r="E13" s="377"/>
      <c r="F13" s="366"/>
      <c r="G13" s="377"/>
      <c r="H13" s="366"/>
      <c r="I13" s="374"/>
      <c r="J13" s="366"/>
      <c r="K13" s="354"/>
    </row>
    <row r="14" spans="1:11" ht="15.75">
      <c r="A14" s="372"/>
      <c r="B14" s="366"/>
      <c r="C14" s="375"/>
      <c r="D14" s="366"/>
      <c r="E14" s="375"/>
      <c r="F14" s="366"/>
      <c r="G14" s="375"/>
      <c r="H14" s="366"/>
      <c r="I14" s="375"/>
      <c r="J14" s="366"/>
      <c r="K14" s="354"/>
    </row>
    <row r="15" spans="1:11" ht="15.75">
      <c r="A15" s="372"/>
      <c r="B15" s="366"/>
      <c r="C15" s="375"/>
      <c r="D15" s="366"/>
      <c r="E15" s="375"/>
      <c r="F15" s="366"/>
      <c r="G15" s="375"/>
      <c r="H15" s="366"/>
      <c r="I15" s="375"/>
      <c r="J15" s="366"/>
      <c r="K15" s="354"/>
    </row>
    <row r="16" spans="1:11" ht="15.75">
      <c r="A16" s="372"/>
      <c r="B16" s="366"/>
      <c r="C16" s="372"/>
      <c r="D16" s="366"/>
      <c r="E16" s="372"/>
      <c r="F16" s="366"/>
      <c r="G16" s="375"/>
      <c r="H16" s="366"/>
      <c r="I16" s="372"/>
      <c r="J16" s="366"/>
      <c r="K16" s="354"/>
    </row>
    <row r="17" spans="1:11" ht="15.75">
      <c r="A17" s="369" t="s">
        <v>158</v>
      </c>
      <c r="B17" s="368">
        <f>SUM(B9:B16)</f>
        <v>240</v>
      </c>
      <c r="C17" s="369" t="s">
        <v>158</v>
      </c>
      <c r="D17" s="368">
        <f>SUM(D9:D16)</f>
        <v>300</v>
      </c>
      <c r="E17" s="369" t="s">
        <v>158</v>
      </c>
      <c r="F17" s="444">
        <f>SUM(F9:F16)</f>
        <v>0</v>
      </c>
      <c r="G17" s="369" t="s">
        <v>158</v>
      </c>
      <c r="H17" s="368">
        <f>SUM(H9:H16)</f>
        <v>21403</v>
      </c>
      <c r="I17" s="369" t="s">
        <v>158</v>
      </c>
      <c r="J17" s="368">
        <f>SUM(J9:J16)</f>
        <v>0</v>
      </c>
      <c r="K17" s="368">
        <f>SUM(B17+D17+F17+H17+J17)</f>
        <v>21943</v>
      </c>
    </row>
    <row r="18" spans="1:11" ht="15.75">
      <c r="A18" s="369" t="s">
        <v>159</v>
      </c>
      <c r="B18" s="368">
        <f>SUM(B7+B17)</f>
        <v>640</v>
      </c>
      <c r="C18" s="369" t="s">
        <v>159</v>
      </c>
      <c r="D18" s="368">
        <f>SUM(D7+D17)</f>
        <v>864</v>
      </c>
      <c r="E18" s="369" t="s">
        <v>159</v>
      </c>
      <c r="F18" s="368">
        <f>SUM(F7+F17)</f>
        <v>18414</v>
      </c>
      <c r="G18" s="369" t="s">
        <v>159</v>
      </c>
      <c r="H18" s="368">
        <f>SUM(H7+H17)</f>
        <v>21403</v>
      </c>
      <c r="I18" s="369" t="s">
        <v>159</v>
      </c>
      <c r="J18" s="368">
        <f>SUM(J7+J17)</f>
        <v>0</v>
      </c>
      <c r="K18" s="368">
        <f>SUM(B18+D18+F18+H18+J18)</f>
        <v>41321</v>
      </c>
    </row>
    <row r="19" spans="1:11" ht="15.75">
      <c r="A19" s="369" t="s">
        <v>162</v>
      </c>
      <c r="B19" s="370"/>
      <c r="C19" s="369" t="s">
        <v>162</v>
      </c>
      <c r="D19" s="371"/>
      <c r="E19" s="369" t="s">
        <v>162</v>
      </c>
      <c r="F19" s="354"/>
      <c r="G19" s="369" t="s">
        <v>162</v>
      </c>
      <c r="H19" s="128"/>
      <c r="I19" s="369" t="s">
        <v>162</v>
      </c>
      <c r="J19" s="128"/>
      <c r="K19" s="354"/>
    </row>
    <row r="20" spans="1:11" ht="15.75">
      <c r="A20" s="372" t="s">
        <v>979</v>
      </c>
      <c r="B20" s="366"/>
      <c r="C20" s="375" t="s">
        <v>979</v>
      </c>
      <c r="D20" s="366">
        <v>702</v>
      </c>
      <c r="E20" s="375" t="s">
        <v>979</v>
      </c>
      <c r="F20" s="366"/>
      <c r="G20" s="375" t="s">
        <v>979</v>
      </c>
      <c r="H20" s="366">
        <v>21403</v>
      </c>
      <c r="I20" s="375"/>
      <c r="J20" s="366"/>
      <c r="K20" s="354"/>
    </row>
    <row r="21" spans="1:11" ht="15.75">
      <c r="A21" s="372"/>
      <c r="B21" s="366"/>
      <c r="C21" s="375"/>
      <c r="D21" s="366"/>
      <c r="E21" s="375"/>
      <c r="F21" s="366"/>
      <c r="G21" s="375"/>
      <c r="H21" s="366"/>
      <c r="I21" s="375"/>
      <c r="J21" s="366"/>
      <c r="K21" s="354"/>
    </row>
    <row r="22" spans="1:11" ht="15.75">
      <c r="A22" s="372"/>
      <c r="B22" s="366"/>
      <c r="C22" s="377"/>
      <c r="D22" s="366"/>
      <c r="E22" s="377"/>
      <c r="F22" s="366"/>
      <c r="G22" s="377"/>
      <c r="H22" s="366"/>
      <c r="I22" s="374"/>
      <c r="J22" s="366"/>
      <c r="K22" s="354"/>
    </row>
    <row r="23" spans="1:11" ht="15.75">
      <c r="A23" s="372"/>
      <c r="B23" s="366"/>
      <c r="C23" s="375"/>
      <c r="D23" s="366"/>
      <c r="E23" s="375"/>
      <c r="F23" s="366"/>
      <c r="G23" s="375"/>
      <c r="H23" s="366"/>
      <c r="I23" s="375"/>
      <c r="J23" s="366"/>
      <c r="K23" s="354"/>
    </row>
    <row r="24" spans="1:11" ht="15.75">
      <c r="A24" s="372"/>
      <c r="B24" s="366"/>
      <c r="C24" s="377"/>
      <c r="D24" s="366"/>
      <c r="E24" s="377"/>
      <c r="F24" s="366"/>
      <c r="G24" s="377"/>
      <c r="H24" s="366"/>
      <c r="I24" s="374"/>
      <c r="J24" s="366"/>
      <c r="K24" s="354"/>
    </row>
    <row r="25" spans="1:11" ht="15.75">
      <c r="A25" s="372"/>
      <c r="B25" s="366"/>
      <c r="C25" s="375"/>
      <c r="D25" s="366"/>
      <c r="E25" s="375"/>
      <c r="F25" s="366"/>
      <c r="G25" s="375"/>
      <c r="H25" s="366"/>
      <c r="I25" s="375"/>
      <c r="J25" s="366"/>
      <c r="K25" s="354"/>
    </row>
    <row r="26" spans="1:11" ht="15.75">
      <c r="A26" s="372"/>
      <c r="B26" s="366"/>
      <c r="C26" s="375"/>
      <c r="D26" s="366"/>
      <c r="E26" s="375"/>
      <c r="F26" s="366"/>
      <c r="G26" s="375"/>
      <c r="H26" s="366"/>
      <c r="I26" s="375"/>
      <c r="J26" s="366"/>
      <c r="K26" s="354"/>
    </row>
    <row r="27" spans="1:11" ht="15.75">
      <c r="A27" s="372"/>
      <c r="B27" s="366"/>
      <c r="C27" s="372"/>
      <c r="D27" s="366"/>
      <c r="E27" s="372"/>
      <c r="F27" s="366"/>
      <c r="G27" s="375"/>
      <c r="H27" s="366"/>
      <c r="I27" s="375"/>
      <c r="J27" s="366"/>
      <c r="K27" s="354"/>
    </row>
    <row r="28" spans="1:11" ht="15.75">
      <c r="A28" s="369" t="s">
        <v>163</v>
      </c>
      <c r="B28" s="368">
        <f>SUM(B20:B27)</f>
        <v>0</v>
      </c>
      <c r="C28" s="369" t="s">
        <v>163</v>
      </c>
      <c r="D28" s="368">
        <f>SUM(D20:D27)</f>
        <v>702</v>
      </c>
      <c r="E28" s="369" t="s">
        <v>163</v>
      </c>
      <c r="F28" s="444">
        <f>SUM(F20:F27)</f>
        <v>0</v>
      </c>
      <c r="G28" s="369" t="s">
        <v>163</v>
      </c>
      <c r="H28" s="444">
        <f>SUM(H20:H27)</f>
        <v>21403</v>
      </c>
      <c r="I28" s="369" t="s">
        <v>163</v>
      </c>
      <c r="J28" s="368">
        <f>SUM(J20:J27)</f>
        <v>0</v>
      </c>
      <c r="K28" s="368">
        <f>SUM(B28+D28+F28+H28+J28)</f>
        <v>22105</v>
      </c>
    </row>
    <row r="29" spans="1:12" ht="15.75">
      <c r="A29" s="369" t="s">
        <v>19</v>
      </c>
      <c r="B29" s="368">
        <f>B18-B28</f>
        <v>640</v>
      </c>
      <c r="C29" s="369" t="s">
        <v>19</v>
      </c>
      <c r="D29" s="368">
        <f>D18-D28</f>
        <v>162</v>
      </c>
      <c r="E29" s="369" t="s">
        <v>19</v>
      </c>
      <c r="F29" s="368">
        <f>F18-F28</f>
        <v>18414</v>
      </c>
      <c r="G29" s="369" t="s">
        <v>19</v>
      </c>
      <c r="H29" s="368">
        <f>H18-H28</f>
        <v>0</v>
      </c>
      <c r="I29" s="369" t="s">
        <v>19</v>
      </c>
      <c r="J29" s="368">
        <f>J18-J28</f>
        <v>0</v>
      </c>
      <c r="K29" s="379">
        <f>SUM(B29+D29+F29+H29+J29)</f>
        <v>19216</v>
      </c>
      <c r="L29" s="75" t="s">
        <v>57</v>
      </c>
    </row>
    <row r="30" spans="1:12" ht="15.75">
      <c r="A30" s="369"/>
      <c r="B30" s="409">
        <f>IF(B29&lt;0,"See Tab B","")</f>
      </c>
      <c r="C30" s="369"/>
      <c r="D30" s="409">
        <f>IF(D29&lt;0,"See Tab B","")</f>
      </c>
      <c r="E30" s="369"/>
      <c r="F30" s="409">
        <f>IF(F29&lt;0,"See Tab B","")</f>
      </c>
      <c r="G30" s="128"/>
      <c r="H30" s="409">
        <f>IF(H29&lt;0,"See Tab B","")</f>
      </c>
      <c r="I30" s="128"/>
      <c r="J30" s="409">
        <f>IF(J29&lt;0,"See Tab B","")</f>
      </c>
      <c r="K30" s="379">
        <f>SUM(K7+K17-K28)</f>
        <v>19216</v>
      </c>
      <c r="L30" s="75" t="s">
        <v>57</v>
      </c>
    </row>
    <row r="31" spans="1:11" ht="15.75">
      <c r="A31" s="128"/>
      <c r="B31" s="380"/>
      <c r="C31" s="128"/>
      <c r="D31" s="354"/>
      <c r="E31" s="128"/>
      <c r="F31" s="128"/>
      <c r="G31" s="85" t="s">
        <v>58</v>
      </c>
      <c r="H31" s="85"/>
      <c r="I31" s="85"/>
      <c r="J31" s="85"/>
      <c r="K31" s="128"/>
    </row>
    <row r="32" spans="1:11" ht="15.75">
      <c r="A32" s="128"/>
      <c r="B32" s="380"/>
      <c r="C32" s="128"/>
      <c r="D32" s="128"/>
      <c r="E32" s="128"/>
      <c r="F32" s="128"/>
      <c r="G32" s="128"/>
      <c r="H32" s="128"/>
      <c r="I32" s="128"/>
      <c r="J32" s="128"/>
      <c r="K32" s="128"/>
    </row>
    <row r="33" spans="1:11" ht="15.75">
      <c r="A33" s="128"/>
      <c r="B33" s="380"/>
      <c r="C33" s="128"/>
      <c r="D33" s="128"/>
      <c r="E33" s="128"/>
      <c r="F33" s="128"/>
      <c r="G33" s="128"/>
      <c r="H33" s="128"/>
      <c r="I33" s="128"/>
      <c r="J33" s="128"/>
      <c r="K33" s="128"/>
    </row>
    <row r="34" spans="1:11" ht="15.75">
      <c r="A34" s="128"/>
      <c r="B34" s="380"/>
      <c r="C34" s="128"/>
      <c r="D34" s="128"/>
      <c r="E34" s="128"/>
      <c r="F34" s="128"/>
      <c r="G34" s="128"/>
      <c r="H34" s="128"/>
      <c r="I34" s="128"/>
      <c r="J34" s="128"/>
      <c r="K34" s="128"/>
    </row>
    <row r="35" spans="1:11" ht="15.75">
      <c r="A35" s="128"/>
      <c r="B35" s="380"/>
      <c r="C35" s="128"/>
      <c r="D35" s="128"/>
      <c r="E35" s="128"/>
      <c r="F35" s="128"/>
      <c r="G35" s="128"/>
      <c r="H35" s="128"/>
      <c r="I35" s="128"/>
      <c r="J35" s="128"/>
      <c r="K35" s="128"/>
    </row>
    <row r="36" spans="1:11" ht="15.75">
      <c r="A36" s="128"/>
      <c r="B36" s="380"/>
      <c r="C36" s="128"/>
      <c r="D36" s="128"/>
      <c r="E36" s="331" t="s">
        <v>182</v>
      </c>
      <c r="F36" s="348">
        <v>19</v>
      </c>
      <c r="G36" s="128"/>
      <c r="H36" s="128"/>
      <c r="I36" s="128"/>
      <c r="J36" s="128"/>
      <c r="K36" s="128"/>
    </row>
    <row r="37" ht="15.75">
      <c r="B37" s="381"/>
    </row>
    <row r="38" ht="15.75">
      <c r="B38" s="381"/>
    </row>
    <row r="39" ht="15.75">
      <c r="B39" s="381"/>
    </row>
    <row r="40" ht="15.75">
      <c r="B40" s="381"/>
    </row>
    <row r="41" ht="15.75">
      <c r="B41" s="381"/>
    </row>
    <row r="42" ht="15.75">
      <c r="B42" s="381"/>
    </row>
    <row r="43" ht="15.75">
      <c r="B43" s="381"/>
    </row>
    <row r="44" ht="15.75">
      <c r="B44" s="381"/>
    </row>
  </sheetData>
  <sheetProtection/>
  <mergeCells count="5">
    <mergeCell ref="I5:J5"/>
    <mergeCell ref="A5:B5"/>
    <mergeCell ref="C5:D5"/>
    <mergeCell ref="E5:F5"/>
    <mergeCell ref="G5:H5"/>
  </mergeCells>
  <printOptions/>
  <pageMargins left="0.75" right="0.75" top="1" bottom="0.73" header="0.5" footer="0.5"/>
  <pageSetup blackAndWhite="1" fitToHeight="1" fitToWidth="1" horizontalDpi="600" verticalDpi="600" orientation="landscape" scale="87"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dimension ref="A1:A48"/>
  <sheetViews>
    <sheetView zoomScalePageLayoutView="0" workbookViewId="0" topLeftCell="A1">
      <selection activeCell="C47" sqref="C47"/>
    </sheetView>
  </sheetViews>
  <sheetFormatPr defaultColWidth="8.796875" defaultRowHeight="15"/>
  <cols>
    <col min="1" max="1" width="62.3984375" style="168" customWidth="1"/>
    <col min="2" max="16384" width="8.8984375" style="168" customWidth="1"/>
  </cols>
  <sheetData>
    <row r="1" ht="18.75">
      <c r="A1" s="407" t="s">
        <v>358</v>
      </c>
    </row>
    <row r="2" ht="15.75">
      <c r="A2" s="75"/>
    </row>
    <row r="3" ht="54.75" customHeight="1">
      <c r="A3" s="408" t="s">
        <v>359</v>
      </c>
    </row>
    <row r="4" ht="15.75">
      <c r="A4" s="543"/>
    </row>
    <row r="5" ht="51" customHeight="1">
      <c r="A5" s="408" t="s">
        <v>360</v>
      </c>
    </row>
    <row r="6" ht="15.75">
      <c r="A6" s="75"/>
    </row>
    <row r="7" ht="51.75" customHeight="1">
      <c r="A7" s="408" t="s">
        <v>361</v>
      </c>
    </row>
    <row r="8" ht="13.5" customHeight="1">
      <c r="A8" s="408"/>
    </row>
    <row r="9" ht="51.75" customHeight="1">
      <c r="A9" s="492" t="s">
        <v>787</v>
      </c>
    </row>
    <row r="10" ht="15.75">
      <c r="A10" s="543"/>
    </row>
    <row r="11" ht="36" customHeight="1">
      <c r="A11" s="408" t="s">
        <v>362</v>
      </c>
    </row>
    <row r="12" ht="15.75">
      <c r="A12" s="75"/>
    </row>
    <row r="13" ht="51.75" customHeight="1">
      <c r="A13" s="408" t="s">
        <v>363</v>
      </c>
    </row>
    <row r="14" ht="15.75">
      <c r="A14" s="543"/>
    </row>
    <row r="15" ht="33" customHeight="1">
      <c r="A15" s="408" t="s">
        <v>364</v>
      </c>
    </row>
    <row r="16" ht="15.75">
      <c r="A16" s="543"/>
    </row>
    <row r="17" ht="32.25" customHeight="1">
      <c r="A17" s="408" t="s">
        <v>365</v>
      </c>
    </row>
    <row r="18" ht="15.75">
      <c r="A18" s="543"/>
    </row>
    <row r="19" ht="53.25" customHeight="1">
      <c r="A19" s="408" t="s">
        <v>366</v>
      </c>
    </row>
    <row r="20" ht="15.75">
      <c r="A20" s="75"/>
    </row>
    <row r="21" ht="50.25" customHeight="1">
      <c r="A21" s="408" t="s">
        <v>367</v>
      </c>
    </row>
    <row r="22" ht="15.75">
      <c r="A22" s="75"/>
    </row>
    <row r="23" ht="15.75">
      <c r="A23" s="75"/>
    </row>
    <row r="24" ht="96" customHeight="1">
      <c r="A24" s="408" t="s">
        <v>368</v>
      </c>
    </row>
    <row r="25" ht="15.75">
      <c r="A25" s="75"/>
    </row>
    <row r="26" ht="30.75" customHeight="1">
      <c r="A26" s="78" t="s">
        <v>369</v>
      </c>
    </row>
    <row r="27" ht="15.75">
      <c r="A27" s="75"/>
    </row>
    <row r="28" ht="95.25" customHeight="1">
      <c r="A28" s="494" t="s">
        <v>788</v>
      </c>
    </row>
    <row r="29" ht="15.75">
      <c r="A29" s="75"/>
    </row>
    <row r="30" ht="34.5" customHeight="1">
      <c r="A30" s="408" t="s">
        <v>370</v>
      </c>
    </row>
    <row r="31" ht="15.75">
      <c r="A31" s="75"/>
    </row>
    <row r="32" ht="66" customHeight="1">
      <c r="A32" s="408" t="s">
        <v>371</v>
      </c>
    </row>
    <row r="33" ht="15.75">
      <c r="A33" s="543"/>
    </row>
    <row r="34" ht="57" customHeight="1">
      <c r="A34" s="408" t="s">
        <v>372</v>
      </c>
    </row>
    <row r="35" ht="15.75">
      <c r="A35" s="75"/>
    </row>
    <row r="36" ht="49.5" customHeight="1">
      <c r="A36" s="408" t="s">
        <v>373</v>
      </c>
    </row>
    <row r="37" ht="15.75">
      <c r="A37" s="75"/>
    </row>
    <row r="38" ht="74.25" customHeight="1">
      <c r="A38" s="494" t="s">
        <v>789</v>
      </c>
    </row>
    <row r="39" ht="15.75">
      <c r="A39" s="75"/>
    </row>
    <row r="40" ht="55.5" customHeight="1">
      <c r="A40" s="408" t="s">
        <v>374</v>
      </c>
    </row>
    <row r="41" ht="15.75">
      <c r="A41" s="75"/>
    </row>
    <row r="42" ht="53.25" customHeight="1">
      <c r="A42" s="408" t="s">
        <v>375</v>
      </c>
    </row>
    <row r="43" ht="15.75">
      <c r="A43" s="543"/>
    </row>
    <row r="44" ht="47.25" customHeight="1">
      <c r="A44" s="408" t="s">
        <v>376</v>
      </c>
    </row>
    <row r="45" ht="15.75">
      <c r="A45" s="543"/>
    </row>
    <row r="46" ht="49.5" customHeight="1">
      <c r="A46" s="408" t="s">
        <v>377</v>
      </c>
    </row>
    <row r="47" ht="15.75">
      <c r="A47" s="543"/>
    </row>
    <row r="48" ht="36" customHeight="1">
      <c r="A48" s="408" t="s">
        <v>378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7">
      <selection activeCell="C47" sqref="C47"/>
    </sheetView>
  </sheetViews>
  <sheetFormatPr defaultColWidth="8.796875" defaultRowHeight="15"/>
  <cols>
    <col min="1" max="1" width="20.296875" style="75" customWidth="1"/>
    <col min="2" max="2" width="15.09765625" style="75" customWidth="1"/>
    <col min="3" max="3" width="9.59765625" style="75" customWidth="1"/>
    <col min="4" max="4" width="15.09765625" style="75" customWidth="1"/>
    <col min="5" max="5" width="9.59765625" style="75" customWidth="1"/>
    <col min="6" max="6" width="15.09765625" style="75" customWidth="1"/>
    <col min="7" max="7" width="13.69921875" style="75" customWidth="1"/>
    <col min="8" max="8" width="9.59765625" style="75" customWidth="1"/>
    <col min="9" max="9" width="8.8984375" style="75" customWidth="1"/>
    <col min="10" max="10" width="12.3984375" style="75" customWidth="1"/>
    <col min="11" max="11" width="12.296875" style="75" customWidth="1"/>
    <col min="12" max="12" width="10.59765625" style="75" customWidth="1"/>
    <col min="13" max="13" width="12.09765625" style="75" customWidth="1"/>
    <col min="14" max="16384" width="8.8984375" style="75" customWidth="1"/>
  </cols>
  <sheetData>
    <row r="1" spans="1:8" ht="15.75">
      <c r="A1" s="88"/>
      <c r="B1" s="88"/>
      <c r="C1" s="88"/>
      <c r="D1" s="88"/>
      <c r="E1" s="88"/>
      <c r="F1" s="88"/>
      <c r="G1" s="88"/>
      <c r="H1" s="296">
        <f>inputPrYr!C4</f>
        <v>2012</v>
      </c>
    </row>
    <row r="2" spans="1:9" ht="15.75">
      <c r="A2" s="667" t="s">
        <v>226</v>
      </c>
      <c r="B2" s="667"/>
      <c r="C2" s="667"/>
      <c r="D2" s="667"/>
      <c r="E2" s="667"/>
      <c r="F2" s="667"/>
      <c r="G2" s="667"/>
      <c r="H2" s="667"/>
      <c r="I2" s="382"/>
    </row>
    <row r="3" spans="1:8" ht="15.75">
      <c r="A3" s="88"/>
      <c r="B3" s="88"/>
      <c r="C3" s="88"/>
      <c r="D3" s="88"/>
      <c r="E3" s="88"/>
      <c r="F3" s="88"/>
      <c r="G3" s="88"/>
      <c r="H3" s="88"/>
    </row>
    <row r="4" spans="1:8" ht="15.75">
      <c r="A4" s="718" t="s">
        <v>254</v>
      </c>
      <c r="B4" s="718"/>
      <c r="C4" s="718"/>
      <c r="D4" s="718"/>
      <c r="E4" s="718"/>
      <c r="F4" s="718"/>
      <c r="G4" s="718"/>
      <c r="H4" s="718"/>
    </row>
    <row r="5" spans="1:8" ht="15.75">
      <c r="A5" s="726" t="str">
        <f>inputPrYr!C2</f>
        <v>Sheridan County</v>
      </c>
      <c r="B5" s="726"/>
      <c r="C5" s="726"/>
      <c r="D5" s="726"/>
      <c r="E5" s="726"/>
      <c r="F5" s="726"/>
      <c r="G5" s="726"/>
      <c r="H5" s="726"/>
    </row>
    <row r="6" spans="1:8" ht="15.75">
      <c r="A6" s="727" t="str">
        <f>CONCATENATE("will meet on ",inputBudSum!B5," at ",inputBudSum!B7," at ",inputBudSum!B9," for the purpose of hearing and")</f>
        <v>will meet on  at  at the Commissioner's Room  for the purpose of hearing and</v>
      </c>
      <c r="B6" s="727"/>
      <c r="C6" s="727"/>
      <c r="D6" s="727"/>
      <c r="E6" s="727"/>
      <c r="F6" s="727"/>
      <c r="G6" s="727"/>
      <c r="H6" s="727"/>
    </row>
    <row r="7" spans="1:8" ht="15.75">
      <c r="A7" s="718" t="s">
        <v>645</v>
      </c>
      <c r="B7" s="718"/>
      <c r="C7" s="718"/>
      <c r="D7" s="718"/>
      <c r="E7" s="718"/>
      <c r="F7" s="718"/>
      <c r="G7" s="718"/>
      <c r="H7" s="718"/>
    </row>
    <row r="8" spans="1:8" ht="15.75">
      <c r="A8" s="727" t="str">
        <f>CONCATENATE("Detailed budget information is available at ",inputBudSum!B12," and will be available at this hearing.")</f>
        <v>Detailed budget information is available at the County Clerk's Office, Hoxie, Kansas and will be available at this hearing.</v>
      </c>
      <c r="B8" s="727"/>
      <c r="C8" s="727"/>
      <c r="D8" s="727"/>
      <c r="E8" s="727"/>
      <c r="F8" s="727"/>
      <c r="G8" s="727"/>
      <c r="H8" s="727"/>
    </row>
    <row r="9" spans="1:8" ht="15.75">
      <c r="A9" s="95" t="s">
        <v>227</v>
      </c>
      <c r="B9" s="96"/>
      <c r="C9" s="96"/>
      <c r="D9" s="220"/>
      <c r="E9" s="96"/>
      <c r="F9" s="96"/>
      <c r="G9" s="96"/>
      <c r="H9" s="96"/>
    </row>
    <row r="10" spans="1:8" ht="15.75">
      <c r="A10" s="718" t="str">
        <f>CONCATENATE("Proposed Budget ",H1," Expenditures and Amount of ",H1-1," Ad Valorem Tax establish the maximum limits of the ",H1," budget.")</f>
        <v>Proposed Budget 2012 Expenditures and Amount of 2011 Ad Valorem Tax establish the maximum limits of the 2012 budget.</v>
      </c>
      <c r="B10" s="718"/>
      <c r="C10" s="718"/>
      <c r="D10" s="718"/>
      <c r="E10" s="718"/>
      <c r="F10" s="718"/>
      <c r="G10" s="718"/>
      <c r="H10" s="718"/>
    </row>
    <row r="11" spans="1:8" ht="15.75">
      <c r="A11" s="718" t="s">
        <v>278</v>
      </c>
      <c r="B11" s="718"/>
      <c r="C11" s="718"/>
      <c r="D11" s="718"/>
      <c r="E11" s="718"/>
      <c r="F11" s="718"/>
      <c r="G11" s="718"/>
      <c r="H11" s="718"/>
    </row>
    <row r="12" spans="1:9" ht="15.75">
      <c r="A12" s="88"/>
      <c r="B12" s="88"/>
      <c r="C12" s="88"/>
      <c r="D12" s="88"/>
      <c r="E12" s="88"/>
      <c r="F12" s="88"/>
      <c r="G12" s="88"/>
      <c r="H12" s="88"/>
      <c r="I12" s="146"/>
    </row>
    <row r="13" spans="1:8" ht="15.75">
      <c r="A13" s="88"/>
      <c r="B13" s="383" t="str">
        <f>CONCATENATE("Prior Year Actual for ",H1-2,"")</f>
        <v>Prior Year Actual for 2010</v>
      </c>
      <c r="C13" s="223"/>
      <c r="D13" s="384" t="str">
        <f>CONCATENATE("Current Year Estimate for ",H1-1,"")</f>
        <v>Current Year Estimate for 2011</v>
      </c>
      <c r="E13" s="223"/>
      <c r="F13" s="221" t="str">
        <f>CONCATENATE("Proposed Budget Year for ",H1,"")</f>
        <v>Proposed Budget Year for 2012</v>
      </c>
      <c r="G13" s="222"/>
      <c r="H13" s="223"/>
    </row>
    <row r="14" spans="1:8" ht="18.75" customHeight="1">
      <c r="A14" s="87"/>
      <c r="B14" s="332"/>
      <c r="C14" s="224" t="s">
        <v>185</v>
      </c>
      <c r="D14" s="224"/>
      <c r="E14" s="224" t="s">
        <v>185</v>
      </c>
      <c r="F14" s="519" t="s">
        <v>666</v>
      </c>
      <c r="G14" s="693" t="str">
        <f>CONCATENATE("Amount of ",H1-1,"       Ad Valorem Tax")</f>
        <v>Amount of 2011       Ad Valorem Tax</v>
      </c>
      <c r="H14" s="224" t="s">
        <v>186</v>
      </c>
    </row>
    <row r="15" spans="1:8" ht="15.75">
      <c r="A15" s="116" t="s">
        <v>187</v>
      </c>
      <c r="B15" s="273" t="s">
        <v>137</v>
      </c>
      <c r="C15" s="273" t="s">
        <v>188</v>
      </c>
      <c r="D15" s="273" t="s">
        <v>137</v>
      </c>
      <c r="E15" s="273" t="s">
        <v>188</v>
      </c>
      <c r="F15" s="520" t="s">
        <v>667</v>
      </c>
      <c r="G15" s="673"/>
      <c r="H15" s="273" t="s">
        <v>188</v>
      </c>
    </row>
    <row r="16" spans="1:8" ht="15.75">
      <c r="A16" s="130" t="str">
        <f>inputPrYr!B16</f>
        <v>General</v>
      </c>
      <c r="B16" s="130">
        <f>IF(general!$C$93&lt;&gt;0,general!$C$93,"  ")</f>
        <v>1987284</v>
      </c>
      <c r="C16" s="385">
        <f>IF(inputPrYr!D90&lt;&gt;0,inputPrYr!D90,"  ")</f>
        <v>34.152</v>
      </c>
      <c r="D16" s="130">
        <f>IF(general!$D$93&lt;&gt;0,general!$D$93,"  ")</f>
        <v>2392038</v>
      </c>
      <c r="E16" s="385">
        <f>IF(inputPrYr!F16&lt;&gt;0,inputPrYr!F16,"  ")</f>
        <v>47.351</v>
      </c>
      <c r="F16" s="130">
        <f>IF(general!$E$93&lt;&gt;0,general!$E$93,"  ")</f>
        <v>2650960</v>
      </c>
      <c r="G16" s="130">
        <f>IF(general!$E$100&lt;&gt;0,general!$E$100,"  ")</f>
        <v>1510150.9394999999</v>
      </c>
      <c r="H16" s="385">
        <f>IF(general!E100&lt;&gt;0,ROUND(G16/$F$42*1000,3),"  ")</f>
        <v>34.305</v>
      </c>
    </row>
    <row r="17" spans="1:8" ht="15.75">
      <c r="A17" s="130" t="str">
        <f>inputPrYr!B18</f>
        <v>Road &amp; Bridge</v>
      </c>
      <c r="B17" s="130">
        <f>IF(road!$C$41&lt;&gt;0,road!$C$41,"  ")</f>
        <v>1360176</v>
      </c>
      <c r="C17" s="385">
        <f>IF(inputPrYr!D92&lt;&gt;0,inputPrYr!D92,"  ")</f>
        <v>35.232</v>
      </c>
      <c r="D17" s="130">
        <f>IF(road!$D$41&lt;&gt;0,road!$D$41,"  ")</f>
        <v>1975536</v>
      </c>
      <c r="E17" s="385">
        <f>IF(inputPrYr!F18&lt;&gt;0,inputPrYr!F18,"  ")</f>
        <v>22.134</v>
      </c>
      <c r="F17" s="130">
        <f>IF(road!$E$41&lt;&gt;0,road!$E$41,"  ")</f>
        <v>2063694</v>
      </c>
      <c r="G17" s="130">
        <f>IF(road!$E$48&lt;&gt;0,road!$E$48,"  ")</f>
        <v>1485928.16</v>
      </c>
      <c r="H17" s="385">
        <f>IF(road!E48&lt;&gt;0,ROUND(G17/$F$42*1000,3),"  ")</f>
        <v>33.755</v>
      </c>
    </row>
    <row r="18" spans="1:8" ht="15.75">
      <c r="A18" s="130" t="str">
        <f>IF((inputPrYr!$B19&gt;" "),(inputPrYr!$B19),"  ")</f>
        <v>Noxious Weed</v>
      </c>
      <c r="B18" s="130">
        <f>IF('levy page10'!$C$26&lt;&gt;0,'levy page10'!$C$26,"  ")</f>
        <v>110731</v>
      </c>
      <c r="C18" s="385">
        <f>IF(inputPrYr!D93&lt;&gt;0,inputPrYr!D93,"  ")</f>
        <v>2.025</v>
      </c>
      <c r="D18" s="130">
        <f>IF('levy page10'!$D$26&lt;&gt;0,'levy page10'!$D$26,"  ")</f>
        <v>130300</v>
      </c>
      <c r="E18" s="385">
        <f>IF(inputPrYr!F19&lt;&gt;0,inputPrYr!F19,"  ")</f>
        <v>1.897</v>
      </c>
      <c r="F18" s="130">
        <f>IF('levy page10'!$E$26&lt;&gt;0,'levy page10'!$E$26,"  ")</f>
        <v>149954</v>
      </c>
      <c r="G18" s="130">
        <f>IF('levy page10'!$E$33&lt;&gt;0,'levy page10'!$E$33,"  ")</f>
        <v>81510</v>
      </c>
      <c r="H18" s="385">
        <f>IF('levy page10'!E33&lt;&gt;0,ROUND(G18/$F$42*1000,3),"  ")</f>
        <v>1.852</v>
      </c>
    </row>
    <row r="19" spans="1:8" ht="15.75">
      <c r="A19" s="130" t="str">
        <f>IF((inputPrYr!$B20&gt;" "),(inputPrYr!$B20),"  ")</f>
        <v>Mental Health</v>
      </c>
      <c r="B19" s="130">
        <f>IF('levy page10'!$C$53&lt;&gt;0,'levy page10'!$C$53,"  ")</f>
        <v>16423</v>
      </c>
      <c r="C19" s="385">
        <f>IF(inputPrYr!D94&lt;&gt;0,inputPrYr!D94,"  ")</f>
        <v>0.435</v>
      </c>
      <c r="D19" s="130">
        <f>IF('levy page10'!$D$53&lt;&gt;0,'levy page10'!$D$53,"  ")</f>
        <v>16571</v>
      </c>
      <c r="E19" s="385">
        <f>IF(inputPrYr!F20&lt;&gt;0,inputPrYr!F20,"  ")</f>
        <v>0.389</v>
      </c>
      <c r="F19" s="130">
        <f>IF('levy page10'!$E$53&lt;&gt;0,'levy page10'!$E$53,"  ")</f>
        <v>16512</v>
      </c>
      <c r="G19" s="130">
        <f>IF('levy page10'!$E$60&lt;&gt;0,'levy page10'!$E$60,"  ")</f>
        <v>14708</v>
      </c>
      <c r="H19" s="385">
        <f>IF('levy page10'!E60&lt;&gt;0,ROUND(G19/$F$42*1000,3),"  ")</f>
        <v>0.334</v>
      </c>
    </row>
    <row r="20" spans="1:8" ht="15.75">
      <c r="A20" s="130" t="str">
        <f>IF((inputPrYr!$B21&gt;" "),(inputPrYr!$B21),"  ")</f>
        <v>Public Health</v>
      </c>
      <c r="B20" s="130">
        <f>IF('levy page11'!$C$30&lt;&gt;0,'levy page11'!$C$30,"  ")</f>
        <v>132302</v>
      </c>
      <c r="C20" s="385">
        <f>IF(inputPrYr!D95&lt;&gt;0,inputPrYr!D95,"  ")</f>
        <v>0.619</v>
      </c>
      <c r="D20" s="130">
        <f>IF('levy page11'!$D$30&lt;&gt;0,'levy page11'!$D$30,"  ")</f>
        <v>145466</v>
      </c>
      <c r="E20" s="385">
        <f>IF(inputPrYr!F21&lt;&gt;0,inputPrYr!F21,"  ")</f>
        <v>0.569</v>
      </c>
      <c r="F20" s="130">
        <f>IF('levy page11'!$E$30&lt;&gt;0,'levy page11'!$E$30,"  ")</f>
        <v>125825</v>
      </c>
      <c r="G20" s="130">
        <f>IF('levy page11'!$E$37&lt;&gt;0,'levy page11'!$E$37,"  ")</f>
        <v>22028</v>
      </c>
      <c r="H20" s="385">
        <f>IF('levy page11'!$E$37&lt;&gt;0,ROUND(G20/$F$42*1000,3),"  ")</f>
        <v>0.5</v>
      </c>
    </row>
    <row r="21" spans="1:8" ht="15.75">
      <c r="A21" s="130" t="str">
        <f>IF((inputPrYr!$B22&gt;" "),(inputPrYr!$B22),"  ")</f>
        <v>Council on Aging</v>
      </c>
      <c r="B21" s="130">
        <f>IF('levy page11'!$C$57&lt;&gt;0,'levy page11'!$C$57,"  ")</f>
        <v>29009</v>
      </c>
      <c r="C21" s="385">
        <f>IF(inputPrYr!D96&lt;&gt;0,inputPrYr!D96,"  ")</f>
        <v>0.75</v>
      </c>
      <c r="D21" s="130">
        <f>IF('levy page11'!$D$57&lt;&gt;0,'levy page11'!$D$57,"  ")</f>
        <v>31387</v>
      </c>
      <c r="E21" s="385">
        <f>IF(inputPrYr!F22&lt;&gt;0,inputPrYr!F22,"  ")</f>
        <v>0.751</v>
      </c>
      <c r="F21" s="130">
        <f>IF('levy page11'!$E$57&lt;&gt;0,'levy page11'!$E$57,"  ")</f>
        <v>36890</v>
      </c>
      <c r="G21" s="130">
        <f>IF('levy page11'!$E$64&lt;&gt;0,'levy page11'!$E$64,"  ")</f>
        <v>33043</v>
      </c>
      <c r="H21" s="385">
        <f>IF('levy page11'!$E$64&lt;&gt;0,ROUND(G21/$F$42*1000,3),"  ")</f>
        <v>0.751</v>
      </c>
    </row>
    <row r="22" spans="1:8" ht="15.75">
      <c r="A22" s="130" t="str">
        <f>IF((inputPrYr!$B23&gt;" "),(inputPrYr!$B23),"  ")</f>
        <v>Library Service Contract</v>
      </c>
      <c r="B22" s="130">
        <f>IF('levy page12'!$C$23&lt;&gt;0,'levy page12'!$C$23,"  ")</f>
        <v>16000</v>
      </c>
      <c r="C22" s="385">
        <f>IF(inputPrYr!D97&lt;&gt;0,inputPrYr!D97,"  ")</f>
        <v>0.42</v>
      </c>
      <c r="D22" s="130">
        <f>IF('levy page12'!$D$23&lt;&gt;0,'levy page12'!$D$23,"  ")</f>
        <v>17500</v>
      </c>
      <c r="E22" s="385">
        <f>IF(inputPrYr!F23&lt;&gt;0,inputPrYr!F23,"  ")</f>
        <v>0.416</v>
      </c>
      <c r="F22" s="130">
        <f>IF('levy page12'!$E$23&lt;&gt;0,'levy page12'!$E$23,"  ")</f>
        <v>17513</v>
      </c>
      <c r="G22" s="130">
        <f>IF('levy page12'!$E$30&lt;&gt;0,'levy page12'!$E$30,"  ")</f>
        <v>15560</v>
      </c>
      <c r="H22" s="385">
        <f>IF('levy page12'!$E$30&lt;&gt;0,ROUND(G22/$F$42*1000,3),"  ")</f>
        <v>0.353</v>
      </c>
    </row>
    <row r="23" spans="1:8" ht="15.75">
      <c r="A23" s="130" t="str">
        <f>IF((inputPrYr!$B24&gt;" "),(inputPrYr!$B24),"  ")</f>
        <v>Hospital Maintenance</v>
      </c>
      <c r="B23" s="130">
        <f>IF('levy page12'!$C$51&lt;&gt;0,'levy page12'!$C$51,"  ")</f>
        <v>743116</v>
      </c>
      <c r="C23" s="385">
        <f>IF(inputPrYr!D98&lt;&gt;0,inputPrYr!D98,"  ")</f>
        <v>10</v>
      </c>
      <c r="D23" s="130">
        <f>IF('levy page12'!$D$51&lt;&gt;0,'levy page12'!$D$51,"  ")</f>
        <v>755721</v>
      </c>
      <c r="E23" s="385">
        <f>IF(inputPrYr!F24&lt;&gt;0,inputPrYr!F24,"  ")</f>
        <v>9.93</v>
      </c>
      <c r="F23" s="130">
        <f>IF('levy page12'!$E$51&lt;&gt;0,'levy page12'!$E$51,"  ")</f>
        <v>858892</v>
      </c>
      <c r="G23" s="130">
        <f>IF('levy page12'!$E$58&lt;&gt;0,'levy page12'!$E$58,"  ")</f>
        <v>440584</v>
      </c>
      <c r="H23" s="385">
        <f>IF('levy page12'!$E$58&lt;&gt;0,ROUND(G23/$F$42*1000,3),"  ")</f>
        <v>10.008</v>
      </c>
    </row>
    <row r="24" spans="1:8" ht="15.75">
      <c r="A24" s="130" t="str">
        <f>IF((inputPrYr!$B25&gt;" "),(inputPrYr!$B25),"  ")</f>
        <v>Mental Retardation</v>
      </c>
      <c r="B24" s="130">
        <f>IF('levy page13'!$C$25&lt;&gt;0,'levy page13'!$C$25,"  ")</f>
        <v>42577</v>
      </c>
      <c r="C24" s="385">
        <f>IF(inputPrYr!D99&lt;&gt;0,inputPrYr!D99,"  ")</f>
        <v>1.115</v>
      </c>
      <c r="D24" s="130">
        <f>IF('levy page13'!$D$25&lt;&gt;0,'levy page13'!$D$25,"  ")</f>
        <v>44315</v>
      </c>
      <c r="E24" s="385">
        <f>IF(inputPrYr!F25&lt;&gt;0,inputPrYr!F25,"  ")</f>
        <v>1.048</v>
      </c>
      <c r="F24" s="130">
        <f>IF('levy page13'!$E$25&lt;&gt;0,'levy page13'!$E$25,"  ")</f>
        <v>46340</v>
      </c>
      <c r="G24" s="130">
        <f>IF('levy page13'!$E$32&lt;&gt;0,'levy page13'!$E$32,"  ")</f>
        <v>41635</v>
      </c>
      <c r="H24" s="385">
        <f>IF('levy page13'!$E$32&lt;&gt;0,ROUND(G24/$F$42*1000,3),"  ")</f>
        <v>0.946</v>
      </c>
    </row>
    <row r="25" spans="1:8" ht="15.75">
      <c r="A25" s="130" t="str">
        <f>IF((inputPrYr!$B26&gt;" "),(inputPrYr!$B26),"  ")</f>
        <v>  </v>
      </c>
      <c r="B25" s="130" t="str">
        <f>IF('levy page13'!$C$46&lt;&gt;0,'levy page13'!$C$46,"  ")</f>
        <v>  </v>
      </c>
      <c r="C25" s="385" t="str">
        <f>IF(inputPrYr!D100&lt;&gt;0,inputPrYr!D100,"  ")</f>
        <v>  </v>
      </c>
      <c r="D25" s="130" t="str">
        <f>IF('levy page13'!$D$46&lt;&gt;0,'levy page13'!$D$46,"  ")</f>
        <v>  </v>
      </c>
      <c r="E25" s="385" t="str">
        <f>IF(inputPrYr!F26&lt;&gt;0,inputPrYr!F26,"  ")</f>
        <v>  </v>
      </c>
      <c r="F25" s="130" t="str">
        <f>IF('levy page13'!$E$46&lt;&gt;0,'levy page13'!$E$46,"  ")</f>
        <v>  </v>
      </c>
      <c r="G25" s="130" t="str">
        <f>IF('levy page13'!$E$53&lt;&gt;0,'levy page13'!$E$53,"  ")</f>
        <v>  </v>
      </c>
      <c r="H25" s="385" t="str">
        <f>IF('levy page13'!$E$53&lt;&gt;0,ROUND(G25/$F$42*1000,3),"  ")</f>
        <v>  </v>
      </c>
    </row>
    <row r="26" spans="1:13" ht="15.75">
      <c r="A26" s="130" t="str">
        <f>IF((inputPrYr!$B43&gt;" "),(inputPrYr!$B43),"  ")</f>
        <v>Noxious Weed Capital Outlay</v>
      </c>
      <c r="B26" s="130" t="str">
        <f>IF('no levy page21'!$C$22&lt;&gt;0,'no levy page21'!$C$22,"  ")</f>
        <v>  </v>
      </c>
      <c r="C26" s="111"/>
      <c r="D26" s="130" t="str">
        <f>IF('no levy page21'!$D$22&lt;&gt;0,'no levy page21'!$D$22,"  ")</f>
        <v>  </v>
      </c>
      <c r="E26" s="111"/>
      <c r="F26" s="130">
        <f>IF('no levy page21'!$E$22&lt;&gt;0,'no levy page21'!$E$22,"  ")</f>
        <v>66088</v>
      </c>
      <c r="G26" s="130"/>
      <c r="H26" s="107"/>
      <c r="J26" s="728" t="str">
        <f>CONCATENATE("Estimated Value Of One Mill For ",H1,"")</f>
        <v>Estimated Value Of One Mill For 2012</v>
      </c>
      <c r="K26" s="729"/>
      <c r="L26" s="729"/>
      <c r="M26" s="730"/>
    </row>
    <row r="27" spans="1:13" ht="15.75">
      <c r="A27" s="130" t="str">
        <f>IF((inputPrYr!$B44&gt;" "),(inputPrYr!$B44),"  ")</f>
        <v>911 Emergency Tax</v>
      </c>
      <c r="B27" s="130">
        <f>IF('no levy page21'!$C$48&lt;&gt;0,'no levy page21'!$C$48,"  ")</f>
        <v>14838</v>
      </c>
      <c r="C27" s="111"/>
      <c r="D27" s="130">
        <f>IF('no levy page21'!$D$48&lt;&gt;0,'no levy page21'!$D$48,"  ")</f>
        <v>15618</v>
      </c>
      <c r="E27" s="111"/>
      <c r="F27" s="130">
        <f>IF('no levy page21'!$E$48&lt;&gt;0,'no levy page21'!$E$48,"  ")</f>
        <v>34024</v>
      </c>
      <c r="G27" s="130"/>
      <c r="H27" s="107"/>
      <c r="J27" s="525"/>
      <c r="K27" s="526"/>
      <c r="L27" s="526"/>
      <c r="M27" s="527"/>
    </row>
    <row r="28" spans="1:13" ht="15.75">
      <c r="A28" s="130" t="str">
        <f>IF((inputPrYr!$B45&gt;" "),(inputPrYr!$B45),"  ")</f>
        <v>Parks &amp; Recreation</v>
      </c>
      <c r="B28" s="130" t="str">
        <f>IF('no levy page22'!$C$22&lt;&gt;0,'no levy page22'!$C$22,"  ")</f>
        <v>  </v>
      </c>
      <c r="C28" s="111"/>
      <c r="D28" s="130">
        <f>IF('no levy page22'!$D$22&lt;&gt;0,'no levy page22'!$D$22,"  ")</f>
        <v>1600</v>
      </c>
      <c r="E28" s="111"/>
      <c r="F28" s="130">
        <f>IF('no levy page22'!$E$22&lt;&gt;0,'no levy page22'!$E$22,"  ")</f>
        <v>3800</v>
      </c>
      <c r="G28" s="130"/>
      <c r="H28" s="107"/>
      <c r="J28" s="528" t="s">
        <v>680</v>
      </c>
      <c r="K28" s="529"/>
      <c r="L28" s="529"/>
      <c r="M28" s="530">
        <f>ROUND(F42/1000,0)</f>
        <v>44021</v>
      </c>
    </row>
    <row r="29" spans="1:8" ht="15.75">
      <c r="A29" s="130" t="str">
        <f>IF((inputPrYr!$B46&gt;" "),(inputPrYr!$B46),"  ")</f>
        <v>Solid Waste Disposal</v>
      </c>
      <c r="B29" s="130">
        <f>IF('no levy page22'!$C$48&lt;&gt;0,'no levy page22'!$C$48,"  ")</f>
        <v>71301</v>
      </c>
      <c r="C29" s="111"/>
      <c r="D29" s="130">
        <f>IF('no levy page22'!$D$48&lt;&gt;0,'no levy page22'!$D$48,"  ")</f>
        <v>51000</v>
      </c>
      <c r="E29" s="111"/>
      <c r="F29" s="130">
        <f>IF('no levy page22'!$E$48&lt;&gt;0,'no levy page22'!$E$48,"  ")</f>
        <v>136369</v>
      </c>
      <c r="G29" s="130"/>
      <c r="H29" s="107"/>
    </row>
    <row r="30" spans="1:13" ht="15.75">
      <c r="A30" s="130" t="str">
        <f>IF((inputPrYr!$B47&gt;" "),(inputPrYr!$B47),"  ")</f>
        <v>Alcohol Program</v>
      </c>
      <c r="B30" s="130">
        <f>IF('no levy page23'!$C$23&lt;&gt;0,'no levy page23'!$C$23,"  ")</f>
        <v>1900</v>
      </c>
      <c r="C30" s="111"/>
      <c r="D30" s="130">
        <f>IF('no levy page23'!$D$23&lt;&gt;0,'no levy page23'!$D$23,"  ")</f>
        <v>1500</v>
      </c>
      <c r="E30" s="111"/>
      <c r="F30" s="130">
        <f>IF('no levy page23'!$E$23&lt;&gt;0,'no levy page23'!$E$23,"  ")</f>
        <v>34605</v>
      </c>
      <c r="G30" s="130"/>
      <c r="H30" s="107"/>
      <c r="J30" s="728" t="str">
        <f>CONCATENATE("Want The Mill Rate The Same As For ",H1-1,"?")</f>
        <v>Want The Mill Rate The Same As For 2011?</v>
      </c>
      <c r="K30" s="729"/>
      <c r="L30" s="729"/>
      <c r="M30" s="730"/>
    </row>
    <row r="31" spans="1:13" ht="15.75">
      <c r="A31" s="130" t="str">
        <f>IF((inputPrYr!$B48&gt;" "),(inputPrYr!$B48),"  ")</f>
        <v>Special Ambulance</v>
      </c>
      <c r="B31" s="130">
        <f>IF('no levy page23'!$C$48&lt;&gt;0,'no levy page23'!$C$48,"  ")</f>
        <v>143147</v>
      </c>
      <c r="C31" s="111"/>
      <c r="D31" s="130">
        <f>IF('no levy page23'!$D$48&lt;&gt;0,'no levy page23'!$D$48,"  ")</f>
        <v>5000</v>
      </c>
      <c r="E31" s="111"/>
      <c r="F31" s="130">
        <f>IF('no levy page23'!$E$48&lt;&gt;0,'no levy page23'!$E$48,"  ")</f>
        <v>230494</v>
      </c>
      <c r="G31" s="130"/>
      <c r="H31" s="107"/>
      <c r="J31" s="532"/>
      <c r="K31" s="526"/>
      <c r="L31" s="526"/>
      <c r="M31" s="533"/>
    </row>
    <row r="32" spans="1:13" ht="15.75">
      <c r="A32" s="130" t="str">
        <f>IF((inputPrYr!$B49&gt;" "),(inputPrYr!$B49),"  ")</f>
        <v>911 Wireless</v>
      </c>
      <c r="B32" s="130">
        <f>IF('no levy page24'!$C$23&lt;&gt;0,'no levy page24'!$C$23,"  ")</f>
        <v>6400</v>
      </c>
      <c r="C32" s="111"/>
      <c r="D32" s="130">
        <f>IF('no levy page24'!$D$23&lt;&gt;0,'no levy page24'!$D$23,"  ")</f>
        <v>30000</v>
      </c>
      <c r="E32" s="111"/>
      <c r="F32" s="130">
        <f>IF('no levy page24'!$E$23&lt;&gt;0,'no levy page24'!$E$23,"  ")</f>
        <v>72741</v>
      </c>
      <c r="G32" s="130"/>
      <c r="H32" s="107"/>
      <c r="J32" s="532" t="str">
        <f>CONCATENATE("",H1-1," Mill Rate Was:")</f>
        <v>2011 Mill Rate Was:</v>
      </c>
      <c r="K32" s="526"/>
      <c r="L32" s="526"/>
      <c r="M32" s="534">
        <f>E38</f>
        <v>84.48500000000001</v>
      </c>
    </row>
    <row r="33" spans="1:13" ht="15.75">
      <c r="A33" s="130" t="str">
        <f>IF((inputPrYr!$B50&gt;" "),(inputPrYr!$B50),"  ")</f>
        <v>  </v>
      </c>
      <c r="B33" s="130" t="str">
        <f>IF('no levy page24'!$C$49&lt;&gt;0,'no levy page24'!$C$49,"  ")</f>
        <v>  </v>
      </c>
      <c r="C33" s="111"/>
      <c r="D33" s="130" t="str">
        <f>IF('no levy page24'!$D$49&lt;&gt;0,'no levy page24'!$D$49,"  ")</f>
        <v>  </v>
      </c>
      <c r="E33" s="111"/>
      <c r="F33" s="130" t="str">
        <f>IF('no levy page24'!$E$49&lt;&gt;0,'no levy page24'!$E$49,"  ")</f>
        <v>  </v>
      </c>
      <c r="G33" s="130"/>
      <c r="H33" s="107"/>
      <c r="J33" s="535" t="str">
        <f>CONCATENATE("",H1," Tax Levy Fund Expenditures Must Be")</f>
        <v>2012 Tax Levy Fund Expenditures Must Be</v>
      </c>
      <c r="K33" s="536"/>
      <c r="L33" s="536"/>
      <c r="M33" s="533"/>
    </row>
    <row r="34" spans="1:13" ht="15.75">
      <c r="A34" s="195" t="str">
        <f>IF((inputPrYr!$B62&gt;"  "),(nonbudA!$A3),"  ")</f>
        <v>Non-Budgeted Funds-A</v>
      </c>
      <c r="B34" s="130">
        <f>IF(nonbudA!$K$28&lt;&gt;0,nonbudA!$K$28,"  ")</f>
        <v>907076</v>
      </c>
      <c r="C34" s="111"/>
      <c r="D34" s="130"/>
      <c r="E34" s="111"/>
      <c r="F34" s="130"/>
      <c r="G34" s="130"/>
      <c r="H34" s="107"/>
      <c r="J34" s="535" t="str">
        <f>IF(M34&gt;0,"Increased By:","")</f>
        <v>Increased By:</v>
      </c>
      <c r="K34" s="536"/>
      <c r="L34" s="536"/>
      <c r="M34" s="634">
        <f>IF(M41&lt;0,M41*-1,0)</f>
        <v>74004.90050000045</v>
      </c>
    </row>
    <row r="35" spans="1:13" ht="15.75">
      <c r="A35" s="195" t="str">
        <f>IF((inputPrYr!$B68&gt;"  "),(nonbudB!$A3),"  ")</f>
        <v>Non-Budgeted Funds-B</v>
      </c>
      <c r="B35" s="130">
        <f>IF(nonbudB!$K$28&lt;&gt;0,nonbudB!$K$28,"  ")</f>
        <v>5096</v>
      </c>
      <c r="C35" s="111"/>
      <c r="D35" s="130"/>
      <c r="E35" s="111"/>
      <c r="F35" s="130"/>
      <c r="G35" s="130"/>
      <c r="H35" s="107"/>
      <c r="J35" s="635">
        <f>IF(M35&lt;0,"Reduced By:","")</f>
      </c>
      <c r="K35" s="636"/>
      <c r="L35" s="636"/>
      <c r="M35" s="637">
        <f>IF(M41&gt;0,M41*-1,0)</f>
        <v>0</v>
      </c>
    </row>
    <row r="36" spans="1:13" ht="15.75">
      <c r="A36" s="195" t="str">
        <f>IF((inputPrYr!$B74&gt;"  "),(nonbudC!$A3),"  ")</f>
        <v>Non-Budgeted Funds-C</v>
      </c>
      <c r="B36" s="130">
        <f>IF(nonbudC!$K$28&lt;&gt;0,nonbudC!$K$28,"  ")</f>
        <v>22105</v>
      </c>
      <c r="C36" s="111"/>
      <c r="D36" s="130"/>
      <c r="E36" s="111"/>
      <c r="F36" s="130"/>
      <c r="G36" s="130"/>
      <c r="H36" s="107"/>
      <c r="J36" s="539"/>
      <c r="K36" s="539"/>
      <c r="L36" s="539"/>
      <c r="M36" s="539"/>
    </row>
    <row r="37" spans="1:13" ht="16.5" thickBot="1">
      <c r="A37" s="195" t="str">
        <f>IF((inputPrYr!$B80&gt;"  "),(#REF!),"  ")</f>
        <v>  </v>
      </c>
      <c r="B37" s="514"/>
      <c r="C37" s="513"/>
      <c r="D37" s="514"/>
      <c r="E37" s="513"/>
      <c r="F37" s="514"/>
      <c r="G37" s="514"/>
      <c r="H37" s="512"/>
      <c r="J37" s="728" t="str">
        <f>CONCATENATE("Impact On Keeping The Same Mill Rate As For ",H1-1,"")</f>
        <v>Impact On Keeping The Same Mill Rate As For 2011</v>
      </c>
      <c r="K37" s="729"/>
      <c r="L37" s="729"/>
      <c r="M37" s="730"/>
    </row>
    <row r="38" spans="1:13" ht="15.75">
      <c r="A38" s="106" t="s">
        <v>155</v>
      </c>
      <c r="B38" s="517">
        <f>SUM(B16:B37)</f>
        <v>5609481</v>
      </c>
      <c r="C38" s="515">
        <f>SUM(C16:C25)</f>
        <v>84.748</v>
      </c>
      <c r="D38" s="517">
        <f>SUM(D16:D37)</f>
        <v>5613552</v>
      </c>
      <c r="E38" s="515">
        <f>SUM(E16:E25)</f>
        <v>84.48500000000001</v>
      </c>
      <c r="F38" s="517">
        <f>SUM(F16:F37)</f>
        <v>6544701</v>
      </c>
      <c r="G38" s="517">
        <f>SUM(G16:G25)</f>
        <v>3645147.0994999995</v>
      </c>
      <c r="H38" s="515">
        <f>SUM(H16:H25)</f>
        <v>82.804</v>
      </c>
      <c r="J38" s="532"/>
      <c r="K38" s="526"/>
      <c r="L38" s="526"/>
      <c r="M38" s="533"/>
    </row>
    <row r="39" spans="1:13" ht="15.75">
      <c r="A39" s="87" t="s">
        <v>189</v>
      </c>
      <c r="B39" s="386">
        <f>transfers!C29</f>
        <v>605924</v>
      </c>
      <c r="C39" s="387"/>
      <c r="D39" s="386">
        <f>transfers!D29</f>
        <v>520000</v>
      </c>
      <c r="E39" s="342"/>
      <c r="F39" s="386">
        <f>transfers!E29</f>
        <v>672500</v>
      </c>
      <c r="G39" s="88"/>
      <c r="H39" s="128"/>
      <c r="J39" s="532" t="str">
        <f>CONCATENATE("",H1," Ad Valorem Tax Revenue:")</f>
        <v>2012 Ad Valorem Tax Revenue:</v>
      </c>
      <c r="K39" s="526"/>
      <c r="L39" s="526"/>
      <c r="M39" s="527">
        <f>G38</f>
        <v>3645147.0994999995</v>
      </c>
    </row>
    <row r="40" spans="1:13" ht="16.5" thickBot="1">
      <c r="A40" s="87" t="s">
        <v>190</v>
      </c>
      <c r="B40" s="389">
        <f>B38-B39</f>
        <v>5003557</v>
      </c>
      <c r="C40" s="88"/>
      <c r="D40" s="389">
        <f>D38-D39</f>
        <v>5093552</v>
      </c>
      <c r="E40" s="387"/>
      <c r="F40" s="389">
        <f>F38-F39</f>
        <v>5872201</v>
      </c>
      <c r="G40" s="88"/>
      <c r="H40" s="128"/>
      <c r="J40" s="532" t="str">
        <f>CONCATENATE("",H1-1," Ad Valorem Tax Revenue:")</f>
        <v>2011 Ad Valorem Tax Revenue:</v>
      </c>
      <c r="K40" s="526"/>
      <c r="L40" s="526"/>
      <c r="M40" s="540">
        <f>ROUND(F42*M32/1000,0)</f>
        <v>3719152</v>
      </c>
    </row>
    <row r="41" spans="1:13" ht="16.5" thickTop="1">
      <c r="A41" s="87" t="s">
        <v>191</v>
      </c>
      <c r="B41" s="517">
        <f>inputPrYr!F117</f>
        <v>2861342</v>
      </c>
      <c r="C41" s="88"/>
      <c r="D41" s="517">
        <f>inputPrYr!E41</f>
        <v>3149161</v>
      </c>
      <c r="E41" s="88"/>
      <c r="F41" s="516" t="s">
        <v>65</v>
      </c>
      <c r="G41" s="88"/>
      <c r="H41" s="128"/>
      <c r="J41" s="537" t="s">
        <v>681</v>
      </c>
      <c r="K41" s="538"/>
      <c r="L41" s="538"/>
      <c r="M41" s="530">
        <f>SUM(M39-M40)</f>
        <v>-74004.90050000045</v>
      </c>
    </row>
    <row r="42" spans="1:13" ht="15.75">
      <c r="A42" s="87" t="s">
        <v>192</v>
      </c>
      <c r="B42" s="130">
        <f>inputPrYr!F118</f>
        <v>33763228</v>
      </c>
      <c r="C42" s="88"/>
      <c r="D42" s="130">
        <f>inputPrYr!F85</f>
        <v>37275050</v>
      </c>
      <c r="E42" s="88"/>
      <c r="F42" s="130">
        <f>inputOth!E6</f>
        <v>44021447</v>
      </c>
      <c r="G42" s="88"/>
      <c r="H42" s="128"/>
      <c r="J42" s="531"/>
      <c r="K42" s="531"/>
      <c r="L42" s="531"/>
      <c r="M42" s="539"/>
    </row>
    <row r="43" spans="1:13" ht="15.75">
      <c r="A43" s="88"/>
      <c r="B43" s="88"/>
      <c r="C43" s="88"/>
      <c r="D43" s="88"/>
      <c r="E43" s="88"/>
      <c r="F43" s="88"/>
      <c r="G43" s="88"/>
      <c r="H43" s="128"/>
      <c r="J43" s="728" t="s">
        <v>682</v>
      </c>
      <c r="K43" s="731"/>
      <c r="L43" s="731"/>
      <c r="M43" s="732"/>
    </row>
    <row r="44" spans="1:13" ht="15.75">
      <c r="A44" s="87" t="s">
        <v>193</v>
      </c>
      <c r="B44" s="88"/>
      <c r="C44" s="88"/>
      <c r="D44" s="88"/>
      <c r="E44" s="88"/>
      <c r="F44" s="88"/>
      <c r="G44" s="88"/>
      <c r="H44" s="140"/>
      <c r="J44" s="532"/>
      <c r="K44" s="526"/>
      <c r="L44" s="526"/>
      <c r="M44" s="533"/>
    </row>
    <row r="45" spans="1:13" ht="15.75">
      <c r="A45" s="87" t="s">
        <v>194</v>
      </c>
      <c r="B45" s="388">
        <f>H1-3</f>
        <v>2009</v>
      </c>
      <c r="C45" s="88"/>
      <c r="D45" s="388">
        <f>H1-2</f>
        <v>2010</v>
      </c>
      <c r="E45" s="88"/>
      <c r="F45" s="388">
        <f>H1-1</f>
        <v>2011</v>
      </c>
      <c r="G45" s="88"/>
      <c r="H45" s="140"/>
      <c r="J45" s="532" t="str">
        <f>CONCATENATE("Current ",H1," Estimated Mill Rate:")</f>
        <v>Current 2012 Estimated Mill Rate:</v>
      </c>
      <c r="K45" s="526"/>
      <c r="L45" s="526"/>
      <c r="M45" s="534">
        <f>H38</f>
        <v>82.804</v>
      </c>
    </row>
    <row r="46" spans="1:13" ht="15.75">
      <c r="A46" s="87" t="s">
        <v>195</v>
      </c>
      <c r="B46" s="130">
        <f>inputPrYr!D122</f>
        <v>0</v>
      </c>
      <c r="C46" s="88"/>
      <c r="D46" s="130">
        <f>inputPrYr!E122</f>
        <v>0</v>
      </c>
      <c r="E46" s="88"/>
      <c r="F46" s="130">
        <f>debt!F19</f>
        <v>0</v>
      </c>
      <c r="G46" s="88"/>
      <c r="H46" s="140"/>
      <c r="J46" s="532" t="str">
        <f>CONCATENATE("Desired ",H1," Mill Rate:")</f>
        <v>Desired 2012 Mill Rate:</v>
      </c>
      <c r="K46" s="526"/>
      <c r="L46" s="526"/>
      <c r="M46" s="541">
        <v>0</v>
      </c>
    </row>
    <row r="47" spans="1:13" ht="15.75">
      <c r="A47" s="87" t="s">
        <v>196</v>
      </c>
      <c r="B47" s="130">
        <f>inputPrYr!D123</f>
        <v>0</v>
      </c>
      <c r="C47" s="88"/>
      <c r="D47" s="130">
        <f>inputPrYr!E123</f>
        <v>0</v>
      </c>
      <c r="E47" s="88"/>
      <c r="F47" s="130">
        <f>debt!F27</f>
        <v>0</v>
      </c>
      <c r="G47" s="88"/>
      <c r="H47" s="140"/>
      <c r="J47" s="532" t="str">
        <f>CONCATENATE("",H1," Ad Valorem Tax:")</f>
        <v>2012 Ad Valorem Tax:</v>
      </c>
      <c r="K47" s="526"/>
      <c r="L47" s="526"/>
      <c r="M47" s="540">
        <f>ROUND(F42*M46/1000,0)</f>
        <v>0</v>
      </c>
    </row>
    <row r="48" spans="1:13" ht="15.75">
      <c r="A48" s="87" t="s">
        <v>181</v>
      </c>
      <c r="B48" s="130">
        <f>inputPrYr!D124</f>
        <v>0</v>
      </c>
      <c r="C48" s="88"/>
      <c r="D48" s="130">
        <f>inputPrYr!E124</f>
        <v>0</v>
      </c>
      <c r="E48" s="88"/>
      <c r="F48" s="130">
        <f>debt!F36</f>
        <v>0</v>
      </c>
      <c r="G48" s="88"/>
      <c r="H48" s="140"/>
      <c r="J48" s="537" t="str">
        <f>CONCATENATE("",H1," Tax Levy Fund Exp. Changed By:")</f>
        <v>2012 Tax Levy Fund Exp. Changed By:</v>
      </c>
      <c r="K48" s="538"/>
      <c r="L48" s="538"/>
      <c r="M48" s="530">
        <f>IF(M46=0,0,(M47-G38))</f>
        <v>0</v>
      </c>
    </row>
    <row r="49" spans="1:8" ht="15.75">
      <c r="A49" s="87" t="s">
        <v>279</v>
      </c>
      <c r="B49" s="130">
        <f>inputPrYr!D125</f>
        <v>0</v>
      </c>
      <c r="C49" s="88"/>
      <c r="D49" s="130">
        <f>inputPrYr!E125</f>
        <v>0</v>
      </c>
      <c r="E49" s="88"/>
      <c r="F49" s="130">
        <f>lpform!F37</f>
        <v>0</v>
      </c>
      <c r="G49" s="88"/>
      <c r="H49" s="140"/>
    </row>
    <row r="50" spans="1:8" ht="16.5" thickBot="1">
      <c r="A50" s="87" t="s">
        <v>197</v>
      </c>
      <c r="B50" s="542">
        <f>SUM(B46:B49)</f>
        <v>0</v>
      </c>
      <c r="C50" s="88"/>
      <c r="D50" s="542">
        <f>SUM(D46:D49)</f>
        <v>0</v>
      </c>
      <c r="E50" s="88"/>
      <c r="F50" s="542">
        <f>SUM(F46:F49)</f>
        <v>0</v>
      </c>
      <c r="G50" s="88"/>
      <c r="H50" s="140"/>
    </row>
    <row r="51" spans="1:8" ht="16.5" thickTop="1">
      <c r="A51" s="87" t="s">
        <v>198</v>
      </c>
      <c r="B51" s="88"/>
      <c r="C51" s="88"/>
      <c r="D51" s="88"/>
      <c r="E51" s="88"/>
      <c r="F51" s="88"/>
      <c r="G51" s="88"/>
      <c r="H51" s="140"/>
    </row>
    <row r="52" spans="1:8" ht="15.75">
      <c r="A52" s="88"/>
      <c r="B52" s="88"/>
      <c r="C52" s="88"/>
      <c r="D52" s="88"/>
      <c r="E52" s="88"/>
      <c r="F52" s="88"/>
      <c r="G52" s="88"/>
      <c r="H52" s="140"/>
    </row>
    <row r="53" spans="1:8" ht="15.75">
      <c r="A53" s="733"/>
      <c r="B53" s="733"/>
      <c r="C53" s="88"/>
      <c r="D53" s="88"/>
      <c r="E53" s="88"/>
      <c r="F53" s="88"/>
      <c r="G53" s="88"/>
      <c r="H53" s="140"/>
    </row>
    <row r="54" spans="1:8" ht="15.75">
      <c r="A54" s="220" t="s">
        <v>199</v>
      </c>
      <c r="B54" s="96"/>
      <c r="C54" s="88"/>
      <c r="D54" s="88"/>
      <c r="E54" s="88"/>
      <c r="F54" s="88"/>
      <c r="G54" s="88"/>
      <c r="H54" s="140"/>
    </row>
    <row r="55" spans="1:8" ht="15.75">
      <c r="A55" s="220"/>
      <c r="B55" s="96"/>
      <c r="C55" s="88"/>
      <c r="D55" s="88"/>
      <c r="E55" s="88"/>
      <c r="F55" s="88"/>
      <c r="G55" s="88"/>
      <c r="H55" s="140"/>
    </row>
    <row r="56" spans="1:8" ht="15.75">
      <c r="A56" s="220"/>
      <c r="B56" s="96"/>
      <c r="C56" s="88"/>
      <c r="D56" s="88"/>
      <c r="E56" s="88"/>
      <c r="F56" s="88"/>
      <c r="G56" s="88"/>
      <c r="H56" s="140"/>
    </row>
    <row r="57" spans="1:8" ht="15.75">
      <c r="A57" s="220"/>
      <c r="B57" s="96"/>
      <c r="C57" s="88"/>
      <c r="D57" s="88"/>
      <c r="E57" s="88"/>
      <c r="F57" s="88"/>
      <c r="G57" s="88"/>
      <c r="H57" s="140"/>
    </row>
    <row r="58" spans="1:8" ht="15.75">
      <c r="A58" s="220"/>
      <c r="B58" s="96"/>
      <c r="C58" s="88"/>
      <c r="D58" s="88"/>
      <c r="E58" s="88"/>
      <c r="F58" s="88"/>
      <c r="G58" s="88"/>
      <c r="H58" s="140"/>
    </row>
    <row r="59" spans="1:8" ht="15.75">
      <c r="A59" s="220"/>
      <c r="B59" s="96"/>
      <c r="C59" s="88"/>
      <c r="D59" s="88"/>
      <c r="E59" s="88"/>
      <c r="F59" s="88"/>
      <c r="G59" s="88"/>
      <c r="H59" s="140"/>
    </row>
    <row r="60" spans="1:8" ht="15.75">
      <c r="A60" s="88"/>
      <c r="B60" s="88"/>
      <c r="C60" s="88"/>
      <c r="D60" s="100" t="s">
        <v>1017</v>
      </c>
      <c r="E60" s="390"/>
      <c r="F60" s="88"/>
      <c r="G60" s="88"/>
      <c r="H60" s="140"/>
    </row>
    <row r="61" spans="1:8" ht="15.75">
      <c r="A61" s="146"/>
      <c r="D61" s="146"/>
      <c r="E61" s="146"/>
      <c r="F61" s="146"/>
      <c r="G61" s="146"/>
      <c r="H61" s="146"/>
    </row>
  </sheetData>
  <sheetProtection/>
  <mergeCells count="14">
    <mergeCell ref="J37:M37"/>
    <mergeCell ref="J43:M43"/>
    <mergeCell ref="A53:B53"/>
    <mergeCell ref="G14:G15"/>
    <mergeCell ref="J26:M26"/>
    <mergeCell ref="J30:M30"/>
    <mergeCell ref="A2:H2"/>
    <mergeCell ref="A4:H4"/>
    <mergeCell ref="A5:H5"/>
    <mergeCell ref="A6:H6"/>
    <mergeCell ref="A10:H10"/>
    <mergeCell ref="A11:H11"/>
    <mergeCell ref="A7:H7"/>
    <mergeCell ref="A8:H8"/>
  </mergeCells>
  <printOptions/>
  <pageMargins left="0.41" right="0.37" top="0.74" bottom="0.34" header="0.5" footer="0"/>
  <pageSetup blackAndWhite="1" fitToHeight="1" fitToWidth="1" horizontalDpi="120" verticalDpi="120" orientation="portrait" scale="76"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J57"/>
  <sheetViews>
    <sheetView zoomScale="75" zoomScaleNormal="75" zoomScalePageLayoutView="0" workbookViewId="0" topLeftCell="A1">
      <selection activeCell="C47" sqref="C47"/>
    </sheetView>
  </sheetViews>
  <sheetFormatPr defaultColWidth="8.796875" defaultRowHeight="15"/>
  <cols>
    <col min="1" max="1" width="21.8984375" style="2" customWidth="1"/>
    <col min="2" max="2" width="12.796875" style="2" customWidth="1"/>
    <col min="3" max="3" width="10.296875" style="2" customWidth="1"/>
    <col min="4" max="4" width="12.8984375" style="2" customWidth="1"/>
    <col min="5" max="5" width="10.19921875" style="2" customWidth="1"/>
    <col min="6" max="6" width="15" style="2" customWidth="1"/>
    <col min="7" max="7" width="12.796875" style="2" customWidth="1"/>
    <col min="8" max="8" width="15.296875" style="2" customWidth="1"/>
    <col min="9" max="9" width="9.796875" style="2" customWidth="1"/>
    <col min="10" max="16384" width="8.8984375" style="2" customWidth="1"/>
  </cols>
  <sheetData>
    <row r="1" spans="1:9" ht="15.75">
      <c r="A1" s="28" t="str">
        <f>inputPrYr!C2</f>
        <v>Sheridan County</v>
      </c>
      <c r="B1" s="14"/>
      <c r="C1" s="14"/>
      <c r="D1" s="14"/>
      <c r="E1" s="14"/>
      <c r="F1" s="14"/>
      <c r="G1" s="14"/>
      <c r="H1" s="14"/>
      <c r="I1" s="50">
        <f>inputPrYr!C4</f>
        <v>2012</v>
      </c>
    </row>
    <row r="2" spans="1:9" ht="15.75">
      <c r="A2" s="14"/>
      <c r="B2" s="14"/>
      <c r="C2" s="14"/>
      <c r="D2" s="14"/>
      <c r="E2" s="14"/>
      <c r="F2" s="14"/>
      <c r="G2" s="14"/>
      <c r="H2" s="14"/>
      <c r="I2" s="13"/>
    </row>
    <row r="3" spans="1:10" ht="15.75">
      <c r="A3" s="33" t="s">
        <v>226</v>
      </c>
      <c r="B3" s="17"/>
      <c r="C3" s="17"/>
      <c r="D3" s="17"/>
      <c r="E3" s="17"/>
      <c r="F3" s="17"/>
      <c r="G3" s="17"/>
      <c r="H3" s="17"/>
      <c r="I3" s="32"/>
      <c r="J3" s="3"/>
    </row>
    <row r="4" spans="1:9" ht="15.75">
      <c r="A4" s="14"/>
      <c r="B4" s="18"/>
      <c r="C4" s="18"/>
      <c r="D4" s="18"/>
      <c r="E4" s="18"/>
      <c r="F4" s="18"/>
      <c r="G4" s="18"/>
      <c r="H4" s="18"/>
      <c r="I4" s="18"/>
    </row>
    <row r="5" spans="1:9" ht="15.75">
      <c r="A5" s="14"/>
      <c r="B5" s="34" t="str">
        <f>CONCATENATE("Prior Year Actual for ",I1-2,"")</f>
        <v>Prior Year Actual for 2010</v>
      </c>
      <c r="C5" s="21"/>
      <c r="D5" s="35" t="str">
        <f>CONCATENATE("Current Year Estimate for ",I1-1,"")</f>
        <v>Current Year Estimate for 2011</v>
      </c>
      <c r="E5" s="21"/>
      <c r="F5" s="19" t="str">
        <f>CONCATENATE("Proposed Budget Year for ",I1,"")</f>
        <v>Proposed Budget Year for 2012</v>
      </c>
      <c r="G5" s="20"/>
      <c r="H5" s="20"/>
      <c r="I5" s="21"/>
    </row>
    <row r="6" spans="1:9" ht="21" customHeight="1">
      <c r="A6" s="15" t="s">
        <v>7</v>
      </c>
      <c r="B6" s="22"/>
      <c r="C6" s="22" t="s">
        <v>185</v>
      </c>
      <c r="D6" s="22"/>
      <c r="E6" s="22" t="s">
        <v>185</v>
      </c>
      <c r="F6" s="519" t="s">
        <v>666</v>
      </c>
      <c r="G6" s="696" t="str">
        <f>CONCATENATE("Amount of ",I1-1,"    Ad Valorem Tax")</f>
        <v>Amount of 2011    Ad Valorem Tax</v>
      </c>
      <c r="H6" s="696" t="str">
        <f>CONCATENATE("July 1, ",I1-1," Estimated Valuation")</f>
        <v>July 1, 2011 Estimated Valuation</v>
      </c>
      <c r="I6" s="22" t="s">
        <v>186</v>
      </c>
    </row>
    <row r="7" spans="1:9" ht="15.75">
      <c r="A7" s="24" t="s">
        <v>8</v>
      </c>
      <c r="B7" s="30" t="s">
        <v>137</v>
      </c>
      <c r="C7" s="30" t="s">
        <v>188</v>
      </c>
      <c r="D7" s="30" t="s">
        <v>137</v>
      </c>
      <c r="E7" s="30" t="s">
        <v>188</v>
      </c>
      <c r="F7" s="520" t="s">
        <v>667</v>
      </c>
      <c r="G7" s="697"/>
      <c r="H7" s="697"/>
      <c r="I7" s="30" t="s">
        <v>188</v>
      </c>
    </row>
    <row r="8" spans="1:9" ht="15.75">
      <c r="A8" s="9"/>
      <c r="B8" s="9"/>
      <c r="C8" s="11"/>
      <c r="D8" s="9"/>
      <c r="E8" s="11"/>
      <c r="F8" s="9"/>
      <c r="G8" s="9"/>
      <c r="H8" s="9"/>
      <c r="I8" s="58" t="str">
        <f aca="true" t="shared" si="0" ref="I8:I36">IF(H8&lt;&gt;0,ROUND(G8/H8*1000,3)," ")</f>
        <v> </v>
      </c>
    </row>
    <row r="9" spans="1:9" ht="15.75">
      <c r="A9" s="9"/>
      <c r="B9" s="9"/>
      <c r="C9" s="11"/>
      <c r="D9" s="9"/>
      <c r="E9" s="11"/>
      <c r="F9" s="9"/>
      <c r="G9" s="9"/>
      <c r="H9" s="9"/>
      <c r="I9" s="58" t="str">
        <f t="shared" si="0"/>
        <v> </v>
      </c>
    </row>
    <row r="10" spans="1:9" ht="15.75">
      <c r="A10" s="9"/>
      <c r="B10" s="9"/>
      <c r="C10" s="11"/>
      <c r="D10" s="9"/>
      <c r="E10" s="11"/>
      <c r="F10" s="9"/>
      <c r="G10" s="9"/>
      <c r="H10" s="9"/>
      <c r="I10" s="58" t="str">
        <f t="shared" si="0"/>
        <v> </v>
      </c>
    </row>
    <row r="11" spans="1:9" ht="15.75">
      <c r="A11" s="9"/>
      <c r="B11" s="9"/>
      <c r="C11" s="11"/>
      <c r="D11" s="9"/>
      <c r="E11" s="11"/>
      <c r="F11" s="9"/>
      <c r="G11" s="9"/>
      <c r="H11" s="9"/>
      <c r="I11" s="58" t="str">
        <f t="shared" si="0"/>
        <v> </v>
      </c>
    </row>
    <row r="12" spans="1:9" ht="15.75">
      <c r="A12" s="9"/>
      <c r="B12" s="9"/>
      <c r="C12" s="11"/>
      <c r="D12" s="9"/>
      <c r="E12" s="11"/>
      <c r="F12" s="9"/>
      <c r="G12" s="9"/>
      <c r="H12" s="9"/>
      <c r="I12" s="58" t="str">
        <f t="shared" si="0"/>
        <v> </v>
      </c>
    </row>
    <row r="13" spans="1:9" ht="15.75">
      <c r="A13" s="9"/>
      <c r="B13" s="9"/>
      <c r="C13" s="11"/>
      <c r="D13" s="9"/>
      <c r="E13" s="11"/>
      <c r="F13" s="9"/>
      <c r="G13" s="9"/>
      <c r="H13" s="9"/>
      <c r="I13" s="58" t="str">
        <f t="shared" si="0"/>
        <v> </v>
      </c>
    </row>
    <row r="14" spans="1:9" ht="15.75">
      <c r="A14" s="9"/>
      <c r="B14" s="9"/>
      <c r="C14" s="11"/>
      <c r="D14" s="9"/>
      <c r="E14" s="11"/>
      <c r="F14" s="9"/>
      <c r="G14" s="9"/>
      <c r="H14" s="9"/>
      <c r="I14" s="58" t="str">
        <f t="shared" si="0"/>
        <v> </v>
      </c>
    </row>
    <row r="15" spans="1:9" ht="15.75">
      <c r="A15" s="9"/>
      <c r="B15" s="9"/>
      <c r="C15" s="11"/>
      <c r="D15" s="9"/>
      <c r="E15" s="11"/>
      <c r="F15" s="9"/>
      <c r="G15" s="9"/>
      <c r="H15" s="9"/>
      <c r="I15" s="58" t="str">
        <f t="shared" si="0"/>
        <v> </v>
      </c>
    </row>
    <row r="16" spans="1:9" ht="15.75">
      <c r="A16" s="9"/>
      <c r="B16" s="9"/>
      <c r="C16" s="11"/>
      <c r="D16" s="9"/>
      <c r="E16" s="11"/>
      <c r="F16" s="9"/>
      <c r="G16" s="9"/>
      <c r="H16" s="9"/>
      <c r="I16" s="58" t="str">
        <f t="shared" si="0"/>
        <v> </v>
      </c>
    </row>
    <row r="17" spans="1:9" ht="15.75">
      <c r="A17" s="9"/>
      <c r="B17" s="9"/>
      <c r="C17" s="11"/>
      <c r="D17" s="9"/>
      <c r="E17" s="11"/>
      <c r="F17" s="9"/>
      <c r="G17" s="9"/>
      <c r="H17" s="9"/>
      <c r="I17" s="58" t="str">
        <f t="shared" si="0"/>
        <v> </v>
      </c>
    </row>
    <row r="18" spans="1:9" ht="15.75">
      <c r="A18" s="9"/>
      <c r="B18" s="9"/>
      <c r="C18" s="11"/>
      <c r="D18" s="9"/>
      <c r="E18" s="11"/>
      <c r="F18" s="9"/>
      <c r="G18" s="9"/>
      <c r="H18" s="9"/>
      <c r="I18" s="58" t="str">
        <f t="shared" si="0"/>
        <v> </v>
      </c>
    </row>
    <row r="19" spans="1:9" ht="15.75">
      <c r="A19" s="9"/>
      <c r="B19" s="9"/>
      <c r="C19" s="11"/>
      <c r="D19" s="9"/>
      <c r="E19" s="11"/>
      <c r="F19" s="9"/>
      <c r="G19" s="9"/>
      <c r="H19" s="9"/>
      <c r="I19" s="58" t="str">
        <f t="shared" si="0"/>
        <v> </v>
      </c>
    </row>
    <row r="20" spans="1:9" ht="15.75">
      <c r="A20" s="9"/>
      <c r="B20" s="9"/>
      <c r="C20" s="11"/>
      <c r="D20" s="9"/>
      <c r="E20" s="11"/>
      <c r="F20" s="9"/>
      <c r="G20" s="9"/>
      <c r="H20" s="9"/>
      <c r="I20" s="58" t="str">
        <f t="shared" si="0"/>
        <v> </v>
      </c>
    </row>
    <row r="21" spans="1:9" ht="15.75">
      <c r="A21" s="9"/>
      <c r="B21" s="9"/>
      <c r="C21" s="11"/>
      <c r="D21" s="9"/>
      <c r="E21" s="11"/>
      <c r="F21" s="9"/>
      <c r="G21" s="9"/>
      <c r="H21" s="9"/>
      <c r="I21" s="58" t="str">
        <f t="shared" si="0"/>
        <v> </v>
      </c>
    </row>
    <row r="22" spans="1:9" ht="15.75">
      <c r="A22" s="9"/>
      <c r="B22" s="9"/>
      <c r="C22" s="11"/>
      <c r="D22" s="9"/>
      <c r="E22" s="11"/>
      <c r="F22" s="9"/>
      <c r="G22" s="9"/>
      <c r="H22" s="9"/>
      <c r="I22" s="58" t="str">
        <f t="shared" si="0"/>
        <v> </v>
      </c>
    </row>
    <row r="23" spans="1:9" ht="15.75">
      <c r="A23" s="9"/>
      <c r="B23" s="9"/>
      <c r="C23" s="11"/>
      <c r="D23" s="9"/>
      <c r="E23" s="11"/>
      <c r="F23" s="9"/>
      <c r="G23" s="9"/>
      <c r="H23" s="9"/>
      <c r="I23" s="58" t="str">
        <f t="shared" si="0"/>
        <v> </v>
      </c>
    </row>
    <row r="24" spans="1:9" ht="15.75">
      <c r="A24" s="9"/>
      <c r="B24" s="9"/>
      <c r="C24" s="11"/>
      <c r="D24" s="9"/>
      <c r="E24" s="11"/>
      <c r="F24" s="9"/>
      <c r="G24" s="9"/>
      <c r="H24" s="9"/>
      <c r="I24" s="58" t="str">
        <f t="shared" si="0"/>
        <v> </v>
      </c>
    </row>
    <row r="25" spans="1:9" ht="15.75">
      <c r="A25" s="9"/>
      <c r="B25" s="9"/>
      <c r="C25" s="11"/>
      <c r="D25" s="9"/>
      <c r="E25" s="11"/>
      <c r="F25" s="9"/>
      <c r="G25" s="9"/>
      <c r="H25" s="9"/>
      <c r="I25" s="58" t="str">
        <f t="shared" si="0"/>
        <v> </v>
      </c>
    </row>
    <row r="26" spans="1:9" ht="15.75">
      <c r="A26" s="9"/>
      <c r="B26" s="9"/>
      <c r="C26" s="11"/>
      <c r="D26" s="9"/>
      <c r="E26" s="11"/>
      <c r="F26" s="9"/>
      <c r="G26" s="9"/>
      <c r="H26" s="9"/>
      <c r="I26" s="58" t="str">
        <f t="shared" si="0"/>
        <v> </v>
      </c>
    </row>
    <row r="27" spans="1:9" ht="15.75">
      <c r="A27" s="9"/>
      <c r="B27" s="9"/>
      <c r="C27" s="11"/>
      <c r="D27" s="9"/>
      <c r="E27" s="11"/>
      <c r="F27" s="9"/>
      <c r="G27" s="9"/>
      <c r="H27" s="9"/>
      <c r="I27" s="58" t="str">
        <f t="shared" si="0"/>
        <v> </v>
      </c>
    </row>
    <row r="28" spans="1:9" ht="15.75">
      <c r="A28" s="9"/>
      <c r="B28" s="9"/>
      <c r="C28" s="11"/>
      <c r="D28" s="9"/>
      <c r="E28" s="11"/>
      <c r="F28" s="9"/>
      <c r="G28" s="9"/>
      <c r="H28" s="9"/>
      <c r="I28" s="58" t="str">
        <f t="shared" si="0"/>
        <v> </v>
      </c>
    </row>
    <row r="29" spans="1:9" ht="15.75">
      <c r="A29" s="9"/>
      <c r="B29" s="9"/>
      <c r="C29" s="11"/>
      <c r="D29" s="9"/>
      <c r="E29" s="11"/>
      <c r="F29" s="9"/>
      <c r="G29" s="9"/>
      <c r="H29" s="9"/>
      <c r="I29" s="58" t="str">
        <f t="shared" si="0"/>
        <v> </v>
      </c>
    </row>
    <row r="30" spans="1:9" ht="15.75">
      <c r="A30" s="9"/>
      <c r="B30" s="9"/>
      <c r="C30" s="11"/>
      <c r="D30" s="9"/>
      <c r="E30" s="11"/>
      <c r="F30" s="9"/>
      <c r="G30" s="9"/>
      <c r="H30" s="9"/>
      <c r="I30" s="58" t="str">
        <f t="shared" si="0"/>
        <v> </v>
      </c>
    </row>
    <row r="31" spans="1:9" ht="15.75">
      <c r="A31" s="9"/>
      <c r="B31" s="9"/>
      <c r="C31" s="11"/>
      <c r="D31" s="9"/>
      <c r="E31" s="11"/>
      <c r="F31" s="9"/>
      <c r="G31" s="9"/>
      <c r="H31" s="9"/>
      <c r="I31" s="58" t="str">
        <f t="shared" si="0"/>
        <v> </v>
      </c>
    </row>
    <row r="32" spans="1:9" ht="15.75">
      <c r="A32" s="9"/>
      <c r="B32" s="9"/>
      <c r="C32" s="11"/>
      <c r="D32" s="9"/>
      <c r="E32" s="11"/>
      <c r="F32" s="9"/>
      <c r="G32" s="9"/>
      <c r="H32" s="9"/>
      <c r="I32" s="58" t="str">
        <f t="shared" si="0"/>
        <v> </v>
      </c>
    </row>
    <row r="33" spans="1:9" ht="15.75">
      <c r="A33" s="9"/>
      <c r="B33" s="9"/>
      <c r="C33" s="11"/>
      <c r="D33" s="9"/>
      <c r="E33" s="11"/>
      <c r="F33" s="9"/>
      <c r="G33" s="9"/>
      <c r="H33" s="9"/>
      <c r="I33" s="58" t="str">
        <f t="shared" si="0"/>
        <v> </v>
      </c>
    </row>
    <row r="34" spans="1:9" ht="15.75">
      <c r="A34" s="9"/>
      <c r="B34" s="9"/>
      <c r="C34" s="11"/>
      <c r="D34" s="9"/>
      <c r="E34" s="11"/>
      <c r="F34" s="9"/>
      <c r="G34" s="9"/>
      <c r="H34" s="9"/>
      <c r="I34" s="58" t="str">
        <f t="shared" si="0"/>
        <v> </v>
      </c>
    </row>
    <row r="35" spans="1:9" ht="15.75">
      <c r="A35" s="9"/>
      <c r="B35" s="9"/>
      <c r="C35" s="11"/>
      <c r="D35" s="9"/>
      <c r="E35" s="11"/>
      <c r="F35" s="9"/>
      <c r="G35" s="9"/>
      <c r="H35" s="9"/>
      <c r="I35" s="58" t="str">
        <f t="shared" si="0"/>
        <v> </v>
      </c>
    </row>
    <row r="36" spans="1:9" ht="15.75">
      <c r="A36" s="9"/>
      <c r="B36" s="9"/>
      <c r="C36" s="11"/>
      <c r="D36" s="9"/>
      <c r="E36" s="11"/>
      <c r="F36" s="9"/>
      <c r="G36" s="9"/>
      <c r="H36" s="9"/>
      <c r="I36" s="58" t="str">
        <f t="shared" si="0"/>
        <v> </v>
      </c>
    </row>
    <row r="37" spans="1:9" ht="15.75">
      <c r="A37" s="25" t="s">
        <v>155</v>
      </c>
      <c r="B37" s="26">
        <f>SUM(B8:B36)</f>
        <v>0</v>
      </c>
      <c r="C37" s="36">
        <f>SUM(C8:C24)</f>
        <v>0</v>
      </c>
      <c r="D37" s="26">
        <f>SUM(D8:D36)</f>
        <v>0</v>
      </c>
      <c r="E37" s="36">
        <f>SUM(E8:E24)</f>
        <v>0</v>
      </c>
      <c r="F37" s="26">
        <f>SUM(F8:F36)</f>
        <v>0</v>
      </c>
      <c r="G37" s="26">
        <f>SUM(G8:G36)</f>
        <v>0</v>
      </c>
      <c r="H37" s="26"/>
      <c r="I37" s="36">
        <f>SUM(I8:I24)</f>
        <v>0</v>
      </c>
    </row>
    <row r="38" spans="1:9" ht="15.75">
      <c r="A38" s="14"/>
      <c r="B38" s="14"/>
      <c r="C38" s="14"/>
      <c r="D38" s="14"/>
      <c r="E38" s="14"/>
      <c r="F38" s="14"/>
      <c r="G38" s="14"/>
      <c r="H38" s="14"/>
      <c r="I38" s="14"/>
    </row>
    <row r="39" spans="1:9" ht="15.75">
      <c r="A39" s="15" t="s">
        <v>198</v>
      </c>
      <c r="B39" s="14"/>
      <c r="C39" s="14"/>
      <c r="D39" s="14"/>
      <c r="E39" s="14"/>
      <c r="F39" s="14"/>
      <c r="G39" s="14"/>
      <c r="H39" s="14"/>
      <c r="I39" s="14"/>
    </row>
    <row r="40" spans="1:9" ht="15.75">
      <c r="A40" s="14"/>
      <c r="B40" s="14"/>
      <c r="C40" s="14"/>
      <c r="D40" s="14"/>
      <c r="E40" s="14"/>
      <c r="F40" s="14"/>
      <c r="G40" s="14"/>
      <c r="H40" s="14"/>
      <c r="I40" s="14"/>
    </row>
    <row r="41" spans="1:9" ht="15.75">
      <c r="A41" s="27"/>
      <c r="B41" s="14"/>
      <c r="C41" s="14"/>
      <c r="D41" s="14"/>
      <c r="E41" s="14"/>
      <c r="F41" s="14"/>
      <c r="G41" s="14"/>
      <c r="H41" s="14"/>
      <c r="I41" s="14"/>
    </row>
    <row r="42" spans="1:9" ht="15.75">
      <c r="A42" s="16" t="s">
        <v>199</v>
      </c>
      <c r="B42" s="14"/>
      <c r="C42" s="14"/>
      <c r="D42" s="14" t="s">
        <v>182</v>
      </c>
      <c r="E42" s="10"/>
      <c r="F42" s="14"/>
      <c r="G42" s="14"/>
      <c r="H42" s="14"/>
      <c r="I42" s="14"/>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4"/>
      <c r="C51" s="1"/>
      <c r="D51" s="4"/>
      <c r="E51" s="1"/>
      <c r="F51" s="4"/>
      <c r="G51" s="1"/>
      <c r="H51" s="1"/>
      <c r="I51" s="1"/>
    </row>
    <row r="52" spans="2:9" ht="15.75">
      <c r="B52" s="1"/>
      <c r="C52" s="1"/>
      <c r="D52" s="1"/>
      <c r="E52" s="1"/>
      <c r="F52" s="1"/>
      <c r="G52" s="1"/>
      <c r="H52" s="1"/>
      <c r="I52" s="1"/>
    </row>
    <row r="53" spans="2:9" ht="15.75">
      <c r="B53" s="1"/>
      <c r="C53" s="1"/>
      <c r="D53" s="1"/>
      <c r="E53" s="1"/>
      <c r="F53" s="1"/>
      <c r="G53" s="1"/>
      <c r="H53" s="1"/>
      <c r="I53" s="1"/>
    </row>
    <row r="54" spans="2:9" ht="15.75">
      <c r="B54" s="8"/>
      <c r="C54" s="1"/>
      <c r="D54" s="1"/>
      <c r="E54" s="1"/>
      <c r="F54" s="1"/>
      <c r="G54" s="1"/>
      <c r="H54" s="1"/>
      <c r="I54" s="1"/>
    </row>
    <row r="55" spans="2:9" ht="15.75">
      <c r="B55" s="7"/>
      <c r="C55" s="1"/>
      <c r="D55" s="1"/>
      <c r="E55" s="1"/>
      <c r="F55" s="1"/>
      <c r="G55" s="1"/>
      <c r="H55" s="1"/>
      <c r="I55" s="1"/>
    </row>
    <row r="56" spans="1:9" ht="15.75">
      <c r="A56" s="1"/>
      <c r="B56" s="1"/>
      <c r="C56" s="1"/>
      <c r="D56" s="1"/>
      <c r="E56" s="1"/>
      <c r="F56" s="1"/>
      <c r="G56" s="1"/>
      <c r="H56" s="1"/>
      <c r="I56" s="1"/>
    </row>
    <row r="57" spans="1:9" ht="15.75">
      <c r="A57" s="1"/>
      <c r="B57" s="1" t="s">
        <v>160</v>
      </c>
      <c r="C57" s="10"/>
      <c r="D57" s="1"/>
      <c r="E57" s="1"/>
      <c r="F57" s="1"/>
      <c r="G57" s="1"/>
      <c r="H57" s="1"/>
      <c r="I57" s="1"/>
    </row>
  </sheetData>
  <sheetProtection sheet="1"/>
  <mergeCells count="2">
    <mergeCell ref="G6:G7"/>
    <mergeCell ref="H6:H7"/>
  </mergeCells>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71"/>
  <sheetViews>
    <sheetView zoomScalePageLayoutView="0" workbookViewId="0" topLeftCell="A1">
      <selection activeCell="E23" sqref="E23"/>
    </sheetView>
  </sheetViews>
  <sheetFormatPr defaultColWidth="8.796875" defaultRowHeight="15"/>
  <cols>
    <col min="1" max="1" width="15.796875" style="75" customWidth="1"/>
    <col min="2" max="2" width="20.796875" style="75" customWidth="1"/>
    <col min="3" max="3" width="9.796875" style="75" customWidth="1"/>
    <col min="4" max="4" width="15.296875" style="75" customWidth="1"/>
    <col min="5" max="5" width="15.796875" style="75" customWidth="1"/>
    <col min="6" max="16384" width="8.8984375" style="75" customWidth="1"/>
  </cols>
  <sheetData>
    <row r="1" spans="1:5" ht="15.75">
      <c r="A1" s="147" t="str">
        <f>inputPrYr!C2</f>
        <v>Sheridan County</v>
      </c>
      <c r="B1" s="128"/>
      <c r="C1" s="128"/>
      <c r="D1" s="128"/>
      <c r="E1" s="128">
        <f>inputPrYr!C4</f>
        <v>2012</v>
      </c>
    </row>
    <row r="2" spans="1:5" ht="15.75">
      <c r="A2" s="147"/>
      <c r="B2" s="128"/>
      <c r="C2" s="128"/>
      <c r="D2" s="128"/>
      <c r="E2" s="128"/>
    </row>
    <row r="3" spans="1:5" ht="15.75">
      <c r="A3" s="665" t="s">
        <v>54</v>
      </c>
      <c r="B3" s="666"/>
      <c r="C3" s="666"/>
      <c r="D3" s="666"/>
      <c r="E3" s="666"/>
    </row>
    <row r="4" spans="1:5" ht="15.75">
      <c r="A4" s="128"/>
      <c r="B4" s="128"/>
      <c r="C4" s="128"/>
      <c r="D4" s="128"/>
      <c r="E4" s="128"/>
    </row>
    <row r="5" spans="1:5" ht="15.75">
      <c r="A5" s="127" t="str">
        <f>CONCATENATE("From the County Clerks ",E1," Budget Information:")</f>
        <v>From the County Clerks 2012 Budget Information:</v>
      </c>
      <c r="B5" s="129"/>
      <c r="C5" s="98"/>
      <c r="D5" s="88"/>
      <c r="E5" s="148"/>
    </row>
    <row r="6" spans="1:5" ht="15.75">
      <c r="A6" s="149" t="str">
        <f>CONCATENATE("Total Assessed Valuation for ",E1-1,"")</f>
        <v>Total Assessed Valuation for 2011</v>
      </c>
      <c r="B6" s="135"/>
      <c r="C6" s="135"/>
      <c r="D6" s="135"/>
      <c r="E6" s="115">
        <v>44021447</v>
      </c>
    </row>
    <row r="7" spans="1:5" ht="15.75">
      <c r="A7" s="149" t="str">
        <f>CONCATENATE("New Improvements for ",E1-1,"")</f>
        <v>New Improvements for 2011</v>
      </c>
      <c r="B7" s="135"/>
      <c r="C7" s="135"/>
      <c r="D7" s="135"/>
      <c r="E7" s="150">
        <v>170231</v>
      </c>
    </row>
    <row r="8" spans="1:5" ht="15.75">
      <c r="A8" s="149" t="str">
        <f>CONCATENATE("Personal Property excluding oil, gas, and mobile homes- ",E1-1,"")</f>
        <v>Personal Property excluding oil, gas, and mobile homes- 2011</v>
      </c>
      <c r="B8" s="135"/>
      <c r="C8" s="135"/>
      <c r="D8" s="135"/>
      <c r="E8" s="150">
        <v>1636475</v>
      </c>
    </row>
    <row r="9" spans="1:5" ht="15.75">
      <c r="A9" s="149" t="str">
        <f>CONCATENATE("Property that has changed in use for ",E1-1,"")</f>
        <v>Property that has changed in use for 2011</v>
      </c>
      <c r="B9" s="135"/>
      <c r="C9" s="135"/>
      <c r="D9" s="135"/>
      <c r="E9" s="150">
        <v>36734</v>
      </c>
    </row>
    <row r="10" spans="1:5" ht="15.75">
      <c r="A10" s="149" t="str">
        <f>CONCATENATE("Personal Property excluding oil, gas, and mobile homes- ",E1-2,"")</f>
        <v>Personal Property excluding oil, gas, and mobile homes- 2010</v>
      </c>
      <c r="B10" s="135"/>
      <c r="C10" s="135"/>
      <c r="D10" s="135"/>
      <c r="E10" s="150">
        <v>1787036</v>
      </c>
    </row>
    <row r="11" spans="1:5" ht="15.75">
      <c r="A11" s="149" t="str">
        <f>CONCATENATE("Gross earnings (intangible) tax esitmate for ",E1,"")</f>
        <v>Gross earnings (intangible) tax esitmate for 2012</v>
      </c>
      <c r="B11" s="135"/>
      <c r="C11" s="135"/>
      <c r="D11" s="135"/>
      <c r="E11" s="115">
        <v>0</v>
      </c>
    </row>
    <row r="12" spans="1:5" ht="15.75">
      <c r="A12" s="151" t="s">
        <v>321</v>
      </c>
      <c r="B12" s="135"/>
      <c r="C12" s="135"/>
      <c r="D12" s="118"/>
      <c r="E12" s="115">
        <v>36662</v>
      </c>
    </row>
    <row r="13" spans="1:5" ht="15.75">
      <c r="A13" s="88"/>
      <c r="B13" s="88"/>
      <c r="C13" s="88"/>
      <c r="D13" s="104"/>
      <c r="E13" s="104"/>
    </row>
    <row r="14" spans="1:5" ht="15.75">
      <c r="A14" s="127" t="str">
        <f>CONCATENATE("From the County Treasurer's ",E1," Budget Information:")</f>
        <v>From the County Treasurer's 2012 Budget Information:</v>
      </c>
      <c r="B14" s="129"/>
      <c r="C14" s="129"/>
      <c r="D14" s="148"/>
      <c r="E14" s="148"/>
    </row>
    <row r="15" spans="1:5" ht="15.75">
      <c r="A15" s="116" t="s">
        <v>129</v>
      </c>
      <c r="B15" s="117"/>
      <c r="C15" s="117"/>
      <c r="D15" s="152"/>
      <c r="E15" s="115">
        <v>330728.85</v>
      </c>
    </row>
    <row r="16" spans="1:5" ht="15.75">
      <c r="A16" s="149" t="s">
        <v>130</v>
      </c>
      <c r="B16" s="135"/>
      <c r="C16" s="135"/>
      <c r="D16" s="153"/>
      <c r="E16" s="115">
        <v>7126.28</v>
      </c>
    </row>
    <row r="17" spans="1:5" ht="15.75">
      <c r="A17" s="149" t="s">
        <v>235</v>
      </c>
      <c r="B17" s="135"/>
      <c r="C17" s="135"/>
      <c r="D17" s="153"/>
      <c r="E17" s="115">
        <v>46455.92</v>
      </c>
    </row>
    <row r="18" spans="1:5" ht="15.75">
      <c r="A18" s="149" t="s">
        <v>322</v>
      </c>
      <c r="B18" s="135"/>
      <c r="C18" s="135"/>
      <c r="D18" s="154"/>
      <c r="E18" s="115"/>
    </row>
    <row r="19" spans="1:5" ht="15.75">
      <c r="A19" s="149" t="s">
        <v>323</v>
      </c>
      <c r="B19" s="135"/>
      <c r="C19" s="135"/>
      <c r="D19" s="154"/>
      <c r="E19" s="115"/>
    </row>
    <row r="20" spans="1:5" ht="15.75">
      <c r="A20" s="151" t="s">
        <v>324</v>
      </c>
      <c r="B20" s="135"/>
      <c r="C20" s="135"/>
      <c r="D20" s="153"/>
      <c r="E20" s="115"/>
    </row>
    <row r="21" spans="1:5" ht="15.75">
      <c r="A21" s="88"/>
      <c r="B21" s="88"/>
      <c r="C21" s="88"/>
      <c r="D21" s="88"/>
      <c r="E21" s="88"/>
    </row>
    <row r="22" spans="1:5" ht="15.75">
      <c r="A22" s="155" t="s">
        <v>325</v>
      </c>
      <c r="B22" s="88"/>
      <c r="C22" s="88"/>
      <c r="D22" s="88"/>
      <c r="E22" s="88"/>
    </row>
    <row r="23" spans="1:5" ht="15.75">
      <c r="A23" s="156" t="str">
        <f>CONCATENATE("Actual Delinquency for ",E1-3," Tax - (round to three decimal places)")</f>
        <v>Actual Delinquency for 2009 Tax - (round to three decimal places)</v>
      </c>
      <c r="B23" s="117"/>
      <c r="C23" s="117"/>
      <c r="D23" s="122"/>
      <c r="E23" s="455">
        <v>0.0074028</v>
      </c>
    </row>
    <row r="24" spans="1:5" ht="15.75">
      <c r="A24" s="117" t="s">
        <v>326</v>
      </c>
      <c r="B24" s="117"/>
      <c r="C24" s="117"/>
      <c r="D24" s="117"/>
      <c r="E24" s="456">
        <v>0.01</v>
      </c>
    </row>
    <row r="25" spans="1:5" ht="15.75">
      <c r="A25" s="85" t="s">
        <v>327</v>
      </c>
      <c r="B25" s="85"/>
      <c r="C25" s="85"/>
      <c r="D25" s="85"/>
      <c r="E25" s="85"/>
    </row>
    <row r="26" spans="1:5" ht="15.75">
      <c r="A26" s="157"/>
      <c r="B26" s="157"/>
      <c r="C26" s="157"/>
      <c r="D26" s="157"/>
      <c r="E26" s="157"/>
    </row>
    <row r="27" spans="1:5" ht="15.75">
      <c r="A27" s="669" t="str">
        <f>CONCATENATE("From the ",E1-2," Budget Certificate Page")</f>
        <v>From the 2010 Budget Certificate Page</v>
      </c>
      <c r="B27" s="670"/>
      <c r="C27" s="157"/>
      <c r="D27" s="157"/>
      <c r="E27" s="157"/>
    </row>
    <row r="28" spans="1:5" ht="15.75">
      <c r="A28" s="158"/>
      <c r="B28" s="671" t="str">
        <f>CONCATENATE("",E1-2,"                         Expenditure Amt Budget Authority")</f>
        <v>2010                         Expenditure Amt Budget Authority</v>
      </c>
      <c r="C28" s="674" t="str">
        <f>CONCATENATE("Note: If the ",E1-2," budget was amended, then the")</f>
        <v>Note: If the 2010 budget was amended, then the</v>
      </c>
      <c r="D28" s="675"/>
      <c r="E28" s="675"/>
    </row>
    <row r="29" spans="1:5" ht="15.75">
      <c r="A29" s="159" t="s">
        <v>68</v>
      </c>
      <c r="B29" s="672"/>
      <c r="C29" s="160" t="s">
        <v>69</v>
      </c>
      <c r="D29" s="161"/>
      <c r="E29" s="161"/>
    </row>
    <row r="30" spans="1:5" ht="15.75">
      <c r="A30" s="162"/>
      <c r="B30" s="673"/>
      <c r="C30" s="160" t="s">
        <v>70</v>
      </c>
      <c r="D30" s="161"/>
      <c r="E30" s="161"/>
    </row>
    <row r="31" spans="1:5" ht="15.75">
      <c r="A31" s="163" t="str">
        <f>inputPrYr!B16</f>
        <v>General</v>
      </c>
      <c r="B31" s="164">
        <v>2416111</v>
      </c>
      <c r="C31" s="160"/>
      <c r="D31" s="161"/>
      <c r="E31" s="161"/>
    </row>
    <row r="32" spans="1:5" ht="15.75">
      <c r="A32" s="163" t="str">
        <f>inputPrYr!B17</f>
        <v>Debt Service</v>
      </c>
      <c r="B32" s="108"/>
      <c r="C32" s="160"/>
      <c r="D32" s="161"/>
      <c r="E32" s="161"/>
    </row>
    <row r="33" spans="1:5" ht="15.75">
      <c r="A33" s="163" t="str">
        <f>inputPrYr!B18</f>
        <v>Road &amp; Bridge</v>
      </c>
      <c r="B33" s="108">
        <v>1732500</v>
      </c>
      <c r="C33" s="157"/>
      <c r="D33" s="157"/>
      <c r="E33" s="157"/>
    </row>
    <row r="34" spans="1:5" ht="15.75">
      <c r="A34" s="163" t="str">
        <f>inputPrYr!B19</f>
        <v>Noxious Weed</v>
      </c>
      <c r="B34" s="108">
        <v>136821</v>
      </c>
      <c r="C34" s="157"/>
      <c r="D34" s="157"/>
      <c r="E34" s="157"/>
    </row>
    <row r="35" spans="1:5" ht="15.75">
      <c r="A35" s="163" t="str">
        <f>inputPrYr!B20</f>
        <v>Mental Health</v>
      </c>
      <c r="B35" s="108">
        <v>16500</v>
      </c>
      <c r="C35" s="157"/>
      <c r="D35" s="157"/>
      <c r="E35" s="157"/>
    </row>
    <row r="36" spans="1:5" ht="15.75">
      <c r="A36" s="163" t="str">
        <f>inputPrYr!B21</f>
        <v>Public Health</v>
      </c>
      <c r="B36" s="108">
        <v>153440</v>
      </c>
      <c r="C36" s="157"/>
      <c r="D36" s="157"/>
      <c r="E36" s="157"/>
    </row>
    <row r="37" spans="1:5" ht="15.75">
      <c r="A37" s="163" t="str">
        <f>inputPrYr!B22</f>
        <v>Council on Aging</v>
      </c>
      <c r="B37" s="108">
        <v>29009</v>
      </c>
      <c r="C37" s="157"/>
      <c r="D37" s="157"/>
      <c r="E37" s="157"/>
    </row>
    <row r="38" spans="1:5" ht="15.75">
      <c r="A38" s="163" t="str">
        <f>inputPrYr!B23</f>
        <v>Library Service Contract</v>
      </c>
      <c r="B38" s="108">
        <v>16000</v>
      </c>
      <c r="C38" s="157"/>
      <c r="D38" s="157"/>
      <c r="E38" s="157"/>
    </row>
    <row r="39" spans="1:5" ht="15.75">
      <c r="A39" s="163" t="str">
        <f>inputPrYr!B24</f>
        <v>Hospital Maintenance</v>
      </c>
      <c r="B39" s="108">
        <v>779000</v>
      </c>
      <c r="C39" s="157"/>
      <c r="D39" s="157"/>
      <c r="E39" s="157"/>
    </row>
    <row r="40" spans="1:5" ht="15.75">
      <c r="A40" s="163" t="str">
        <f>inputPrYr!B25</f>
        <v>Mental Retardation</v>
      </c>
      <c r="B40" s="108">
        <v>42000</v>
      </c>
      <c r="C40" s="157"/>
      <c r="D40" s="157"/>
      <c r="E40" s="157"/>
    </row>
    <row r="41" spans="1:5" ht="15.75">
      <c r="A41" s="163">
        <f>inputPrYr!B26</f>
        <v>0</v>
      </c>
      <c r="B41" s="108"/>
      <c r="C41" s="157"/>
      <c r="D41" s="157"/>
      <c r="E41" s="157"/>
    </row>
    <row r="42" spans="1:5" ht="15.75">
      <c r="A42" s="163">
        <f>inputPrYr!B27</f>
        <v>0</v>
      </c>
      <c r="B42" s="108"/>
      <c r="C42" s="157"/>
      <c r="D42" s="157"/>
      <c r="E42" s="157"/>
    </row>
    <row r="43" spans="1:5" ht="15.75">
      <c r="A43" s="163">
        <f>inputPrYr!B28</f>
        <v>0</v>
      </c>
      <c r="B43" s="108"/>
      <c r="C43" s="157"/>
      <c r="D43" s="157"/>
      <c r="E43" s="157"/>
    </row>
    <row r="44" spans="1:5" ht="15.75">
      <c r="A44" s="163">
        <f>inputPrYr!B29</f>
        <v>0</v>
      </c>
      <c r="B44" s="108"/>
      <c r="C44" s="157"/>
      <c r="D44" s="157"/>
      <c r="E44" s="157"/>
    </row>
    <row r="45" spans="1:5" ht="15.75">
      <c r="A45" s="163">
        <f>inputPrYr!B30</f>
        <v>0</v>
      </c>
      <c r="B45" s="108"/>
      <c r="C45" s="157"/>
      <c r="D45" s="157"/>
      <c r="E45" s="157"/>
    </row>
    <row r="46" spans="1:5" ht="15.75">
      <c r="A46" s="163">
        <f>inputPrYr!B31</f>
        <v>0</v>
      </c>
      <c r="B46" s="108"/>
      <c r="C46" s="157"/>
      <c r="D46" s="157"/>
      <c r="E46" s="157"/>
    </row>
    <row r="47" spans="1:5" ht="15.75">
      <c r="A47" s="163">
        <f>inputPrYr!B32</f>
        <v>0</v>
      </c>
      <c r="B47" s="108"/>
      <c r="C47" s="157"/>
      <c r="D47" s="157"/>
      <c r="E47" s="157"/>
    </row>
    <row r="48" spans="1:5" ht="15.75">
      <c r="A48" s="163">
        <f>inputPrYr!B33</f>
        <v>0</v>
      </c>
      <c r="B48" s="108"/>
      <c r="C48" s="157"/>
      <c r="D48" s="157"/>
      <c r="E48" s="157"/>
    </row>
    <row r="49" spans="1:5" ht="15.75">
      <c r="A49" s="163">
        <f>inputPrYr!B34</f>
        <v>0</v>
      </c>
      <c r="B49" s="108"/>
      <c r="C49" s="157"/>
      <c r="D49" s="157"/>
      <c r="E49" s="157"/>
    </row>
    <row r="50" spans="1:5" ht="15.75">
      <c r="A50" s="163">
        <f>inputPrYr!B35</f>
        <v>0</v>
      </c>
      <c r="B50" s="108"/>
      <c r="C50" s="157"/>
      <c r="D50" s="157"/>
      <c r="E50" s="157"/>
    </row>
    <row r="51" spans="1:5" ht="15.75">
      <c r="A51" s="163">
        <f>inputPrYr!B36</f>
        <v>0</v>
      </c>
      <c r="B51" s="108"/>
      <c r="C51" s="157"/>
      <c r="D51" s="157"/>
      <c r="E51" s="157"/>
    </row>
    <row r="52" spans="1:5" ht="15.75">
      <c r="A52" s="163">
        <f>inputPrYr!B37</f>
        <v>0</v>
      </c>
      <c r="B52" s="108"/>
      <c r="C52" s="157"/>
      <c r="D52" s="157"/>
      <c r="E52" s="157"/>
    </row>
    <row r="53" spans="1:5" ht="15.75">
      <c r="A53" s="163">
        <f>inputPrYr!B38</f>
        <v>0</v>
      </c>
      <c r="B53" s="108"/>
      <c r="C53" s="157"/>
      <c r="D53" s="157"/>
      <c r="E53" s="157"/>
    </row>
    <row r="54" spans="1:5" ht="15.75">
      <c r="A54" s="163">
        <f>inputPrYr!B39</f>
        <v>0</v>
      </c>
      <c r="B54" s="108"/>
      <c r="C54" s="157"/>
      <c r="D54" s="157"/>
      <c r="E54" s="157"/>
    </row>
    <row r="55" spans="1:5" ht="15.75">
      <c r="A55" s="163">
        <f>inputPrYr!B40</f>
        <v>0</v>
      </c>
      <c r="B55" s="108"/>
      <c r="C55" s="157"/>
      <c r="D55" s="157"/>
      <c r="E55" s="157"/>
    </row>
    <row r="56" spans="1:5" ht="15.75">
      <c r="A56" s="163" t="str">
        <f>inputPrYr!B43</f>
        <v>Noxious Weed Capital Outlay</v>
      </c>
      <c r="B56" s="108">
        <v>56088</v>
      </c>
      <c r="C56" s="157"/>
      <c r="D56" s="157"/>
      <c r="E56" s="157"/>
    </row>
    <row r="57" spans="1:5" ht="15.75">
      <c r="A57" s="163" t="str">
        <f>inputPrYr!B44</f>
        <v>911 Emergency Tax</v>
      </c>
      <c r="B57" s="108">
        <v>34259</v>
      </c>
      <c r="C57" s="157"/>
      <c r="D57" s="157"/>
      <c r="E57" s="157"/>
    </row>
    <row r="58" spans="1:5" ht="15.75">
      <c r="A58" s="163" t="str">
        <f>inputPrYr!B45</f>
        <v>Parks &amp; Recreation</v>
      </c>
      <c r="B58" s="108">
        <v>2700</v>
      </c>
      <c r="C58" s="157"/>
      <c r="D58" s="157"/>
      <c r="E58" s="157"/>
    </row>
    <row r="59" spans="1:5" ht="15.75">
      <c r="A59" s="163" t="str">
        <f>inputPrYr!B46</f>
        <v>Solid Waste Disposal</v>
      </c>
      <c r="B59" s="108">
        <v>145096</v>
      </c>
      <c r="C59" s="157"/>
      <c r="D59" s="157"/>
      <c r="E59" s="157"/>
    </row>
    <row r="60" spans="1:5" ht="15.75">
      <c r="A60" s="163" t="str">
        <f>inputPrYr!B47</f>
        <v>Alcohol Program</v>
      </c>
      <c r="B60" s="108">
        <v>34517</v>
      </c>
      <c r="C60" s="157"/>
      <c r="D60" s="157"/>
      <c r="E60" s="157"/>
    </row>
    <row r="61" spans="1:5" ht="15.75">
      <c r="A61" s="163" t="str">
        <f>inputPrYr!B48</f>
        <v>Special Ambulance</v>
      </c>
      <c r="B61" s="108">
        <v>248641</v>
      </c>
      <c r="C61" s="157"/>
      <c r="D61" s="157"/>
      <c r="E61" s="157"/>
    </row>
    <row r="62" spans="1:5" ht="15.75">
      <c r="A62" s="163" t="str">
        <f>inputPrYr!B49</f>
        <v>911 Wireless</v>
      </c>
      <c r="B62" s="108">
        <v>61179</v>
      </c>
      <c r="C62" s="157"/>
      <c r="D62" s="157"/>
      <c r="E62" s="157"/>
    </row>
    <row r="63" spans="1:5" ht="15.75">
      <c r="A63" s="163">
        <f>inputPrYr!B50</f>
        <v>0</v>
      </c>
      <c r="B63" s="108"/>
      <c r="C63" s="157"/>
      <c r="D63" s="157"/>
      <c r="E63" s="157"/>
    </row>
    <row r="64" spans="1:5" ht="15.75">
      <c r="A64" s="163">
        <f>inputPrYr!B51</f>
        <v>0</v>
      </c>
      <c r="B64" s="108"/>
      <c r="C64" s="157"/>
      <c r="D64" s="157"/>
      <c r="E64" s="157"/>
    </row>
    <row r="65" spans="1:5" ht="15.75">
      <c r="A65" s="163">
        <f>inputPrYr!B52</f>
        <v>0</v>
      </c>
      <c r="B65" s="108"/>
      <c r="C65" s="157"/>
      <c r="D65" s="157"/>
      <c r="E65" s="157"/>
    </row>
    <row r="66" spans="1:5" ht="15.75">
      <c r="A66" s="163">
        <f>inputPrYr!B53</f>
        <v>0</v>
      </c>
      <c r="B66" s="108"/>
      <c r="C66" s="157"/>
      <c r="D66" s="157"/>
      <c r="E66" s="157"/>
    </row>
    <row r="67" spans="1:5" ht="15.75">
      <c r="A67" s="163">
        <f>inputPrYr!B54</f>
        <v>0</v>
      </c>
      <c r="B67" s="108"/>
      <c r="C67" s="157"/>
      <c r="D67" s="157"/>
      <c r="E67" s="157"/>
    </row>
    <row r="68" spans="1:5" ht="15.75">
      <c r="A68" s="163">
        <f>inputPrYr!B55</f>
        <v>0</v>
      </c>
      <c r="B68" s="108"/>
      <c r="C68" s="157"/>
      <c r="D68" s="157"/>
      <c r="E68" s="157"/>
    </row>
    <row r="69" spans="1:5" ht="15.75">
      <c r="A69" s="163">
        <f>inputPrYr!B56</f>
        <v>0</v>
      </c>
      <c r="B69" s="108"/>
      <c r="C69" s="157"/>
      <c r="D69" s="157"/>
      <c r="E69" s="157"/>
    </row>
    <row r="70" spans="1:5" ht="15.75">
      <c r="A70" s="163">
        <f>inputPrYr!B57</f>
        <v>0</v>
      </c>
      <c r="B70" s="108"/>
      <c r="C70" s="157"/>
      <c r="D70" s="157"/>
      <c r="E70" s="157"/>
    </row>
    <row r="71" spans="1:5" ht="15.75">
      <c r="A71" s="163">
        <f>inputPrYr!B58</f>
        <v>0</v>
      </c>
      <c r="B71" s="108"/>
      <c r="C71" s="157"/>
      <c r="D71" s="157"/>
      <c r="E71" s="157"/>
    </row>
  </sheetData>
  <sheetProtection sheet="1"/>
  <mergeCells count="4">
    <mergeCell ref="A3:E3"/>
    <mergeCell ref="A27:B27"/>
    <mergeCell ref="B28:B30"/>
    <mergeCell ref="C28:E28"/>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F44"/>
  <sheetViews>
    <sheetView zoomScalePageLayoutView="0" workbookViewId="0" topLeftCell="A28">
      <selection activeCell="F54" sqref="F54"/>
    </sheetView>
  </sheetViews>
  <sheetFormatPr defaultColWidth="8.796875" defaultRowHeight="15"/>
  <cols>
    <col min="1" max="1" width="9.19921875" style="168" customWidth="1"/>
    <col min="2" max="2" width="18.59765625" style="168" customWidth="1"/>
    <col min="3" max="3" width="11.796875" style="168" customWidth="1"/>
    <col min="4" max="4" width="12.796875" style="168" customWidth="1"/>
    <col min="5" max="5" width="11.796875" style="168" customWidth="1"/>
    <col min="6" max="6" width="8.8984375" style="168" customWidth="1"/>
    <col min="7" max="7" width="3.296875" style="168" customWidth="1"/>
    <col min="8" max="16384" width="8.8984375" style="168" customWidth="1"/>
  </cols>
  <sheetData>
    <row r="1" spans="1:6" ht="15.75">
      <c r="A1" s="237" t="str">
        <f>inputPrYr!C2</f>
        <v>Sheridan County</v>
      </c>
      <c r="B1" s="88"/>
      <c r="C1" s="88"/>
      <c r="D1" s="88"/>
      <c r="E1" s="88"/>
      <c r="F1" s="335">
        <f>inputPrYr!C4</f>
        <v>2012</v>
      </c>
    </row>
    <row r="2" spans="1:6" ht="15.75">
      <c r="A2" s="88"/>
      <c r="B2" s="88"/>
      <c r="C2" s="88"/>
      <c r="D2" s="88"/>
      <c r="E2" s="88"/>
      <c r="F2" s="88"/>
    </row>
    <row r="3" spans="1:6" ht="15.75">
      <c r="A3" s="88"/>
      <c r="B3" s="695" t="str">
        <f>CONCATENATE("",F1," Neighborhood Revitalization Rebate")</f>
        <v>2012 Neighborhood Revitalization Rebate</v>
      </c>
      <c r="C3" s="735"/>
      <c r="D3" s="735"/>
      <c r="E3" s="735"/>
      <c r="F3" s="88"/>
    </row>
    <row r="4" spans="1:6" ht="15.75">
      <c r="A4" s="88"/>
      <c r="B4" s="88"/>
      <c r="C4" s="88"/>
      <c r="D4" s="88"/>
      <c r="E4" s="88"/>
      <c r="F4" s="88"/>
    </row>
    <row r="5" spans="1:6" ht="62.25" customHeight="1">
      <c r="A5" s="88"/>
      <c r="B5" s="391" t="str">
        <f>CONCATENATE("Budgeted Funds                       for ",F1,"")</f>
        <v>Budgeted Funds                       for 2012</v>
      </c>
      <c r="C5" s="391" t="str">
        <f>CONCATENATE("",F1-1," Ad Valorem before Rebate**")</f>
        <v>2011 Ad Valorem before Rebate**</v>
      </c>
      <c r="D5" s="392" t="str">
        <f>CONCATENATE("",F1-1," Mil Rate before Rebate")</f>
        <v>2011 Mil Rate before Rebate</v>
      </c>
      <c r="E5" s="393" t="str">
        <f>CONCATENATE("Estimate ",F1," NR Rebate")</f>
        <v>Estimate 2012 NR Rebate</v>
      </c>
      <c r="F5" s="140"/>
    </row>
    <row r="6" spans="1:6" ht="15.75">
      <c r="A6" s="88"/>
      <c r="B6" s="106" t="str">
        <f>inputPrYr!B16</f>
        <v>General</v>
      </c>
      <c r="C6" s="394">
        <v>1508881</v>
      </c>
      <c r="D6" s="395">
        <f aca="true" t="shared" si="0" ref="D6:D26">IF(C6&gt;0,C6/$D$32,"")</f>
        <v>34.27604276615442</v>
      </c>
      <c r="E6" s="289">
        <f aca="true" t="shared" si="1" ref="E6:E26">IF(C6&gt;0,ROUND(D6*$D$36,0),"")</f>
        <v>1257</v>
      </c>
      <c r="F6" s="140"/>
    </row>
    <row r="7" spans="1:6" ht="15.75">
      <c r="A7" s="88"/>
      <c r="B7" s="106" t="str">
        <f>inputPrYr!B18</f>
        <v>Road &amp; Bridge</v>
      </c>
      <c r="C7" s="394">
        <v>1434222</v>
      </c>
      <c r="D7" s="395">
        <f t="shared" si="0"/>
        <v>32.580073980757604</v>
      </c>
      <c r="E7" s="289">
        <f t="shared" si="1"/>
        <v>1194</v>
      </c>
      <c r="F7" s="140"/>
    </row>
    <row r="8" spans="1:6" ht="15.75">
      <c r="A8" s="88"/>
      <c r="B8" s="106" t="str">
        <f>inputPrYr!B19</f>
        <v>Noxious Weed</v>
      </c>
      <c r="C8" s="394">
        <v>71350</v>
      </c>
      <c r="D8" s="395">
        <f t="shared" si="0"/>
        <v>1.6208008791714639</v>
      </c>
      <c r="E8" s="289">
        <f t="shared" si="1"/>
        <v>59</v>
      </c>
      <c r="F8" s="140"/>
    </row>
    <row r="9" spans="1:6" ht="15.75">
      <c r="A9" s="88"/>
      <c r="B9" s="106" t="str">
        <f>inputPrYr!B20</f>
        <v>Mental Health</v>
      </c>
      <c r="C9" s="394">
        <v>14696</v>
      </c>
      <c r="D9" s="395">
        <f t="shared" si="0"/>
        <v>0.33383727708905164</v>
      </c>
      <c r="E9" s="289">
        <f t="shared" si="1"/>
        <v>12</v>
      </c>
      <c r="F9" s="140"/>
    </row>
    <row r="10" spans="1:6" ht="15.75">
      <c r="A10" s="88"/>
      <c r="B10" s="106" t="str">
        <f>inputPrYr!B21</f>
        <v>Public Health</v>
      </c>
      <c r="C10" s="394">
        <v>21195</v>
      </c>
      <c r="D10" s="395">
        <f t="shared" si="0"/>
        <v>0.48146986172444534</v>
      </c>
      <c r="E10" s="289">
        <f t="shared" si="1"/>
        <v>18</v>
      </c>
      <c r="F10" s="140"/>
    </row>
    <row r="11" spans="1:6" ht="15.75">
      <c r="A11" s="88"/>
      <c r="B11" s="106" t="str">
        <f>inputPrYr!B22</f>
        <v>Council on Aging</v>
      </c>
      <c r="C11" s="396">
        <v>33016</v>
      </c>
      <c r="D11" s="395">
        <f t="shared" si="0"/>
        <v>0.749998063443939</v>
      </c>
      <c r="E11" s="289">
        <f t="shared" si="1"/>
        <v>27</v>
      </c>
      <c r="F11" s="140"/>
    </row>
    <row r="12" spans="1:6" ht="15.75">
      <c r="A12" s="88"/>
      <c r="B12" s="106" t="str">
        <f>inputPrYr!B23</f>
        <v>Library Service Contract</v>
      </c>
      <c r="C12" s="396">
        <v>15547</v>
      </c>
      <c r="D12" s="395">
        <f t="shared" si="0"/>
        <v>0.3531687633984408</v>
      </c>
      <c r="E12" s="289">
        <f t="shared" si="1"/>
        <v>13</v>
      </c>
      <c r="F12" s="140"/>
    </row>
    <row r="13" spans="1:6" ht="15.75">
      <c r="A13" s="88"/>
      <c r="B13" s="106" t="str">
        <f>inputPrYr!B24</f>
        <v>Hospital Maintenance</v>
      </c>
      <c r="C13" s="396">
        <v>440214</v>
      </c>
      <c r="D13" s="395">
        <f t="shared" si="0"/>
        <v>9.99998932338594</v>
      </c>
      <c r="E13" s="289">
        <f t="shared" si="1"/>
        <v>367</v>
      </c>
      <c r="F13" s="140"/>
    </row>
    <row r="14" spans="1:6" ht="15.75">
      <c r="A14" s="88"/>
      <c r="B14" s="106" t="str">
        <f>inputPrYr!B25</f>
        <v>Mental Retardation</v>
      </c>
      <c r="C14" s="396">
        <v>41600</v>
      </c>
      <c r="D14" s="395">
        <f t="shared" si="0"/>
        <v>0.9449939253473426</v>
      </c>
      <c r="E14" s="289">
        <f t="shared" si="1"/>
        <v>35</v>
      </c>
      <c r="F14" s="140"/>
    </row>
    <row r="15" spans="1:6" ht="15.75">
      <c r="A15" s="88"/>
      <c r="B15" s="106">
        <f>inputPrYr!B26</f>
        <v>0</v>
      </c>
      <c r="C15" s="396"/>
      <c r="D15" s="395">
        <f t="shared" si="0"/>
      </c>
      <c r="E15" s="289">
        <f t="shared" si="1"/>
      </c>
      <c r="F15" s="140"/>
    </row>
    <row r="16" spans="1:6" ht="15.75">
      <c r="A16" s="88"/>
      <c r="B16" s="106">
        <f>inputPrYr!B27</f>
        <v>0</v>
      </c>
      <c r="C16" s="396"/>
      <c r="D16" s="395">
        <f t="shared" si="0"/>
      </c>
      <c r="E16" s="289">
        <f t="shared" si="1"/>
      </c>
      <c r="F16" s="140"/>
    </row>
    <row r="17" spans="1:6" ht="15.75">
      <c r="A17" s="88"/>
      <c r="B17" s="106">
        <f>inputPrYr!B28</f>
        <v>0</v>
      </c>
      <c r="C17" s="396"/>
      <c r="D17" s="395">
        <f t="shared" si="0"/>
      </c>
      <c r="E17" s="289">
        <f t="shared" si="1"/>
      </c>
      <c r="F17" s="140"/>
    </row>
    <row r="18" spans="1:6" ht="15.75">
      <c r="A18" s="88"/>
      <c r="B18" s="106">
        <f>inputPrYr!B29</f>
        <v>0</v>
      </c>
      <c r="C18" s="396"/>
      <c r="D18" s="395">
        <f t="shared" si="0"/>
      </c>
      <c r="E18" s="289">
        <f t="shared" si="1"/>
      </c>
      <c r="F18" s="140"/>
    </row>
    <row r="19" spans="1:6" ht="15.75">
      <c r="A19" s="88"/>
      <c r="B19" s="106">
        <f>inputPrYr!B33</f>
        <v>0</v>
      </c>
      <c r="C19" s="396"/>
      <c r="D19" s="395">
        <f t="shared" si="0"/>
      </c>
      <c r="E19" s="289">
        <f t="shared" si="1"/>
      </c>
      <c r="F19" s="140"/>
    </row>
    <row r="20" spans="1:6" ht="15.75">
      <c r="A20" s="88"/>
      <c r="B20" s="106">
        <f>inputPrYr!B34</f>
        <v>0</v>
      </c>
      <c r="C20" s="396"/>
      <c r="D20" s="395">
        <f t="shared" si="0"/>
      </c>
      <c r="E20" s="289">
        <f t="shared" si="1"/>
      </c>
      <c r="F20" s="140"/>
    </row>
    <row r="21" spans="1:6" ht="15.75">
      <c r="A21" s="88"/>
      <c r="B21" s="106">
        <f>inputPrYr!B35</f>
        <v>0</v>
      </c>
      <c r="C21" s="396"/>
      <c r="D21" s="395">
        <f t="shared" si="0"/>
      </c>
      <c r="E21" s="289">
        <f t="shared" si="1"/>
      </c>
      <c r="F21" s="140"/>
    </row>
    <row r="22" spans="1:6" ht="15.75">
      <c r="A22" s="88"/>
      <c r="B22" s="106">
        <f>inputPrYr!B36</f>
        <v>0</v>
      </c>
      <c r="C22" s="396"/>
      <c r="D22" s="395">
        <f t="shared" si="0"/>
      </c>
      <c r="E22" s="289">
        <f t="shared" si="1"/>
      </c>
      <c r="F22" s="140"/>
    </row>
    <row r="23" spans="1:6" ht="15.75">
      <c r="A23" s="88"/>
      <c r="B23" s="106">
        <f>inputPrYr!B37</f>
        <v>0</v>
      </c>
      <c r="C23" s="396"/>
      <c r="D23" s="395">
        <f t="shared" si="0"/>
      </c>
      <c r="E23" s="289">
        <f t="shared" si="1"/>
      </c>
      <c r="F23" s="140"/>
    </row>
    <row r="24" spans="1:6" ht="15.75">
      <c r="A24" s="88"/>
      <c r="B24" s="106">
        <f>inputPrYr!B38</f>
        <v>0</v>
      </c>
      <c r="C24" s="396"/>
      <c r="D24" s="395">
        <f t="shared" si="0"/>
      </c>
      <c r="E24" s="289">
        <f t="shared" si="1"/>
      </c>
      <c r="F24" s="140"/>
    </row>
    <row r="25" spans="1:6" ht="15.75">
      <c r="A25" s="88"/>
      <c r="B25" s="106">
        <f>inputPrYr!B39</f>
        <v>0</v>
      </c>
      <c r="C25" s="396"/>
      <c r="D25" s="395">
        <f t="shared" si="0"/>
      </c>
      <c r="E25" s="289">
        <f t="shared" si="1"/>
      </c>
      <c r="F25" s="140"/>
    </row>
    <row r="26" spans="1:6" ht="15.75">
      <c r="A26" s="88"/>
      <c r="B26" s="106">
        <f>inputPrYr!B40</f>
        <v>0</v>
      </c>
      <c r="C26" s="396"/>
      <c r="D26" s="395">
        <f t="shared" si="0"/>
      </c>
      <c r="E26" s="289">
        <f t="shared" si="1"/>
      </c>
      <c r="F26" s="140"/>
    </row>
    <row r="27" spans="1:6" ht="16.5" thickBot="1">
      <c r="A27" s="88"/>
      <c r="B27" s="111" t="s">
        <v>150</v>
      </c>
      <c r="C27" s="397">
        <f>SUM(C6:C26)</f>
        <v>3580721</v>
      </c>
      <c r="D27" s="398">
        <f>SUM(D6:D26)</f>
        <v>81.34037484047266</v>
      </c>
      <c r="E27" s="397">
        <f>SUM(E6:E26)</f>
        <v>2982</v>
      </c>
      <c r="F27" s="140"/>
    </row>
    <row r="28" spans="1:6" ht="16.5" thickTop="1">
      <c r="A28" s="88"/>
      <c r="B28" s="88"/>
      <c r="C28" s="88"/>
      <c r="D28" s="88"/>
      <c r="E28" s="88"/>
      <c r="F28" s="140"/>
    </row>
    <row r="29" spans="1:6" ht="15.75">
      <c r="A29" s="88"/>
      <c r="B29" s="88"/>
      <c r="C29" s="88"/>
      <c r="D29" s="88"/>
      <c r="E29" s="88"/>
      <c r="F29" s="140"/>
    </row>
    <row r="30" spans="1:6" ht="15.75">
      <c r="A30" s="736" t="str">
        <f>CONCATENATE("",F1-1," July 1 Valuation:")</f>
        <v>2011 July 1 Valuation:</v>
      </c>
      <c r="B30" s="717"/>
      <c r="C30" s="736"/>
      <c r="D30" s="399">
        <f>inputOth!E6</f>
        <v>44021447</v>
      </c>
      <c r="E30" s="88"/>
      <c r="F30" s="140"/>
    </row>
    <row r="31" spans="1:6" ht="15.75">
      <c r="A31" s="88"/>
      <c r="B31" s="88"/>
      <c r="C31" s="88"/>
      <c r="D31" s="88"/>
      <c r="E31" s="88"/>
      <c r="F31" s="140"/>
    </row>
    <row r="32" spans="1:6" ht="15.75">
      <c r="A32" s="88"/>
      <c r="B32" s="736" t="s">
        <v>398</v>
      </c>
      <c r="C32" s="736"/>
      <c r="D32" s="400">
        <f>IF(D30&gt;0,(D30*0.001),"")</f>
        <v>44021.447</v>
      </c>
      <c r="E32" s="88"/>
      <c r="F32" s="140"/>
    </row>
    <row r="33" spans="1:6" ht="15.75">
      <c r="A33" s="88"/>
      <c r="B33" s="297"/>
      <c r="C33" s="297"/>
      <c r="D33" s="401"/>
      <c r="E33" s="88"/>
      <c r="F33" s="140"/>
    </row>
    <row r="34" spans="1:6" ht="15.75">
      <c r="A34" s="734" t="s">
        <v>399</v>
      </c>
      <c r="B34" s="687"/>
      <c r="C34" s="687"/>
      <c r="D34" s="402">
        <f>inputOth!E12</f>
        <v>36662</v>
      </c>
      <c r="E34" s="157"/>
      <c r="F34" s="157"/>
    </row>
    <row r="35" spans="1:6" ht="15">
      <c r="A35" s="157"/>
      <c r="B35" s="157"/>
      <c r="C35" s="157"/>
      <c r="D35" s="403"/>
      <c r="E35" s="157"/>
      <c r="F35" s="157"/>
    </row>
    <row r="36" spans="1:6" ht="15.75">
      <c r="A36" s="157"/>
      <c r="B36" s="734" t="s">
        <v>400</v>
      </c>
      <c r="C36" s="717"/>
      <c r="D36" s="404">
        <f>IF(D34&gt;0,(D34*0.001),"")</f>
        <v>36.662</v>
      </c>
      <c r="E36" s="157"/>
      <c r="F36" s="157"/>
    </row>
    <row r="37" spans="1:6" ht="15">
      <c r="A37" s="157"/>
      <c r="B37" s="157"/>
      <c r="C37" s="157"/>
      <c r="D37" s="157"/>
      <c r="E37" s="157"/>
      <c r="F37" s="157"/>
    </row>
    <row r="38" spans="1:6" ht="15">
      <c r="A38" s="157"/>
      <c r="B38" s="157"/>
      <c r="C38" s="157"/>
      <c r="D38" s="157"/>
      <c r="E38" s="157"/>
      <c r="F38" s="157"/>
    </row>
    <row r="39" spans="1:6" ht="15.75">
      <c r="A39" s="29" t="str">
        <f>CONCATENATE("**This information comes from the ",F1," Budget Summary page.  See instructions tab #11 for completing")</f>
        <v>**This information comes from the 2012 Budget Summary page.  See instructions tab #11 for completing</v>
      </c>
      <c r="B39" s="157"/>
      <c r="C39" s="157"/>
      <c r="D39" s="157"/>
      <c r="E39" s="157"/>
      <c r="F39" s="157"/>
    </row>
    <row r="40" spans="1:6" ht="15.75">
      <c r="A40" s="29" t="s">
        <v>646</v>
      </c>
      <c r="B40" s="157"/>
      <c r="C40" s="157"/>
      <c r="D40" s="157"/>
      <c r="E40" s="157"/>
      <c r="F40" s="157"/>
    </row>
    <row r="41" spans="1:6" ht="15.75">
      <c r="A41" s="29"/>
      <c r="B41" s="157"/>
      <c r="C41" s="157"/>
      <c r="D41" s="157"/>
      <c r="E41" s="157"/>
      <c r="F41" s="157"/>
    </row>
    <row r="42" spans="1:6" ht="15">
      <c r="A42" s="157"/>
      <c r="B42" s="157"/>
      <c r="C42" s="157"/>
      <c r="D42" s="157"/>
      <c r="E42" s="157"/>
      <c r="F42" s="157"/>
    </row>
    <row r="43" spans="1:6" ht="15.75">
      <c r="A43" s="157"/>
      <c r="B43" s="331"/>
      <c r="C43" s="658" t="s">
        <v>1018</v>
      </c>
      <c r="D43" s="157"/>
      <c r="E43" s="157"/>
      <c r="F43" s="157"/>
    </row>
    <row r="44" spans="1:6" ht="15.75">
      <c r="A44" s="140"/>
      <c r="B44" s="88"/>
      <c r="C44" s="88"/>
      <c r="D44" s="405"/>
      <c r="E44" s="140"/>
      <c r="F44" s="140"/>
    </row>
  </sheetData>
  <sheetProtection/>
  <mergeCells count="5">
    <mergeCell ref="B36:C36"/>
    <mergeCell ref="B3:E3"/>
    <mergeCell ref="A30:C30"/>
    <mergeCell ref="B32:C32"/>
    <mergeCell ref="A34:C34"/>
  </mergeCells>
  <printOptions/>
  <pageMargins left="0.75" right="0.75" top="1" bottom="0.51" header="0.5" footer="0.5"/>
  <pageSetup blackAndWhite="1" horizontalDpi="600" verticalDpi="600" orientation="portrait" scale="95" r:id="rId1"/>
  <headerFooter alignWithMargins="0">
    <oddHeader>&amp;RState of Kansas
County</oddHeader>
  </headerFooter>
</worksheet>
</file>

<file path=xl/worksheets/sheet31.xml><?xml version="1.0" encoding="utf-8"?>
<worksheet xmlns="http://schemas.openxmlformats.org/spreadsheetml/2006/main" xmlns:r="http://schemas.openxmlformats.org/officeDocument/2006/relationships">
  <dimension ref="A1:H54"/>
  <sheetViews>
    <sheetView zoomScalePageLayoutView="0" workbookViewId="0" topLeftCell="A31">
      <selection activeCell="C47" sqref="C47"/>
    </sheetView>
  </sheetViews>
  <sheetFormatPr defaultColWidth="9.796875" defaultRowHeight="15"/>
  <cols>
    <col min="1" max="16384" width="9.796875" style="39" customWidth="1"/>
  </cols>
  <sheetData>
    <row r="1" spans="1:8" ht="15.75" customHeight="1">
      <c r="A1" s="737" t="s">
        <v>285</v>
      </c>
      <c r="B1" s="737"/>
      <c r="C1" s="737"/>
      <c r="D1" s="737"/>
      <c r="E1" s="737"/>
      <c r="F1" s="737"/>
      <c r="G1" s="737"/>
      <c r="H1" s="737"/>
    </row>
    <row r="2" spans="1:8" ht="9" customHeight="1">
      <c r="A2" s="38"/>
      <c r="B2" s="53"/>
      <c r="C2" s="53"/>
      <c r="D2" s="53"/>
      <c r="E2" s="53"/>
      <c r="F2" s="53"/>
      <c r="G2" s="40"/>
      <c r="H2" s="54"/>
    </row>
    <row r="3" spans="1:8" ht="15.75" customHeight="1">
      <c r="A3" s="738" t="s">
        <v>286</v>
      </c>
      <c r="B3" s="738"/>
      <c r="C3" s="738"/>
      <c r="D3" s="738"/>
      <c r="E3" s="738"/>
      <c r="F3" s="738"/>
      <c r="G3" s="738"/>
      <c r="H3" s="738"/>
    </row>
    <row r="4" spans="1:8" ht="9" customHeight="1">
      <c r="A4" s="41"/>
      <c r="B4" s="53"/>
      <c r="C4" s="53"/>
      <c r="D4" s="53"/>
      <c r="E4" s="53"/>
      <c r="F4" s="53"/>
      <c r="G4" s="53"/>
      <c r="H4" s="54"/>
    </row>
    <row r="5" spans="1:8" ht="15.75" customHeight="1">
      <c r="A5" s="42" t="str">
        <f>CONCATENATE("A resolution expressing the property taxation policy of the Board of ",(inputPrYr!C2)," Commissioners")</f>
        <v>A resolution expressing the property taxation policy of the Board of Sheridan County Commissioners</v>
      </c>
      <c r="B5" s="53"/>
      <c r="C5" s="53"/>
      <c r="D5" s="53"/>
      <c r="E5" s="53"/>
      <c r="F5" s="53"/>
      <c r="G5" s="53"/>
      <c r="H5" s="54"/>
    </row>
    <row r="6" spans="1:8" ht="15.75" customHeight="1">
      <c r="A6" s="42" t="str">
        <f>CONCATENATE("with respect to financing the ",inputPrYr!C4," annual budget for ",(inputPrYr!E2)," .")</f>
        <v>with respect to financing the 2012 annual budget for  .</v>
      </c>
      <c r="B6" s="53"/>
      <c r="C6" s="53"/>
      <c r="D6" s="53"/>
      <c r="E6" s="53"/>
      <c r="F6" s="53"/>
      <c r="G6" s="53"/>
      <c r="H6" s="54"/>
    </row>
    <row r="7" spans="1:8" ht="9" customHeight="1">
      <c r="A7" s="38"/>
      <c r="B7" s="53"/>
      <c r="C7" s="53"/>
      <c r="D7" s="53"/>
      <c r="E7" s="53"/>
      <c r="F7" s="53"/>
      <c r="G7" s="53"/>
      <c r="H7" s="54"/>
    </row>
    <row r="8" spans="1:8" ht="15.75" customHeight="1">
      <c r="A8" s="43" t="str">
        <f>CONCATENATE("Whereas, K.S.A. 79-2925b provides that a resolution be adopted if property taxes levied to finance the ",inputPrYr!C4,"")</f>
        <v>Whereas, K.S.A. 79-2925b provides that a resolution be adopted if property taxes levied to finance the 2012</v>
      </c>
      <c r="B8" s="53"/>
      <c r="C8" s="53"/>
      <c r="D8" s="53"/>
      <c r="E8" s="53"/>
      <c r="F8" s="53"/>
      <c r="G8" s="53"/>
      <c r="H8" s="54"/>
    </row>
    <row r="9" spans="1:8" ht="15.75" customHeight="1">
      <c r="A9" s="740" t="str">
        <f>CONCATENATE("",(inputPrYr!C2)," budget exceed the amount levied to finance the ",inputPrYr!C4-1," ",(inputPrYr!C2)," ",A15,)</f>
        <v>Sheridan County budget exceed the amount levied to finance the 2011 Sheridan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9" s="740"/>
      <c r="C9" s="740"/>
      <c r="D9" s="740"/>
      <c r="E9" s="740"/>
      <c r="F9" s="740"/>
      <c r="G9" s="740"/>
      <c r="H9" s="740"/>
    </row>
    <row r="10" spans="1:8" ht="15.75" customHeight="1">
      <c r="A10" s="740"/>
      <c r="B10" s="740"/>
      <c r="C10" s="740"/>
      <c r="D10" s="740"/>
      <c r="E10" s="740"/>
      <c r="F10" s="740"/>
      <c r="G10" s="740"/>
      <c r="H10" s="740"/>
    </row>
    <row r="11" spans="1:8" ht="15.75" customHeight="1">
      <c r="A11" s="740"/>
      <c r="B11" s="740"/>
      <c r="C11" s="740"/>
      <c r="D11" s="740"/>
      <c r="E11" s="740"/>
      <c r="F11" s="740"/>
      <c r="G11" s="740"/>
      <c r="H11" s="740"/>
    </row>
    <row r="12" spans="1:8" ht="15.75" customHeight="1">
      <c r="A12" s="740"/>
      <c r="B12" s="740"/>
      <c r="C12" s="740"/>
      <c r="D12" s="740"/>
      <c r="E12" s="740"/>
      <c r="F12" s="740"/>
      <c r="G12" s="740"/>
      <c r="H12" s="740"/>
    </row>
    <row r="13" spans="1:8" ht="15.75" customHeight="1">
      <c r="A13" s="740"/>
      <c r="B13" s="740"/>
      <c r="C13" s="740"/>
      <c r="D13" s="740"/>
      <c r="E13" s="740"/>
      <c r="F13" s="740"/>
      <c r="G13" s="740"/>
      <c r="H13" s="740"/>
    </row>
    <row r="14" spans="1:8" ht="6" customHeight="1">
      <c r="A14" s="740"/>
      <c r="B14" s="740"/>
      <c r="C14" s="740"/>
      <c r="D14" s="740"/>
      <c r="E14" s="740"/>
      <c r="F14" s="740"/>
      <c r="G14" s="740"/>
      <c r="H14" s="740"/>
    </row>
    <row r="15" spans="1:8" ht="9" customHeight="1">
      <c r="A15" s="55" t="s">
        <v>310</v>
      </c>
      <c r="B15" s="53"/>
      <c r="C15" s="53"/>
      <c r="D15" s="53"/>
      <c r="E15" s="53"/>
      <c r="F15" s="53"/>
      <c r="G15" s="53"/>
      <c r="H15" s="54" t="s">
        <v>183</v>
      </c>
    </row>
    <row r="16" spans="1:8" ht="15.75" customHeight="1">
      <c r="A16" s="740" t="s">
        <v>287</v>
      </c>
      <c r="B16" s="740"/>
      <c r="C16" s="740"/>
      <c r="D16" s="740"/>
      <c r="E16" s="740"/>
      <c r="F16" s="740"/>
      <c r="G16" s="740"/>
      <c r="H16" s="740"/>
    </row>
    <row r="17" spans="1:8" ht="15.75" customHeight="1">
      <c r="A17" s="740"/>
      <c r="B17" s="740"/>
      <c r="C17" s="740"/>
      <c r="D17" s="740"/>
      <c r="E17" s="740"/>
      <c r="F17" s="740"/>
      <c r="G17" s="740"/>
      <c r="H17" s="740"/>
    </row>
    <row r="18" spans="1:8" ht="9" customHeight="1">
      <c r="A18" s="41"/>
      <c r="B18" s="53"/>
      <c r="C18" s="53"/>
      <c r="D18" s="53"/>
      <c r="E18" s="53"/>
      <c r="F18" s="53"/>
      <c r="G18" s="53"/>
      <c r="H18" s="54"/>
    </row>
    <row r="19" spans="1:8" ht="15.75" customHeight="1">
      <c r="A19" s="740" t="str">
        <f>CONCATENATE("Whereas, ",(inputPrYr!C2)," provides the essential services to protect the health, safety, and well being of the citizens of the county; and")</f>
        <v>Whereas, Sheridan County provides the essential services to protect the health, safety, and well being of the citizens of the county; and</v>
      </c>
      <c r="B19" s="740"/>
      <c r="C19" s="740"/>
      <c r="D19" s="740"/>
      <c r="E19" s="740"/>
      <c r="F19" s="740"/>
      <c r="G19" s="740"/>
      <c r="H19" s="740"/>
    </row>
    <row r="20" spans="1:8" ht="15.75" customHeight="1">
      <c r="A20" s="740"/>
      <c r="B20" s="740"/>
      <c r="C20" s="740"/>
      <c r="D20" s="740"/>
      <c r="E20" s="740"/>
      <c r="F20" s="740"/>
      <c r="G20" s="740"/>
      <c r="H20" s="740"/>
    </row>
    <row r="21" spans="1:8" ht="9" customHeight="1">
      <c r="A21" s="44"/>
      <c r="B21" s="53"/>
      <c r="C21" s="53"/>
      <c r="D21" s="53"/>
      <c r="E21" s="53"/>
      <c r="F21" s="53"/>
      <c r="G21" s="53"/>
      <c r="H21" s="54"/>
    </row>
    <row r="22" spans="1:8" ht="15.75" customHeight="1">
      <c r="A22" s="44" t="s">
        <v>288</v>
      </c>
      <c r="B22" s="53"/>
      <c r="C22" s="53"/>
      <c r="D22" s="53"/>
      <c r="E22" s="53"/>
      <c r="F22" s="53"/>
      <c r="G22" s="53"/>
      <c r="H22" s="54"/>
    </row>
    <row r="23" spans="1:8" ht="9" customHeight="1">
      <c r="A23" s="41"/>
      <c r="B23" s="53"/>
      <c r="C23" s="53"/>
      <c r="D23" s="53"/>
      <c r="E23" s="53"/>
      <c r="F23" s="53"/>
      <c r="G23" s="53"/>
      <c r="H23" s="54"/>
    </row>
    <row r="24" spans="1:8" ht="15.75" customHeight="1">
      <c r="A24" s="740" t="str">
        <f>CONCATENATE("Whereas, the ",inputPrYr!C4-1," Kansas State Legislature failed to fulfill its obligations in regard to the statutory funding of demand transfers and, by significantly ",A27," ",(inputPrYr!C2),B27)</f>
        <v>Whereas, the 2011 Kansas State Legislature failed to fulfill its obligations in regard to the statutory funding of demand transfers and, by significantly limiting state revenue sharing payments to counties, has contributed to higher county property tax levies to finance the 2012 Sheridan County budget.</v>
      </c>
      <c r="B24" s="740"/>
      <c r="C24" s="740"/>
      <c r="D24" s="740"/>
      <c r="E24" s="740"/>
      <c r="F24" s="740"/>
      <c r="G24" s="740"/>
      <c r="H24" s="740"/>
    </row>
    <row r="25" spans="1:8" ht="15.75" customHeight="1">
      <c r="A25" s="740"/>
      <c r="B25" s="740"/>
      <c r="C25" s="740"/>
      <c r="D25" s="740"/>
      <c r="E25" s="740"/>
      <c r="F25" s="740"/>
      <c r="G25" s="740"/>
      <c r="H25" s="740"/>
    </row>
    <row r="26" spans="1:8" ht="15.75" customHeight="1">
      <c r="A26" s="740"/>
      <c r="B26" s="740"/>
      <c r="C26" s="740"/>
      <c r="D26" s="740"/>
      <c r="E26" s="740"/>
      <c r="F26" s="740"/>
      <c r="G26" s="740"/>
      <c r="H26" s="740"/>
    </row>
    <row r="27" spans="1:8" ht="9" customHeight="1">
      <c r="A27" s="45" t="str">
        <f>CONCATENATE("limiting state revenue sharing payments to counties, has contributed to higher county property tax levies to finance the ",inputPrYr!C4,"")</f>
        <v>limiting state revenue sharing payments to counties, has contributed to higher county property tax levies to finance the 2012</v>
      </c>
      <c r="B27" s="56" t="s">
        <v>311</v>
      </c>
      <c r="C27" s="6"/>
      <c r="D27" s="6"/>
      <c r="E27" s="6"/>
      <c r="F27" s="6"/>
      <c r="G27" s="6"/>
      <c r="H27" s="57"/>
    </row>
    <row r="28" spans="1:8" ht="15.75" customHeight="1">
      <c r="A28" s="740"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",(inputPrYr!C2),A36,)</f>
        <v>NOW, THEREFORE, BE IT RESOLVED by the Board of Sheridan County Commissioners that is our desire to notify the public of the possibility of increased property taxes to finance the 2012 Sheridan County budget due to the above mentioned constraints, and that all persons are invited and encouraged to attend budget meeting conducted by the Board of Sheridan County Commissioners.  The date and time of budget hearings with the Board of Sheridan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8" s="740"/>
      <c r="C28" s="740"/>
      <c r="D28" s="740"/>
      <c r="E28" s="740"/>
      <c r="F28" s="740"/>
      <c r="G28" s="740"/>
      <c r="H28" s="740"/>
    </row>
    <row r="29" spans="1:8" ht="15.75" customHeight="1">
      <c r="A29" s="740"/>
      <c r="B29" s="740"/>
      <c r="C29" s="740"/>
      <c r="D29" s="740"/>
      <c r="E29" s="740"/>
      <c r="F29" s="740"/>
      <c r="G29" s="740"/>
      <c r="H29" s="740"/>
    </row>
    <row r="30" spans="1:8" ht="15.75" customHeight="1">
      <c r="A30" s="740"/>
      <c r="B30" s="740"/>
      <c r="C30" s="740"/>
      <c r="D30" s="740"/>
      <c r="E30" s="740"/>
      <c r="F30" s="740"/>
      <c r="G30" s="740"/>
      <c r="H30" s="740"/>
    </row>
    <row r="31" spans="1:8" ht="15.75" customHeight="1">
      <c r="A31" s="740"/>
      <c r="B31" s="740"/>
      <c r="C31" s="740"/>
      <c r="D31" s="740"/>
      <c r="E31" s="740"/>
      <c r="F31" s="740"/>
      <c r="G31" s="740"/>
      <c r="H31" s="740"/>
    </row>
    <row r="32" spans="1:8" ht="15.75" customHeight="1">
      <c r="A32" s="740"/>
      <c r="B32" s="740"/>
      <c r="C32" s="740"/>
      <c r="D32" s="740"/>
      <c r="E32" s="740"/>
      <c r="F32" s="740"/>
      <c r="G32" s="740"/>
      <c r="H32" s="740"/>
    </row>
    <row r="33" spans="1:8" ht="15.75" customHeight="1">
      <c r="A33" s="740"/>
      <c r="B33" s="740"/>
      <c r="C33" s="740"/>
      <c r="D33" s="740"/>
      <c r="E33" s="740"/>
      <c r="F33" s="740"/>
      <c r="G33" s="740"/>
      <c r="H33" s="740"/>
    </row>
    <row r="34" spans="1:8" ht="15.75" customHeight="1">
      <c r="A34" s="740"/>
      <c r="B34" s="740"/>
      <c r="C34" s="740"/>
      <c r="D34" s="740"/>
      <c r="E34" s="740"/>
      <c r="F34" s="740"/>
      <c r="G34" s="740"/>
      <c r="H34" s="740"/>
    </row>
    <row r="35" spans="1:8" ht="15.75" customHeight="1">
      <c r="A35" s="740"/>
      <c r="B35" s="740"/>
      <c r="C35" s="740"/>
      <c r="D35" s="740"/>
      <c r="E35" s="740"/>
      <c r="F35" s="740"/>
      <c r="G35" s="740"/>
      <c r="H35" s="740"/>
    </row>
    <row r="36" spans="1:8" ht="15.75" customHeight="1">
      <c r="A36" s="46" t="s">
        <v>320</v>
      </c>
      <c r="B36" s="6"/>
      <c r="C36" s="6"/>
      <c r="D36" s="6"/>
      <c r="E36" s="6"/>
      <c r="F36" s="6"/>
      <c r="G36" s="6"/>
      <c r="H36" s="57" t="s">
        <v>183</v>
      </c>
    </row>
    <row r="37" spans="1:8" ht="15.75" customHeight="1">
      <c r="A37" s="739" t="str">
        <f>CONCATENATE("                                                 Adopted this _________ day of ___________, ",inputPrYr!C4-1," by the Board of ",(inputPrYr!C2)," Commissioners.")</f>
        <v>                                                 Adopted this _________ day of ___________, 2011 by the Board of Sheridan County Commissioners.</v>
      </c>
      <c r="B37" s="739"/>
      <c r="C37" s="739"/>
      <c r="D37" s="739"/>
      <c r="E37" s="739"/>
      <c r="F37" s="739"/>
      <c r="G37" s="739"/>
      <c r="H37" s="739"/>
    </row>
    <row r="38" spans="1:8" ht="15.75" customHeight="1">
      <c r="A38" s="739"/>
      <c r="B38" s="739"/>
      <c r="C38" s="739"/>
      <c r="D38" s="739"/>
      <c r="E38" s="739"/>
      <c r="F38" s="739"/>
      <c r="G38" s="739"/>
      <c r="H38" s="739"/>
    </row>
    <row r="39" spans="1:8" ht="15.75" customHeight="1">
      <c r="A39" s="6"/>
      <c r="B39" s="6"/>
      <c r="C39" s="6"/>
      <c r="D39" s="6"/>
      <c r="E39" s="741" t="s">
        <v>289</v>
      </c>
      <c r="F39" s="741"/>
      <c r="G39" s="741"/>
      <c r="H39" s="741"/>
    </row>
    <row r="40" spans="1:8" ht="14.25" customHeight="1">
      <c r="A40" s="47"/>
      <c r="B40" s="6"/>
      <c r="C40" s="6"/>
      <c r="D40" s="6"/>
      <c r="E40" s="741"/>
      <c r="F40" s="741"/>
      <c r="G40" s="741"/>
      <c r="H40" s="741"/>
    </row>
    <row r="41" spans="1:8" ht="15.75" customHeight="1">
      <c r="A41" s="6"/>
      <c r="B41" s="6"/>
      <c r="C41" s="6"/>
      <c r="D41" s="6"/>
      <c r="E41" s="741" t="s">
        <v>290</v>
      </c>
      <c r="F41" s="741"/>
      <c r="G41" s="741"/>
      <c r="H41" s="741"/>
    </row>
    <row r="42" spans="1:8" ht="15.75" customHeight="1">
      <c r="A42" s="47"/>
      <c r="B42" s="6"/>
      <c r="C42" s="6"/>
      <c r="D42" s="6"/>
      <c r="E42" s="741"/>
      <c r="F42" s="741"/>
      <c r="G42" s="741"/>
      <c r="H42" s="741"/>
    </row>
    <row r="43" spans="1:8" ht="12.75" customHeight="1">
      <c r="A43" s="6"/>
      <c r="B43" s="6"/>
      <c r="C43" s="6"/>
      <c r="D43" s="6"/>
      <c r="E43" s="741" t="s">
        <v>290</v>
      </c>
      <c r="F43" s="741"/>
      <c r="G43" s="741"/>
      <c r="H43" s="741"/>
    </row>
    <row r="44" spans="1:8" ht="15.75" customHeight="1">
      <c r="A44" s="47"/>
      <c r="B44" s="6"/>
      <c r="C44" s="6"/>
      <c r="D44" s="6"/>
      <c r="E44" s="741"/>
      <c r="F44" s="741"/>
      <c r="G44" s="741"/>
      <c r="H44" s="741"/>
    </row>
    <row r="45" spans="1:8" ht="12" customHeight="1">
      <c r="A45" s="6"/>
      <c r="B45" s="6"/>
      <c r="C45" s="6"/>
      <c r="D45" s="6"/>
      <c r="E45" s="741" t="s">
        <v>290</v>
      </c>
      <c r="F45" s="741"/>
      <c r="G45" s="741"/>
      <c r="H45" s="741"/>
    </row>
    <row r="46" spans="1:8" ht="10.5" customHeight="1">
      <c r="A46" s="47"/>
      <c r="B46" s="6"/>
      <c r="C46" s="6"/>
      <c r="D46" s="6"/>
      <c r="E46" s="6"/>
      <c r="F46" s="6"/>
      <c r="G46" s="6"/>
      <c r="H46" s="57"/>
    </row>
    <row r="47" spans="1:8" ht="15.75" customHeight="1">
      <c r="A47" s="47" t="s">
        <v>291</v>
      </c>
      <c r="B47" s="6"/>
      <c r="C47" s="6"/>
      <c r="D47" s="6"/>
      <c r="E47" s="6"/>
      <c r="F47" s="6"/>
      <c r="G47" s="6"/>
      <c r="H47" s="57"/>
    </row>
    <row r="48" spans="1:8" ht="10.5" customHeight="1">
      <c r="A48" s="47"/>
      <c r="B48" s="6"/>
      <c r="C48" s="6"/>
      <c r="D48" s="6"/>
      <c r="E48" s="6"/>
      <c r="F48" s="6"/>
      <c r="G48" s="47"/>
      <c r="H48" s="57"/>
    </row>
    <row r="49" spans="1:8" ht="15.75" customHeight="1">
      <c r="A49" s="48" t="s">
        <v>292</v>
      </c>
      <c r="B49" s="2"/>
      <c r="C49" s="2"/>
      <c r="D49" s="2"/>
      <c r="E49" s="2"/>
      <c r="F49" s="2"/>
      <c r="G49" s="47"/>
      <c r="H49" s="57"/>
    </row>
    <row r="50" spans="1:8" ht="15.75" customHeight="1">
      <c r="A50" s="741" t="s">
        <v>293</v>
      </c>
      <c r="B50" s="741"/>
      <c r="C50" s="741"/>
      <c r="D50" s="2"/>
      <c r="E50" s="2"/>
      <c r="F50" s="2"/>
      <c r="G50" s="47"/>
      <c r="H50" s="57"/>
    </row>
    <row r="51" spans="1:8" ht="10.5" customHeight="1">
      <c r="A51" s="48"/>
      <c r="B51" s="2"/>
      <c r="C51" s="2"/>
      <c r="D51" s="2"/>
      <c r="E51" s="2"/>
      <c r="F51" s="2"/>
      <c r="G51" s="47"/>
      <c r="H51" s="57"/>
    </row>
    <row r="52" spans="1:8" ht="15.75" customHeight="1">
      <c r="A52" s="49" t="s">
        <v>294</v>
      </c>
      <c r="B52" s="2"/>
      <c r="C52" s="2"/>
      <c r="D52" s="59" t="s">
        <v>182</v>
      </c>
      <c r="E52" s="662">
        <v>23</v>
      </c>
      <c r="F52" s="2"/>
      <c r="G52" s="47"/>
      <c r="H52" s="57"/>
    </row>
    <row r="53" spans="1:8" ht="15" customHeight="1">
      <c r="A53" s="57"/>
      <c r="B53" s="57"/>
      <c r="C53" s="57"/>
      <c r="D53" s="57"/>
      <c r="E53" s="57"/>
      <c r="F53" s="57"/>
      <c r="G53" s="57"/>
      <c r="H53" s="57"/>
    </row>
    <row r="54" spans="1:8" ht="15" customHeight="1">
      <c r="A54" s="57"/>
      <c r="B54" s="57"/>
      <c r="C54" s="57"/>
      <c r="D54" s="57"/>
      <c r="E54" s="57"/>
      <c r="F54" s="57"/>
      <c r="G54" s="57"/>
      <c r="H54" s="57"/>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16">
    <mergeCell ref="E43:H43"/>
    <mergeCell ref="E44:H44"/>
    <mergeCell ref="E45:H45"/>
    <mergeCell ref="A50:C50"/>
    <mergeCell ref="E39:H39"/>
    <mergeCell ref="E40:H40"/>
    <mergeCell ref="E41:H41"/>
    <mergeCell ref="E42:H42"/>
    <mergeCell ref="A1:H1"/>
    <mergeCell ref="A3:H3"/>
    <mergeCell ref="A37:H38"/>
    <mergeCell ref="A9:H14"/>
    <mergeCell ref="A28:H35"/>
    <mergeCell ref="A16:H17"/>
    <mergeCell ref="A19:H20"/>
    <mergeCell ref="A24:H26"/>
  </mergeCells>
  <printOptions/>
  <pageMargins left="0.37" right="0.27" top="0.5" bottom="0.5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30" t="s">
        <v>416</v>
      </c>
      <c r="B3" s="430"/>
      <c r="C3" s="430"/>
      <c r="D3" s="430"/>
      <c r="E3" s="430"/>
      <c r="F3" s="430"/>
      <c r="G3" s="430"/>
      <c r="H3" s="430"/>
      <c r="I3" s="430"/>
      <c r="J3" s="430"/>
      <c r="K3" s="430"/>
      <c r="L3" s="430"/>
    </row>
    <row r="5" ht="15">
      <c r="A5" s="431" t="s">
        <v>417</v>
      </c>
    </row>
    <row r="6" ht="15">
      <c r="A6" s="431" t="str">
        <f>CONCATENATE(inputPrYr!C4-2," 'total expenditures' exceed your ",inputPrYr!C4-2," 'budget authority.'")</f>
        <v>2010 'total expenditures' exceed your 2010 'budget authority.'</v>
      </c>
    </row>
    <row r="7" ht="15">
      <c r="A7" s="431"/>
    </row>
    <row r="8" ht="15">
      <c r="A8" s="431" t="s">
        <v>418</v>
      </c>
    </row>
    <row r="9" ht="15">
      <c r="A9" s="431" t="s">
        <v>419</v>
      </c>
    </row>
    <row r="10" ht="15">
      <c r="A10" s="431" t="s">
        <v>420</v>
      </c>
    </row>
    <row r="11" ht="15">
      <c r="A11" s="431"/>
    </row>
    <row r="12" ht="15">
      <c r="A12" s="431"/>
    </row>
    <row r="13" ht="15">
      <c r="A13" s="432" t="s">
        <v>421</v>
      </c>
    </row>
    <row r="15" ht="15">
      <c r="A15" s="431" t="s">
        <v>422</v>
      </c>
    </row>
    <row r="16" ht="15">
      <c r="A16" s="431" t="str">
        <f>CONCATENATE("(i.e. an audit has not been completed, or the ",inputPrYr!C4," adopted")</f>
        <v>(i.e. an audit has not been completed, or the 2012 adopted</v>
      </c>
    </row>
    <row r="17" ht="15">
      <c r="A17" s="431" t="s">
        <v>423</v>
      </c>
    </row>
    <row r="18" ht="15">
      <c r="A18" s="431" t="s">
        <v>424</v>
      </c>
    </row>
    <row r="19" ht="15">
      <c r="A19" s="431" t="s">
        <v>425</v>
      </c>
    </row>
    <row r="21" ht="15">
      <c r="A21" s="432" t="s">
        <v>426</v>
      </c>
    </row>
    <row r="22" ht="15">
      <c r="A22" s="432"/>
    </row>
    <row r="23" ht="15">
      <c r="A23" s="431" t="s">
        <v>427</v>
      </c>
    </row>
    <row r="24" ht="15">
      <c r="A24" s="431" t="s">
        <v>428</v>
      </c>
    </row>
    <row r="25" ht="15">
      <c r="A25" s="431" t="str">
        <f>CONCATENATE("particular fund.  If your ",inputPrYr!C4-2," budget was amended, did you")</f>
        <v>particular fund.  If your 2010 budget was amended, did you</v>
      </c>
    </row>
    <row r="26" ht="15">
      <c r="A26" s="431" t="s">
        <v>429</v>
      </c>
    </row>
    <row r="27" ht="15">
      <c r="A27" s="431"/>
    </row>
    <row r="28" ht="15">
      <c r="A28" s="431" t="str">
        <f>CONCATENATE("Next, look to see if any of your ",inputPrYr!C4-2," expenditures can be")</f>
        <v>Next, look to see if any of your 2010 expenditures can be</v>
      </c>
    </row>
    <row r="29" ht="15">
      <c r="A29" s="431" t="s">
        <v>430</v>
      </c>
    </row>
    <row r="30" ht="15">
      <c r="A30" s="431" t="s">
        <v>431</v>
      </c>
    </row>
    <row r="31" ht="15">
      <c r="A31" s="431" t="s">
        <v>432</v>
      </c>
    </row>
    <row r="32" ht="15">
      <c r="A32" s="431"/>
    </row>
    <row r="33" ht="15">
      <c r="A33" s="431" t="str">
        <f>CONCATENATE("Additionally, do your ",inputPrYr!C4-2," receipts contain a reimbursement")</f>
        <v>Additionally, do your 2010 receipts contain a reimbursement</v>
      </c>
    </row>
    <row r="34" ht="15">
      <c r="A34" s="431" t="s">
        <v>433</v>
      </c>
    </row>
    <row r="35" ht="15">
      <c r="A35" s="431" t="s">
        <v>434</v>
      </c>
    </row>
    <row r="36" ht="15">
      <c r="A36" s="431"/>
    </row>
    <row r="37" ht="15">
      <c r="A37" s="431" t="s">
        <v>435</v>
      </c>
    </row>
    <row r="38" ht="15">
      <c r="A38" s="431" t="s">
        <v>436</v>
      </c>
    </row>
    <row r="39" ht="15">
      <c r="A39" s="431" t="s">
        <v>437</v>
      </c>
    </row>
    <row r="40" ht="15">
      <c r="A40" s="431" t="s">
        <v>438</v>
      </c>
    </row>
    <row r="41" ht="15">
      <c r="A41" s="431" t="s">
        <v>439</v>
      </c>
    </row>
    <row r="42" ht="15">
      <c r="A42" s="431" t="s">
        <v>440</v>
      </c>
    </row>
    <row r="43" ht="15">
      <c r="A43" s="431" t="s">
        <v>441</v>
      </c>
    </row>
    <row r="44" ht="15">
      <c r="A44" s="431" t="s">
        <v>442</v>
      </c>
    </row>
    <row r="45" ht="15">
      <c r="A45" s="431"/>
    </row>
    <row r="46" ht="15">
      <c r="A46" s="431" t="s">
        <v>443</v>
      </c>
    </row>
    <row r="47" ht="15">
      <c r="A47" s="431" t="s">
        <v>444</v>
      </c>
    </row>
    <row r="48" ht="15">
      <c r="A48" s="431" t="s">
        <v>445</v>
      </c>
    </row>
    <row r="49" ht="15">
      <c r="A49" s="431"/>
    </row>
    <row r="50" ht="15">
      <c r="A50" s="431" t="s">
        <v>446</v>
      </c>
    </row>
    <row r="51" ht="15">
      <c r="A51" s="431" t="s">
        <v>447</v>
      </c>
    </row>
    <row r="52" ht="15">
      <c r="A52" s="431" t="s">
        <v>448</v>
      </c>
    </row>
    <row r="53" ht="15">
      <c r="A53" s="431"/>
    </row>
    <row r="54" ht="15">
      <c r="A54" s="432" t="s">
        <v>449</v>
      </c>
    </row>
    <row r="55" ht="15">
      <c r="A55" s="431"/>
    </row>
    <row r="56" ht="15">
      <c r="A56" s="431" t="s">
        <v>450</v>
      </c>
    </row>
    <row r="57" ht="15">
      <c r="A57" s="431" t="s">
        <v>451</v>
      </c>
    </row>
    <row r="58" ht="15">
      <c r="A58" s="431" t="s">
        <v>452</v>
      </c>
    </row>
    <row r="59" ht="15">
      <c r="A59" s="431" t="s">
        <v>453</v>
      </c>
    </row>
    <row r="60" ht="15">
      <c r="A60" s="431" t="s">
        <v>454</v>
      </c>
    </row>
    <row r="61" ht="15">
      <c r="A61" s="431" t="s">
        <v>455</v>
      </c>
    </row>
    <row r="62" ht="15">
      <c r="A62" s="431" t="s">
        <v>456</v>
      </c>
    </row>
    <row r="63" ht="15">
      <c r="A63" s="431" t="s">
        <v>457</v>
      </c>
    </row>
    <row r="64" ht="15">
      <c r="A64" s="431" t="s">
        <v>458</v>
      </c>
    </row>
    <row r="65" ht="15">
      <c r="A65" s="431" t="s">
        <v>459</v>
      </c>
    </row>
    <row r="66" ht="15">
      <c r="A66" s="431" t="s">
        <v>460</v>
      </c>
    </row>
    <row r="67" ht="15">
      <c r="A67" s="431" t="s">
        <v>461</v>
      </c>
    </row>
    <row r="68" ht="15">
      <c r="A68" s="431" t="s">
        <v>462</v>
      </c>
    </row>
    <row r="69" ht="15">
      <c r="A69" s="431"/>
    </row>
    <row r="70" ht="15">
      <c r="A70" s="431" t="s">
        <v>463</v>
      </c>
    </row>
    <row r="71" ht="15">
      <c r="A71" s="431" t="s">
        <v>464</v>
      </c>
    </row>
    <row r="72" ht="15">
      <c r="A72" s="431" t="s">
        <v>465</v>
      </c>
    </row>
    <row r="73" ht="15">
      <c r="A73" s="431"/>
    </row>
    <row r="74" ht="15">
      <c r="A74" s="432" t="str">
        <f>CONCATENATE("What if the ",inputPrYr!C4-2," financial records have been closed?")</f>
        <v>What if the 2010 financial records have been closed?</v>
      </c>
    </row>
    <row r="76" ht="15">
      <c r="A76" s="431" t="s">
        <v>466</v>
      </c>
    </row>
    <row r="77" ht="15">
      <c r="A77" s="431" t="str">
        <f>CONCATENATE("(i.e. an audit for ",inputPrYr!C4-2," has been completed, or the ",inputPrYr!C4)</f>
        <v>(i.e. an audit for 2010 has been completed, or the 2012</v>
      </c>
    </row>
    <row r="78" ht="15">
      <c r="A78" s="431" t="s">
        <v>467</v>
      </c>
    </row>
    <row r="79" ht="15">
      <c r="A79" s="431" t="s">
        <v>468</v>
      </c>
    </row>
    <row r="80" ht="15">
      <c r="A80" s="431"/>
    </row>
    <row r="81" ht="15">
      <c r="A81" s="431" t="s">
        <v>469</v>
      </c>
    </row>
    <row r="82" ht="15">
      <c r="A82" s="431" t="s">
        <v>470</v>
      </c>
    </row>
    <row r="83" ht="15">
      <c r="A83" s="431" t="s">
        <v>471</v>
      </c>
    </row>
    <row r="84" ht="15">
      <c r="A84" s="431"/>
    </row>
    <row r="85" ht="15">
      <c r="A85" s="431" t="s">
        <v>472</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430" t="s">
        <v>473</v>
      </c>
      <c r="B3" s="430"/>
      <c r="C3" s="430"/>
      <c r="D3" s="430"/>
      <c r="E3" s="430"/>
      <c r="F3" s="430"/>
      <c r="G3" s="430"/>
      <c r="H3" s="433"/>
      <c r="I3" s="433"/>
      <c r="J3" s="433"/>
    </row>
    <row r="5" ht="15">
      <c r="A5" s="431" t="s">
        <v>474</v>
      </c>
    </row>
    <row r="6" ht="15">
      <c r="A6" t="str">
        <f>CONCATENATE(inputPrYr!C4-2," expenditures show that you finished the year with a ")</f>
        <v>2010 expenditures show that you finished the year with a </v>
      </c>
    </row>
    <row r="7" ht="15">
      <c r="A7" t="s">
        <v>475</v>
      </c>
    </row>
    <row r="9" ht="15">
      <c r="A9" t="s">
        <v>476</v>
      </c>
    </row>
    <row r="10" ht="15">
      <c r="A10" t="s">
        <v>477</v>
      </c>
    </row>
    <row r="11" ht="15">
      <c r="A11" t="s">
        <v>478</v>
      </c>
    </row>
    <row r="13" ht="15">
      <c r="A13" s="432" t="s">
        <v>479</v>
      </c>
    </row>
    <row r="14" ht="15">
      <c r="A14" s="432"/>
    </row>
    <row r="15" ht="15">
      <c r="A15" s="431" t="s">
        <v>480</v>
      </c>
    </row>
    <row r="16" ht="15">
      <c r="A16" s="431" t="s">
        <v>481</v>
      </c>
    </row>
    <row r="17" ht="15">
      <c r="A17" s="431" t="s">
        <v>482</v>
      </c>
    </row>
    <row r="18" ht="15">
      <c r="A18" s="431"/>
    </row>
    <row r="19" ht="15">
      <c r="A19" s="432" t="s">
        <v>483</v>
      </c>
    </row>
    <row r="20" ht="15">
      <c r="A20" s="432"/>
    </row>
    <row r="21" ht="15">
      <c r="A21" s="431" t="s">
        <v>484</v>
      </c>
    </row>
    <row r="22" ht="15">
      <c r="A22" s="431" t="s">
        <v>485</v>
      </c>
    </row>
    <row r="23" ht="15">
      <c r="A23" s="431" t="s">
        <v>486</v>
      </c>
    </row>
    <row r="24" ht="15">
      <c r="A24" s="431"/>
    </row>
    <row r="25" ht="15">
      <c r="A25" s="432" t="s">
        <v>487</v>
      </c>
    </row>
    <row r="26" ht="15">
      <c r="A26" s="432"/>
    </row>
    <row r="27" ht="15">
      <c r="A27" s="431" t="s">
        <v>488</v>
      </c>
    </row>
    <row r="28" ht="15">
      <c r="A28" s="431" t="s">
        <v>489</v>
      </c>
    </row>
    <row r="29" ht="15">
      <c r="A29" s="431" t="s">
        <v>490</v>
      </c>
    </row>
    <row r="30" ht="15">
      <c r="A30" s="431"/>
    </row>
    <row r="31" ht="15">
      <c r="A31" s="432" t="s">
        <v>491</v>
      </c>
    </row>
    <row r="32" ht="15">
      <c r="A32" s="432"/>
    </row>
    <row r="33" spans="1:8" ht="15">
      <c r="A33" s="431" t="str">
        <f>CONCATENATE("If your financial records for ",inputPrYr!C4-2," are not closed")</f>
        <v>If your financial records for 2010 are not closed</v>
      </c>
      <c r="B33" s="431"/>
      <c r="C33" s="431"/>
      <c r="D33" s="431"/>
      <c r="E33" s="431"/>
      <c r="F33" s="431"/>
      <c r="G33" s="431"/>
      <c r="H33" s="431"/>
    </row>
    <row r="34" spans="1:8" ht="15">
      <c r="A34" s="431" t="str">
        <f>CONCATENATE("(i.e. an audit has not been completed, or the ",inputPrYr!C4," adopted ")</f>
        <v>(i.e. an audit has not been completed, or the 2012 adopted </v>
      </c>
      <c r="B34" s="431"/>
      <c r="C34" s="431"/>
      <c r="D34" s="431"/>
      <c r="E34" s="431"/>
      <c r="F34" s="431"/>
      <c r="G34" s="431"/>
      <c r="H34" s="431"/>
    </row>
    <row r="35" spans="1:8" ht="15">
      <c r="A35" s="431" t="s">
        <v>492</v>
      </c>
      <c r="B35" s="431"/>
      <c r="C35" s="431"/>
      <c r="D35" s="431"/>
      <c r="E35" s="431"/>
      <c r="F35" s="431"/>
      <c r="G35" s="431"/>
      <c r="H35" s="431"/>
    </row>
    <row r="36" spans="1:8" ht="15">
      <c r="A36" s="431" t="s">
        <v>493</v>
      </c>
      <c r="B36" s="431"/>
      <c r="C36" s="431"/>
      <c r="D36" s="431"/>
      <c r="E36" s="431"/>
      <c r="F36" s="431"/>
      <c r="G36" s="431"/>
      <c r="H36" s="431"/>
    </row>
    <row r="37" spans="1:8" ht="15">
      <c r="A37" s="431" t="s">
        <v>494</v>
      </c>
      <c r="B37" s="431"/>
      <c r="C37" s="431"/>
      <c r="D37" s="431"/>
      <c r="E37" s="431"/>
      <c r="F37" s="431"/>
      <c r="G37" s="431"/>
      <c r="H37" s="431"/>
    </row>
    <row r="38" spans="1:8" ht="15">
      <c r="A38" s="431" t="s">
        <v>495</v>
      </c>
      <c r="B38" s="431"/>
      <c r="C38" s="431"/>
      <c r="D38" s="431"/>
      <c r="E38" s="431"/>
      <c r="F38" s="431"/>
      <c r="G38" s="431"/>
      <c r="H38" s="431"/>
    </row>
    <row r="39" spans="1:8" ht="15">
      <c r="A39" s="431" t="s">
        <v>496</v>
      </c>
      <c r="B39" s="431"/>
      <c r="C39" s="431"/>
      <c r="D39" s="431"/>
      <c r="E39" s="431"/>
      <c r="F39" s="431"/>
      <c r="G39" s="431"/>
      <c r="H39" s="431"/>
    </row>
    <row r="40" spans="1:8" ht="15">
      <c r="A40" s="431"/>
      <c r="B40" s="431"/>
      <c r="C40" s="431"/>
      <c r="D40" s="431"/>
      <c r="E40" s="431"/>
      <c r="F40" s="431"/>
      <c r="G40" s="431"/>
      <c r="H40" s="431"/>
    </row>
    <row r="41" spans="1:8" ht="15">
      <c r="A41" s="431" t="s">
        <v>497</v>
      </c>
      <c r="B41" s="431"/>
      <c r="C41" s="431"/>
      <c r="D41" s="431"/>
      <c r="E41" s="431"/>
      <c r="F41" s="431"/>
      <c r="G41" s="431"/>
      <c r="H41" s="431"/>
    </row>
    <row r="42" spans="1:8" ht="15">
      <c r="A42" s="431" t="s">
        <v>498</v>
      </c>
      <c r="B42" s="431"/>
      <c r="C42" s="431"/>
      <c r="D42" s="431"/>
      <c r="E42" s="431"/>
      <c r="F42" s="431"/>
      <c r="G42" s="431"/>
      <c r="H42" s="431"/>
    </row>
    <row r="43" spans="1:8" ht="15">
      <c r="A43" s="431" t="s">
        <v>499</v>
      </c>
      <c r="B43" s="431"/>
      <c r="C43" s="431"/>
      <c r="D43" s="431"/>
      <c r="E43" s="431"/>
      <c r="F43" s="431"/>
      <c r="G43" s="431"/>
      <c r="H43" s="431"/>
    </row>
    <row r="44" spans="1:8" ht="15">
      <c r="A44" s="431" t="s">
        <v>500</v>
      </c>
      <c r="B44" s="431"/>
      <c r="C44" s="431"/>
      <c r="D44" s="431"/>
      <c r="E44" s="431"/>
      <c r="F44" s="431"/>
      <c r="G44" s="431"/>
      <c r="H44" s="431"/>
    </row>
    <row r="45" spans="1:8" ht="15">
      <c r="A45" s="431"/>
      <c r="B45" s="431"/>
      <c r="C45" s="431"/>
      <c r="D45" s="431"/>
      <c r="E45" s="431"/>
      <c r="F45" s="431"/>
      <c r="G45" s="431"/>
      <c r="H45" s="431"/>
    </row>
    <row r="46" spans="1:8" ht="15">
      <c r="A46" s="431" t="s">
        <v>501</v>
      </c>
      <c r="B46" s="431"/>
      <c r="C46" s="431"/>
      <c r="D46" s="431"/>
      <c r="E46" s="431"/>
      <c r="F46" s="431"/>
      <c r="G46" s="431"/>
      <c r="H46" s="431"/>
    </row>
    <row r="47" spans="1:8" ht="15">
      <c r="A47" s="431" t="s">
        <v>502</v>
      </c>
      <c r="B47" s="431"/>
      <c r="C47" s="431"/>
      <c r="D47" s="431"/>
      <c r="E47" s="431"/>
      <c r="F47" s="431"/>
      <c r="G47" s="431"/>
      <c r="H47" s="431"/>
    </row>
    <row r="48" spans="1:8" ht="15">
      <c r="A48" s="431" t="s">
        <v>503</v>
      </c>
      <c r="B48" s="431"/>
      <c r="C48" s="431"/>
      <c r="D48" s="431"/>
      <c r="E48" s="431"/>
      <c r="F48" s="431"/>
      <c r="G48" s="431"/>
      <c r="H48" s="431"/>
    </row>
    <row r="49" spans="1:8" ht="15">
      <c r="A49" s="431" t="s">
        <v>504</v>
      </c>
      <c r="B49" s="431"/>
      <c r="C49" s="431"/>
      <c r="D49" s="431"/>
      <c r="E49" s="431"/>
      <c r="F49" s="431"/>
      <c r="G49" s="431"/>
      <c r="H49" s="431"/>
    </row>
    <row r="50" spans="1:8" ht="15">
      <c r="A50" s="431" t="s">
        <v>505</v>
      </c>
      <c r="B50" s="431"/>
      <c r="C50" s="431"/>
      <c r="D50" s="431"/>
      <c r="E50" s="431"/>
      <c r="F50" s="431"/>
      <c r="G50" s="431"/>
      <c r="H50" s="431"/>
    </row>
    <row r="51" spans="1:8" ht="15">
      <c r="A51" s="431"/>
      <c r="B51" s="431"/>
      <c r="C51" s="431"/>
      <c r="D51" s="431"/>
      <c r="E51" s="431"/>
      <c r="F51" s="431"/>
      <c r="G51" s="431"/>
      <c r="H51" s="431"/>
    </row>
    <row r="52" spans="1:8" ht="15">
      <c r="A52" s="432" t="s">
        <v>506</v>
      </c>
      <c r="B52" s="432"/>
      <c r="C52" s="432"/>
      <c r="D52" s="432"/>
      <c r="E52" s="432"/>
      <c r="F52" s="432"/>
      <c r="G52" s="432"/>
      <c r="H52" s="431"/>
    </row>
    <row r="53" spans="1:8" ht="15">
      <c r="A53" s="432" t="s">
        <v>507</v>
      </c>
      <c r="B53" s="432"/>
      <c r="C53" s="432"/>
      <c r="D53" s="432"/>
      <c r="E53" s="432"/>
      <c r="F53" s="432"/>
      <c r="G53" s="432"/>
      <c r="H53" s="431"/>
    </row>
    <row r="54" spans="1:8" ht="15">
      <c r="A54" s="431"/>
      <c r="B54" s="431"/>
      <c r="C54" s="431"/>
      <c r="D54" s="431"/>
      <c r="E54" s="431"/>
      <c r="F54" s="431"/>
      <c r="G54" s="431"/>
      <c r="H54" s="431"/>
    </row>
    <row r="55" spans="1:8" ht="15">
      <c r="A55" s="431" t="s">
        <v>508</v>
      </c>
      <c r="B55" s="431"/>
      <c r="C55" s="431"/>
      <c r="D55" s="431"/>
      <c r="E55" s="431"/>
      <c r="F55" s="431"/>
      <c r="G55" s="431"/>
      <c r="H55" s="431"/>
    </row>
    <row r="56" spans="1:8" ht="15">
      <c r="A56" s="431" t="s">
        <v>509</v>
      </c>
      <c r="B56" s="431"/>
      <c r="C56" s="431"/>
      <c r="D56" s="431"/>
      <c r="E56" s="431"/>
      <c r="F56" s="431"/>
      <c r="G56" s="431"/>
      <c r="H56" s="431"/>
    </row>
    <row r="57" spans="1:8" ht="15">
      <c r="A57" s="431" t="s">
        <v>510</v>
      </c>
      <c r="B57" s="431"/>
      <c r="C57" s="431"/>
      <c r="D57" s="431"/>
      <c r="E57" s="431"/>
      <c r="F57" s="431"/>
      <c r="G57" s="431"/>
      <c r="H57" s="431"/>
    </row>
    <row r="58" spans="1:8" ht="15">
      <c r="A58" s="431" t="s">
        <v>511</v>
      </c>
      <c r="B58" s="431"/>
      <c r="C58" s="431"/>
      <c r="D58" s="431"/>
      <c r="E58" s="431"/>
      <c r="F58" s="431"/>
      <c r="G58" s="431"/>
      <c r="H58" s="431"/>
    </row>
    <row r="59" spans="1:8" ht="15">
      <c r="A59" s="431"/>
      <c r="B59" s="431"/>
      <c r="C59" s="431"/>
      <c r="D59" s="431"/>
      <c r="E59" s="431"/>
      <c r="F59" s="431"/>
      <c r="G59" s="431"/>
      <c r="H59" s="431"/>
    </row>
    <row r="60" spans="1:8" ht="15">
      <c r="A60" s="431" t="s">
        <v>512</v>
      </c>
      <c r="B60" s="431"/>
      <c r="C60" s="431"/>
      <c r="D60" s="431"/>
      <c r="E60" s="431"/>
      <c r="F60" s="431"/>
      <c r="G60" s="431"/>
      <c r="H60" s="431"/>
    </row>
    <row r="61" spans="1:8" ht="15">
      <c r="A61" s="431" t="s">
        <v>513</v>
      </c>
      <c r="B61" s="431"/>
      <c r="C61" s="431"/>
      <c r="D61" s="431"/>
      <c r="E61" s="431"/>
      <c r="F61" s="431"/>
      <c r="G61" s="431"/>
      <c r="H61" s="431"/>
    </row>
    <row r="62" spans="1:8" ht="15">
      <c r="A62" s="431" t="s">
        <v>514</v>
      </c>
      <c r="B62" s="431"/>
      <c r="C62" s="431"/>
      <c r="D62" s="431"/>
      <c r="E62" s="431"/>
      <c r="F62" s="431"/>
      <c r="G62" s="431"/>
      <c r="H62" s="431"/>
    </row>
    <row r="63" spans="1:8" ht="15">
      <c r="A63" s="431" t="s">
        <v>515</v>
      </c>
      <c r="B63" s="431"/>
      <c r="C63" s="431"/>
      <c r="D63" s="431"/>
      <c r="E63" s="431"/>
      <c r="F63" s="431"/>
      <c r="G63" s="431"/>
      <c r="H63" s="431"/>
    </row>
    <row r="64" spans="1:8" ht="15">
      <c r="A64" s="431" t="s">
        <v>516</v>
      </c>
      <c r="B64" s="431"/>
      <c r="C64" s="431"/>
      <c r="D64" s="431"/>
      <c r="E64" s="431"/>
      <c r="F64" s="431"/>
      <c r="G64" s="431"/>
      <c r="H64" s="431"/>
    </row>
    <row r="65" spans="1:8" ht="15">
      <c r="A65" s="431" t="s">
        <v>517</v>
      </c>
      <c r="B65" s="431"/>
      <c r="C65" s="431"/>
      <c r="D65" s="431"/>
      <c r="E65" s="431"/>
      <c r="F65" s="431"/>
      <c r="G65" s="431"/>
      <c r="H65" s="431"/>
    </row>
    <row r="66" spans="1:8" ht="15">
      <c r="A66" s="431"/>
      <c r="B66" s="431"/>
      <c r="C66" s="431"/>
      <c r="D66" s="431"/>
      <c r="E66" s="431"/>
      <c r="F66" s="431"/>
      <c r="G66" s="431"/>
      <c r="H66" s="431"/>
    </row>
    <row r="67" spans="1:8" ht="15">
      <c r="A67" s="431" t="s">
        <v>518</v>
      </c>
      <c r="B67" s="431"/>
      <c r="C67" s="431"/>
      <c r="D67" s="431"/>
      <c r="E67" s="431"/>
      <c r="F67" s="431"/>
      <c r="G67" s="431"/>
      <c r="H67" s="431"/>
    </row>
    <row r="68" spans="1:8" ht="15">
      <c r="A68" s="431" t="s">
        <v>519</v>
      </c>
      <c r="B68" s="431"/>
      <c r="C68" s="431"/>
      <c r="D68" s="431"/>
      <c r="E68" s="431"/>
      <c r="F68" s="431"/>
      <c r="G68" s="431"/>
      <c r="H68" s="431"/>
    </row>
    <row r="69" spans="1:8" ht="15">
      <c r="A69" s="431" t="s">
        <v>520</v>
      </c>
      <c r="B69" s="431"/>
      <c r="C69" s="431"/>
      <c r="D69" s="431"/>
      <c r="E69" s="431"/>
      <c r="F69" s="431"/>
      <c r="G69" s="431"/>
      <c r="H69" s="431"/>
    </row>
    <row r="70" spans="1:8" ht="15">
      <c r="A70" s="431" t="s">
        <v>521</v>
      </c>
      <c r="B70" s="431"/>
      <c r="C70" s="431"/>
      <c r="D70" s="431"/>
      <c r="E70" s="431"/>
      <c r="F70" s="431"/>
      <c r="G70" s="431"/>
      <c r="H70" s="431"/>
    </row>
    <row r="71" spans="1:8" ht="15">
      <c r="A71" s="431" t="s">
        <v>522</v>
      </c>
      <c r="B71" s="431"/>
      <c r="C71" s="431"/>
      <c r="D71" s="431"/>
      <c r="E71" s="431"/>
      <c r="F71" s="431"/>
      <c r="G71" s="431"/>
      <c r="H71" s="431"/>
    </row>
    <row r="72" spans="1:8" ht="15">
      <c r="A72" s="431" t="s">
        <v>523</v>
      </c>
      <c r="B72" s="431"/>
      <c r="C72" s="431"/>
      <c r="D72" s="431"/>
      <c r="E72" s="431"/>
      <c r="F72" s="431"/>
      <c r="G72" s="431"/>
      <c r="H72" s="431"/>
    </row>
    <row r="73" spans="1:8" ht="15">
      <c r="A73" s="431" t="s">
        <v>524</v>
      </c>
      <c r="B73" s="431"/>
      <c r="C73" s="431"/>
      <c r="D73" s="431"/>
      <c r="E73" s="431"/>
      <c r="F73" s="431"/>
      <c r="G73" s="431"/>
      <c r="H73" s="431"/>
    </row>
    <row r="74" spans="1:8" ht="15">
      <c r="A74" s="431"/>
      <c r="B74" s="431"/>
      <c r="C74" s="431"/>
      <c r="D74" s="431"/>
      <c r="E74" s="431"/>
      <c r="F74" s="431"/>
      <c r="G74" s="431"/>
      <c r="H74" s="431"/>
    </row>
    <row r="75" spans="1:8" ht="15">
      <c r="A75" s="431" t="s">
        <v>525</v>
      </c>
      <c r="B75" s="431"/>
      <c r="C75" s="431"/>
      <c r="D75" s="431"/>
      <c r="E75" s="431"/>
      <c r="F75" s="431"/>
      <c r="G75" s="431"/>
      <c r="H75" s="431"/>
    </row>
    <row r="76" spans="1:8" ht="15">
      <c r="A76" s="431" t="s">
        <v>526</v>
      </c>
      <c r="B76" s="431"/>
      <c r="C76" s="431"/>
      <c r="D76" s="431"/>
      <c r="E76" s="431"/>
      <c r="F76" s="431"/>
      <c r="G76" s="431"/>
      <c r="H76" s="431"/>
    </row>
    <row r="77" spans="1:8" ht="15">
      <c r="A77" s="431" t="s">
        <v>527</v>
      </c>
      <c r="B77" s="431"/>
      <c r="C77" s="431"/>
      <c r="D77" s="431"/>
      <c r="E77" s="431"/>
      <c r="F77" s="431"/>
      <c r="G77" s="431"/>
      <c r="H77" s="431"/>
    </row>
    <row r="78" spans="1:8" ht="15">
      <c r="A78" s="431"/>
      <c r="B78" s="431"/>
      <c r="C78" s="431"/>
      <c r="D78" s="431"/>
      <c r="E78" s="431"/>
      <c r="F78" s="431"/>
      <c r="G78" s="431"/>
      <c r="H78" s="431"/>
    </row>
    <row r="79" ht="15">
      <c r="A79" s="431" t="s">
        <v>472</v>
      </c>
    </row>
    <row r="80" ht="15">
      <c r="A80" s="432"/>
    </row>
    <row r="81" ht="15">
      <c r="A81" s="431"/>
    </row>
    <row r="82" ht="15">
      <c r="A82" s="431"/>
    </row>
    <row r="83" ht="15">
      <c r="A83" s="431"/>
    </row>
    <row r="84" ht="15">
      <c r="A84" s="431"/>
    </row>
    <row r="85" ht="15">
      <c r="A85" s="431"/>
    </row>
    <row r="86" ht="15">
      <c r="A86" s="431"/>
    </row>
    <row r="87" ht="15">
      <c r="A87" s="431"/>
    </row>
    <row r="88" ht="15">
      <c r="A88" s="431"/>
    </row>
    <row r="89" ht="15">
      <c r="A89" s="431"/>
    </row>
    <row r="90" ht="15">
      <c r="A90" s="431"/>
    </row>
    <row r="91" ht="15">
      <c r="A91" s="431"/>
    </row>
    <row r="92" ht="15">
      <c r="A92" s="431"/>
    </row>
    <row r="93" ht="15">
      <c r="A93" s="431"/>
    </row>
    <row r="94" ht="15">
      <c r="A94" s="431"/>
    </row>
    <row r="95" ht="15">
      <c r="A95" s="431"/>
    </row>
    <row r="96" ht="15">
      <c r="A96" s="431"/>
    </row>
    <row r="97" ht="15">
      <c r="A97" s="431"/>
    </row>
    <row r="98" ht="15">
      <c r="A98" s="431"/>
    </row>
    <row r="99" ht="15">
      <c r="A99" s="431"/>
    </row>
    <row r="100" ht="15">
      <c r="A100" s="431"/>
    </row>
    <row r="101" ht="15">
      <c r="A101" s="431"/>
    </row>
    <row r="103" ht="15">
      <c r="A103" s="431"/>
    </row>
    <row r="104" ht="15">
      <c r="A104" s="431"/>
    </row>
    <row r="105" ht="15">
      <c r="A105" s="431"/>
    </row>
    <row r="107" ht="15">
      <c r="A107" s="432"/>
    </row>
    <row r="108" ht="15">
      <c r="A108" s="432"/>
    </row>
    <row r="109" ht="15">
      <c r="A109" s="432"/>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30" t="s">
        <v>528</v>
      </c>
      <c r="B3" s="430"/>
      <c r="C3" s="430"/>
      <c r="D3" s="430"/>
      <c r="E3" s="430"/>
      <c r="F3" s="430"/>
      <c r="G3" s="430"/>
      <c r="H3" s="430"/>
      <c r="I3" s="430"/>
      <c r="J3" s="430"/>
      <c r="K3" s="430"/>
      <c r="L3" s="430"/>
    </row>
    <row r="4" spans="1:12" ht="15">
      <c r="A4" s="430"/>
      <c r="B4" s="430"/>
      <c r="C4" s="430"/>
      <c r="D4" s="430"/>
      <c r="E4" s="430"/>
      <c r="F4" s="430"/>
      <c r="G4" s="430"/>
      <c r="H4" s="430"/>
      <c r="I4" s="430"/>
      <c r="J4" s="430"/>
      <c r="K4" s="430"/>
      <c r="L4" s="430"/>
    </row>
    <row r="5" spans="1:12" ht="15">
      <c r="A5" s="431" t="s">
        <v>417</v>
      </c>
      <c r="I5" s="430"/>
      <c r="J5" s="430"/>
      <c r="K5" s="430"/>
      <c r="L5" s="430"/>
    </row>
    <row r="6" spans="1:12" ht="15">
      <c r="A6" s="431" t="str">
        <f>CONCATENATE("estimated ",inputPrYr!C4-1," 'total expenditures' exceed your ",inputPrYr!C4-1,"")</f>
        <v>estimated 2011 'total expenditures' exceed your 2011</v>
      </c>
      <c r="I6" s="430"/>
      <c r="J6" s="430"/>
      <c r="K6" s="430"/>
      <c r="L6" s="430"/>
    </row>
    <row r="7" spans="1:12" ht="15">
      <c r="A7" s="434" t="s">
        <v>529</v>
      </c>
      <c r="I7" s="430"/>
      <c r="J7" s="430"/>
      <c r="K7" s="430"/>
      <c r="L7" s="430"/>
    </row>
    <row r="8" spans="1:12" ht="15">
      <c r="A8" s="431"/>
      <c r="I8" s="430"/>
      <c r="J8" s="430"/>
      <c r="K8" s="430"/>
      <c r="L8" s="430"/>
    </row>
    <row r="9" spans="1:12" ht="15">
      <c r="A9" s="431" t="s">
        <v>530</v>
      </c>
      <c r="I9" s="430"/>
      <c r="J9" s="430"/>
      <c r="K9" s="430"/>
      <c r="L9" s="430"/>
    </row>
    <row r="10" spans="1:12" ht="15">
      <c r="A10" s="431" t="s">
        <v>531</v>
      </c>
      <c r="I10" s="430"/>
      <c r="J10" s="430"/>
      <c r="K10" s="430"/>
      <c r="L10" s="430"/>
    </row>
    <row r="11" spans="1:12" ht="15">
      <c r="A11" s="431" t="s">
        <v>532</v>
      </c>
      <c r="I11" s="430"/>
      <c r="J11" s="430"/>
      <c r="K11" s="430"/>
      <c r="L11" s="430"/>
    </row>
    <row r="12" spans="1:12" ht="15">
      <c r="A12" s="431" t="s">
        <v>533</v>
      </c>
      <c r="I12" s="430"/>
      <c r="J12" s="430"/>
      <c r="K12" s="430"/>
      <c r="L12" s="430"/>
    </row>
    <row r="13" spans="1:12" ht="15">
      <c r="A13" s="431" t="s">
        <v>534</v>
      </c>
      <c r="I13" s="430"/>
      <c r="J13" s="430"/>
      <c r="K13" s="430"/>
      <c r="L13" s="430"/>
    </row>
    <row r="14" spans="1:12" ht="15">
      <c r="A14" s="430"/>
      <c r="B14" s="430"/>
      <c r="C14" s="430"/>
      <c r="D14" s="430"/>
      <c r="E14" s="430"/>
      <c r="F14" s="430"/>
      <c r="G14" s="430"/>
      <c r="H14" s="430"/>
      <c r="I14" s="430"/>
      <c r="J14" s="430"/>
      <c r="K14" s="430"/>
      <c r="L14" s="430"/>
    </row>
    <row r="15" ht="15">
      <c r="A15" s="432" t="s">
        <v>535</v>
      </c>
    </row>
    <row r="16" ht="15">
      <c r="A16" s="432" t="s">
        <v>536</v>
      </c>
    </row>
    <row r="17" ht="15">
      <c r="A17" s="432"/>
    </row>
    <row r="18" spans="1:7" ht="15">
      <c r="A18" s="431" t="s">
        <v>537</v>
      </c>
      <c r="B18" s="431"/>
      <c r="C18" s="431"/>
      <c r="D18" s="431"/>
      <c r="E18" s="431"/>
      <c r="F18" s="431"/>
      <c r="G18" s="431"/>
    </row>
    <row r="19" spans="1:7" ht="15">
      <c r="A19" s="431" t="str">
        <f>CONCATENATE("your ",inputPrYr!C4-1," numbers to see what steps might be necessary to")</f>
        <v>your 2011 numbers to see what steps might be necessary to</v>
      </c>
      <c r="B19" s="431"/>
      <c r="C19" s="431"/>
      <c r="D19" s="431"/>
      <c r="E19" s="431"/>
      <c r="F19" s="431"/>
      <c r="G19" s="431"/>
    </row>
    <row r="20" spans="1:7" ht="15">
      <c r="A20" s="431" t="s">
        <v>538</v>
      </c>
      <c r="B20" s="431"/>
      <c r="C20" s="431"/>
      <c r="D20" s="431"/>
      <c r="E20" s="431"/>
      <c r="F20" s="431"/>
      <c r="G20" s="431"/>
    </row>
    <row r="21" spans="1:7" ht="15">
      <c r="A21" s="431" t="s">
        <v>539</v>
      </c>
      <c r="B21" s="431"/>
      <c r="C21" s="431"/>
      <c r="D21" s="431"/>
      <c r="E21" s="431"/>
      <c r="F21" s="431"/>
      <c r="G21" s="431"/>
    </row>
    <row r="22" ht="15">
      <c r="A22" s="431"/>
    </row>
    <row r="23" ht="15">
      <c r="A23" s="432" t="s">
        <v>540</v>
      </c>
    </row>
    <row r="24" ht="15">
      <c r="A24" s="432"/>
    </row>
    <row r="25" ht="15">
      <c r="A25" s="431" t="s">
        <v>541</v>
      </c>
    </row>
    <row r="26" spans="1:6" ht="15">
      <c r="A26" s="431" t="s">
        <v>542</v>
      </c>
      <c r="B26" s="431"/>
      <c r="C26" s="431"/>
      <c r="D26" s="431"/>
      <c r="E26" s="431"/>
      <c r="F26" s="431"/>
    </row>
    <row r="27" spans="1:6" ht="15">
      <c r="A27" s="431" t="s">
        <v>543</v>
      </c>
      <c r="B27" s="431"/>
      <c r="C27" s="431"/>
      <c r="D27" s="431"/>
      <c r="E27" s="431"/>
      <c r="F27" s="431"/>
    </row>
    <row r="28" spans="1:6" ht="15">
      <c r="A28" s="431" t="s">
        <v>544</v>
      </c>
      <c r="B28" s="431"/>
      <c r="C28" s="431"/>
      <c r="D28" s="431"/>
      <c r="E28" s="431"/>
      <c r="F28" s="431"/>
    </row>
    <row r="29" spans="1:6" ht="15">
      <c r="A29" s="431"/>
      <c r="B29" s="431"/>
      <c r="C29" s="431"/>
      <c r="D29" s="431"/>
      <c r="E29" s="431"/>
      <c r="F29" s="431"/>
    </row>
    <row r="30" spans="1:7" ht="15">
      <c r="A30" s="432" t="s">
        <v>545</v>
      </c>
      <c r="B30" s="432"/>
      <c r="C30" s="432"/>
      <c r="D30" s="432"/>
      <c r="E30" s="432"/>
      <c r="F30" s="432"/>
      <c r="G30" s="432"/>
    </row>
    <row r="31" spans="1:7" ht="15">
      <c r="A31" s="432" t="s">
        <v>546</v>
      </c>
      <c r="B31" s="432"/>
      <c r="C31" s="432"/>
      <c r="D31" s="432"/>
      <c r="E31" s="432"/>
      <c r="F31" s="432"/>
      <c r="G31" s="432"/>
    </row>
    <row r="32" spans="1:6" ht="15">
      <c r="A32" s="431"/>
      <c r="B32" s="431"/>
      <c r="C32" s="431"/>
      <c r="D32" s="431"/>
      <c r="E32" s="431"/>
      <c r="F32" s="431"/>
    </row>
    <row r="33" spans="1:6" ht="15">
      <c r="A33" s="435" t="str">
        <f>CONCATENATE("Well, let's look to see if any of your ",inputPrYr!C4-1," expenditures can")</f>
        <v>Well, let's look to see if any of your 2011 expenditures can</v>
      </c>
      <c r="B33" s="431"/>
      <c r="C33" s="431"/>
      <c r="D33" s="431"/>
      <c r="E33" s="431"/>
      <c r="F33" s="431"/>
    </row>
    <row r="34" spans="1:6" ht="15">
      <c r="A34" s="435" t="s">
        <v>547</v>
      </c>
      <c r="B34" s="431"/>
      <c r="C34" s="431"/>
      <c r="D34" s="431"/>
      <c r="E34" s="431"/>
      <c r="F34" s="431"/>
    </row>
    <row r="35" spans="1:6" ht="15">
      <c r="A35" s="435" t="s">
        <v>431</v>
      </c>
      <c r="B35" s="431"/>
      <c r="C35" s="431"/>
      <c r="D35" s="431"/>
      <c r="E35" s="431"/>
      <c r="F35" s="431"/>
    </row>
    <row r="36" spans="1:6" ht="15">
      <c r="A36" s="435" t="s">
        <v>432</v>
      </c>
      <c r="B36" s="431"/>
      <c r="C36" s="431"/>
      <c r="D36" s="431"/>
      <c r="E36" s="431"/>
      <c r="F36" s="431"/>
    </row>
    <row r="37" spans="1:6" ht="15">
      <c r="A37" s="435"/>
      <c r="B37" s="431"/>
      <c r="C37" s="431"/>
      <c r="D37" s="431"/>
      <c r="E37" s="431"/>
      <c r="F37" s="431"/>
    </row>
    <row r="38" spans="1:6" ht="15">
      <c r="A38" s="435" t="str">
        <f>CONCATENATE("Additionally, do your ",inputPrYr!C4-1," receipts contain a reimbursement")</f>
        <v>Additionally, do your 2011 receipts contain a reimbursement</v>
      </c>
      <c r="B38" s="431"/>
      <c r="C38" s="431"/>
      <c r="D38" s="431"/>
      <c r="E38" s="431"/>
      <c r="F38" s="431"/>
    </row>
    <row r="39" spans="1:6" ht="15">
      <c r="A39" s="435" t="s">
        <v>433</v>
      </c>
      <c r="B39" s="431"/>
      <c r="C39" s="431"/>
      <c r="D39" s="431"/>
      <c r="E39" s="431"/>
      <c r="F39" s="431"/>
    </row>
    <row r="40" spans="1:6" ht="15">
      <c r="A40" s="435" t="s">
        <v>434</v>
      </c>
      <c r="B40" s="431"/>
      <c r="C40" s="431"/>
      <c r="D40" s="431"/>
      <c r="E40" s="431"/>
      <c r="F40" s="431"/>
    </row>
    <row r="41" spans="1:6" ht="15">
      <c r="A41" s="435"/>
      <c r="B41" s="431"/>
      <c r="C41" s="431"/>
      <c r="D41" s="431"/>
      <c r="E41" s="431"/>
      <c r="F41" s="431"/>
    </row>
    <row r="42" spans="1:6" ht="15">
      <c r="A42" s="435" t="s">
        <v>435</v>
      </c>
      <c r="B42" s="431"/>
      <c r="C42" s="431"/>
      <c r="D42" s="431"/>
      <c r="E42" s="431"/>
      <c r="F42" s="431"/>
    </row>
    <row r="43" spans="1:6" ht="15">
      <c r="A43" s="435" t="s">
        <v>436</v>
      </c>
      <c r="B43" s="431"/>
      <c r="C43" s="431"/>
      <c r="D43" s="431"/>
      <c r="E43" s="431"/>
      <c r="F43" s="431"/>
    </row>
    <row r="44" spans="1:6" ht="15">
      <c r="A44" s="435" t="s">
        <v>437</v>
      </c>
      <c r="B44" s="431"/>
      <c r="C44" s="431"/>
      <c r="D44" s="431"/>
      <c r="E44" s="431"/>
      <c r="F44" s="431"/>
    </row>
    <row r="45" spans="1:6" ht="15">
      <c r="A45" s="435" t="s">
        <v>548</v>
      </c>
      <c r="B45" s="431"/>
      <c r="C45" s="431"/>
      <c r="D45" s="431"/>
      <c r="E45" s="431"/>
      <c r="F45" s="431"/>
    </row>
    <row r="46" spans="1:6" ht="15">
      <c r="A46" s="435" t="s">
        <v>439</v>
      </c>
      <c r="B46" s="431"/>
      <c r="C46" s="431"/>
      <c r="D46" s="431"/>
      <c r="E46" s="431"/>
      <c r="F46" s="431"/>
    </row>
    <row r="47" spans="1:6" ht="15">
      <c r="A47" s="435" t="s">
        <v>549</v>
      </c>
      <c r="B47" s="431"/>
      <c r="C47" s="431"/>
      <c r="D47" s="431"/>
      <c r="E47" s="431"/>
      <c r="F47" s="431"/>
    </row>
    <row r="48" spans="1:6" ht="15">
      <c r="A48" s="435" t="s">
        <v>550</v>
      </c>
      <c r="B48" s="431"/>
      <c r="C48" s="431"/>
      <c r="D48" s="431"/>
      <c r="E48" s="431"/>
      <c r="F48" s="431"/>
    </row>
    <row r="49" spans="1:6" ht="15">
      <c r="A49" s="435" t="s">
        <v>442</v>
      </c>
      <c r="B49" s="431"/>
      <c r="C49" s="431"/>
      <c r="D49" s="431"/>
      <c r="E49" s="431"/>
      <c r="F49" s="431"/>
    </row>
    <row r="50" spans="1:6" ht="15">
      <c r="A50" s="435"/>
      <c r="B50" s="431"/>
      <c r="C50" s="431"/>
      <c r="D50" s="431"/>
      <c r="E50" s="431"/>
      <c r="F50" s="431"/>
    </row>
    <row r="51" spans="1:6" ht="15">
      <c r="A51" s="435" t="s">
        <v>443</v>
      </c>
      <c r="B51" s="431"/>
      <c r="C51" s="431"/>
      <c r="D51" s="431"/>
      <c r="E51" s="431"/>
      <c r="F51" s="431"/>
    </row>
    <row r="52" spans="1:6" ht="15">
      <c r="A52" s="435" t="s">
        <v>444</v>
      </c>
      <c r="B52" s="431"/>
      <c r="C52" s="431"/>
      <c r="D52" s="431"/>
      <c r="E52" s="431"/>
      <c r="F52" s="431"/>
    </row>
    <row r="53" spans="1:6" ht="15">
      <c r="A53" s="435" t="s">
        <v>445</v>
      </c>
      <c r="B53" s="431"/>
      <c r="C53" s="431"/>
      <c r="D53" s="431"/>
      <c r="E53" s="431"/>
      <c r="F53" s="431"/>
    </row>
    <row r="54" spans="1:6" ht="15">
      <c r="A54" s="435"/>
      <c r="B54" s="431"/>
      <c r="C54" s="431"/>
      <c r="D54" s="431"/>
      <c r="E54" s="431"/>
      <c r="F54" s="431"/>
    </row>
    <row r="55" spans="1:6" ht="15">
      <c r="A55" s="435" t="s">
        <v>551</v>
      </c>
      <c r="B55" s="431"/>
      <c r="C55" s="431"/>
      <c r="D55" s="431"/>
      <c r="E55" s="431"/>
      <c r="F55" s="431"/>
    </row>
    <row r="56" spans="1:6" ht="15">
      <c r="A56" s="435" t="s">
        <v>552</v>
      </c>
      <c r="B56" s="431"/>
      <c r="C56" s="431"/>
      <c r="D56" s="431"/>
      <c r="E56" s="431"/>
      <c r="F56" s="431"/>
    </row>
    <row r="57" spans="1:6" ht="15">
      <c r="A57" s="435" t="s">
        <v>553</v>
      </c>
      <c r="B57" s="431"/>
      <c r="C57" s="431"/>
      <c r="D57" s="431"/>
      <c r="E57" s="431"/>
      <c r="F57" s="431"/>
    </row>
    <row r="58" spans="1:6" ht="15">
      <c r="A58" s="435" t="s">
        <v>554</v>
      </c>
      <c r="B58" s="431"/>
      <c r="C58" s="431"/>
      <c r="D58" s="431"/>
      <c r="E58" s="431"/>
      <c r="F58" s="431"/>
    </row>
    <row r="59" spans="1:6" ht="15">
      <c r="A59" s="435" t="s">
        <v>555</v>
      </c>
      <c r="B59" s="431"/>
      <c r="C59" s="431"/>
      <c r="D59" s="431"/>
      <c r="E59" s="431"/>
      <c r="F59" s="431"/>
    </row>
    <row r="60" spans="1:6" ht="15">
      <c r="A60" s="435"/>
      <c r="B60" s="431"/>
      <c r="C60" s="431"/>
      <c r="D60" s="431"/>
      <c r="E60" s="431"/>
      <c r="F60" s="431"/>
    </row>
    <row r="61" spans="1:6" ht="15">
      <c r="A61" s="436" t="s">
        <v>556</v>
      </c>
      <c r="B61" s="431"/>
      <c r="C61" s="431"/>
      <c r="D61" s="431"/>
      <c r="E61" s="431"/>
      <c r="F61" s="431"/>
    </row>
    <row r="62" spans="1:6" ht="15">
      <c r="A62" s="436" t="s">
        <v>557</v>
      </c>
      <c r="B62" s="431"/>
      <c r="C62" s="431"/>
      <c r="D62" s="431"/>
      <c r="E62" s="431"/>
      <c r="F62" s="431"/>
    </row>
    <row r="63" spans="1:6" ht="15">
      <c r="A63" s="436" t="s">
        <v>558</v>
      </c>
      <c r="B63" s="431"/>
      <c r="C63" s="431"/>
      <c r="D63" s="431"/>
      <c r="E63" s="431"/>
      <c r="F63" s="431"/>
    </row>
    <row r="64" ht="15">
      <c r="A64" s="436" t="s">
        <v>559</v>
      </c>
    </row>
    <row r="65" ht="15">
      <c r="A65" s="436" t="s">
        <v>560</v>
      </c>
    </row>
    <row r="66" ht="15">
      <c r="A66" s="436" t="s">
        <v>561</v>
      </c>
    </row>
    <row r="68" ht="15">
      <c r="A68" s="431" t="s">
        <v>562</v>
      </c>
    </row>
    <row r="69" ht="15">
      <c r="A69" s="431" t="s">
        <v>563</v>
      </c>
    </row>
    <row r="70" ht="15">
      <c r="A70" s="431" t="s">
        <v>564</v>
      </c>
    </row>
    <row r="71" ht="15">
      <c r="A71" s="431" t="s">
        <v>565</v>
      </c>
    </row>
    <row r="72" ht="15">
      <c r="A72" s="431" t="s">
        <v>566</v>
      </c>
    </row>
    <row r="73" ht="15">
      <c r="A73" s="431" t="s">
        <v>567</v>
      </c>
    </row>
    <row r="75" ht="15">
      <c r="A75" s="431" t="s">
        <v>472</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30" t="s">
        <v>568</v>
      </c>
      <c r="B3" s="430"/>
      <c r="C3" s="430"/>
      <c r="D3" s="430"/>
      <c r="E3" s="430"/>
      <c r="F3" s="430"/>
      <c r="G3" s="430"/>
    </row>
    <row r="4" spans="1:7" ht="15">
      <c r="A4" s="430"/>
      <c r="B4" s="430"/>
      <c r="C4" s="430"/>
      <c r="D4" s="430"/>
      <c r="E4" s="430"/>
      <c r="F4" s="430"/>
      <c r="G4" s="430"/>
    </row>
    <row r="5" ht="15">
      <c r="A5" s="431" t="s">
        <v>474</v>
      </c>
    </row>
    <row r="6" ht="15">
      <c r="A6" s="431" t="str">
        <f>CONCATENATE(inputPrYr!C4-1," estimated expenditures show that at the end of this year")</f>
        <v>2011 estimated expenditures show that at the end of this year</v>
      </c>
    </row>
    <row r="7" ht="15">
      <c r="A7" s="431" t="s">
        <v>569</v>
      </c>
    </row>
    <row r="8" ht="15">
      <c r="A8" s="431" t="s">
        <v>570</v>
      </c>
    </row>
    <row r="10" ht="15">
      <c r="A10" t="s">
        <v>476</v>
      </c>
    </row>
    <row r="11" ht="15">
      <c r="A11" t="s">
        <v>477</v>
      </c>
    </row>
    <row r="12" ht="15">
      <c r="A12" t="s">
        <v>478</v>
      </c>
    </row>
    <row r="13" spans="1:7" ht="15">
      <c r="A13" s="430"/>
      <c r="B13" s="430"/>
      <c r="C13" s="430"/>
      <c r="D13" s="430"/>
      <c r="E13" s="430"/>
      <c r="F13" s="430"/>
      <c r="G13" s="430"/>
    </row>
    <row r="14" ht="15">
      <c r="A14" s="432" t="s">
        <v>571</v>
      </c>
    </row>
    <row r="15" ht="15">
      <c r="A15" s="431"/>
    </row>
    <row r="16" ht="15">
      <c r="A16" s="431" t="s">
        <v>572</v>
      </c>
    </row>
    <row r="17" ht="15">
      <c r="A17" s="431" t="s">
        <v>573</v>
      </c>
    </row>
    <row r="18" ht="15">
      <c r="A18" s="431" t="s">
        <v>574</v>
      </c>
    </row>
    <row r="19" ht="15">
      <c r="A19" s="431"/>
    </row>
    <row r="20" ht="15">
      <c r="A20" s="431" t="s">
        <v>575</v>
      </c>
    </row>
    <row r="21" ht="15">
      <c r="A21" s="431" t="s">
        <v>576</v>
      </c>
    </row>
    <row r="22" ht="15">
      <c r="A22" s="431" t="s">
        <v>577</v>
      </c>
    </row>
    <row r="23" ht="15">
      <c r="A23" s="431" t="s">
        <v>578</v>
      </c>
    </row>
    <row r="24" ht="15">
      <c r="A24" s="431"/>
    </row>
    <row r="25" ht="15">
      <c r="A25" s="432" t="s">
        <v>540</v>
      </c>
    </row>
    <row r="26" ht="15">
      <c r="A26" s="432"/>
    </row>
    <row r="27" ht="15">
      <c r="A27" s="431" t="s">
        <v>541</v>
      </c>
    </row>
    <row r="28" spans="1:6" ht="15">
      <c r="A28" s="431" t="s">
        <v>542</v>
      </c>
      <c r="B28" s="431"/>
      <c r="C28" s="431"/>
      <c r="D28" s="431"/>
      <c r="E28" s="431"/>
      <c r="F28" s="431"/>
    </row>
    <row r="29" spans="1:6" ht="15">
      <c r="A29" s="431" t="s">
        <v>543</v>
      </c>
      <c r="B29" s="431"/>
      <c r="C29" s="431"/>
      <c r="D29" s="431"/>
      <c r="E29" s="431"/>
      <c r="F29" s="431"/>
    </row>
    <row r="30" spans="1:6" ht="15">
      <c r="A30" s="431" t="s">
        <v>544</v>
      </c>
      <c r="B30" s="431"/>
      <c r="C30" s="431"/>
      <c r="D30" s="431"/>
      <c r="E30" s="431"/>
      <c r="F30" s="431"/>
    </row>
    <row r="31" ht="15">
      <c r="A31" s="431"/>
    </row>
    <row r="32" spans="1:7" ht="15">
      <c r="A32" s="432" t="s">
        <v>545</v>
      </c>
      <c r="B32" s="432"/>
      <c r="C32" s="432"/>
      <c r="D32" s="432"/>
      <c r="E32" s="432"/>
      <c r="F32" s="432"/>
      <c r="G32" s="432"/>
    </row>
    <row r="33" spans="1:7" ht="15">
      <c r="A33" s="432" t="s">
        <v>546</v>
      </c>
      <c r="B33" s="432"/>
      <c r="C33" s="432"/>
      <c r="D33" s="432"/>
      <c r="E33" s="432"/>
      <c r="F33" s="432"/>
      <c r="G33" s="432"/>
    </row>
    <row r="34" spans="1:7" ht="15">
      <c r="A34" s="432"/>
      <c r="B34" s="432"/>
      <c r="C34" s="432"/>
      <c r="D34" s="432"/>
      <c r="E34" s="432"/>
      <c r="F34" s="432"/>
      <c r="G34" s="432"/>
    </row>
    <row r="35" spans="1:7" ht="15">
      <c r="A35" s="431" t="s">
        <v>579</v>
      </c>
      <c r="B35" s="431"/>
      <c r="C35" s="431"/>
      <c r="D35" s="431"/>
      <c r="E35" s="431"/>
      <c r="F35" s="431"/>
      <c r="G35" s="431"/>
    </row>
    <row r="36" spans="1:7" ht="15">
      <c r="A36" s="431" t="s">
        <v>580</v>
      </c>
      <c r="B36" s="431"/>
      <c r="C36" s="431"/>
      <c r="D36" s="431"/>
      <c r="E36" s="431"/>
      <c r="F36" s="431"/>
      <c r="G36" s="431"/>
    </row>
    <row r="37" spans="1:7" ht="15">
      <c r="A37" s="431" t="s">
        <v>581</v>
      </c>
      <c r="B37" s="431"/>
      <c r="C37" s="431"/>
      <c r="D37" s="431"/>
      <c r="E37" s="431"/>
      <c r="F37" s="431"/>
      <c r="G37" s="431"/>
    </row>
    <row r="38" spans="1:7" ht="15">
      <c r="A38" s="431" t="s">
        <v>582</v>
      </c>
      <c r="B38" s="431"/>
      <c r="C38" s="431"/>
      <c r="D38" s="431"/>
      <c r="E38" s="431"/>
      <c r="F38" s="431"/>
      <c r="G38" s="431"/>
    </row>
    <row r="39" spans="1:7" ht="15">
      <c r="A39" s="431" t="s">
        <v>583</v>
      </c>
      <c r="B39" s="431"/>
      <c r="C39" s="431"/>
      <c r="D39" s="431"/>
      <c r="E39" s="431"/>
      <c r="F39" s="431"/>
      <c r="G39" s="431"/>
    </row>
    <row r="40" spans="1:7" ht="15">
      <c r="A40" s="432"/>
      <c r="B40" s="432"/>
      <c r="C40" s="432"/>
      <c r="D40" s="432"/>
      <c r="E40" s="432"/>
      <c r="F40" s="432"/>
      <c r="G40" s="432"/>
    </row>
    <row r="41" spans="1:6" ht="15">
      <c r="A41" s="435" t="str">
        <f>CONCATENATE("So, let's look to see if any of your ",inputPrYr!C4-1," expenditures can")</f>
        <v>So, let's look to see if any of your 2011 expenditures can</v>
      </c>
      <c r="B41" s="431"/>
      <c r="C41" s="431"/>
      <c r="D41" s="431"/>
      <c r="E41" s="431"/>
      <c r="F41" s="431"/>
    </row>
    <row r="42" spans="1:6" ht="15">
      <c r="A42" s="435" t="s">
        <v>547</v>
      </c>
      <c r="B42" s="431"/>
      <c r="C42" s="431"/>
      <c r="D42" s="431"/>
      <c r="E42" s="431"/>
      <c r="F42" s="431"/>
    </row>
    <row r="43" spans="1:6" ht="15">
      <c r="A43" s="435" t="s">
        <v>431</v>
      </c>
      <c r="B43" s="431"/>
      <c r="C43" s="431"/>
      <c r="D43" s="431"/>
      <c r="E43" s="431"/>
      <c r="F43" s="431"/>
    </row>
    <row r="44" spans="1:6" ht="15">
      <c r="A44" s="435" t="s">
        <v>432</v>
      </c>
      <c r="B44" s="431"/>
      <c r="C44" s="431"/>
      <c r="D44" s="431"/>
      <c r="E44" s="431"/>
      <c r="F44" s="431"/>
    </row>
    <row r="45" ht="15">
      <c r="A45" s="431"/>
    </row>
    <row r="46" spans="1:6" ht="15">
      <c r="A46" s="435" t="str">
        <f>CONCATENATE("Additionally, do your ",inputPrYr!C4-1," receipts contain a reimbursement")</f>
        <v>Additionally, do your 2011 receipts contain a reimbursement</v>
      </c>
      <c r="B46" s="431"/>
      <c r="C46" s="431"/>
      <c r="D46" s="431"/>
      <c r="E46" s="431"/>
      <c r="F46" s="431"/>
    </row>
    <row r="47" spans="1:6" ht="15">
      <c r="A47" s="435" t="s">
        <v>433</v>
      </c>
      <c r="B47" s="431"/>
      <c r="C47" s="431"/>
      <c r="D47" s="431"/>
      <c r="E47" s="431"/>
      <c r="F47" s="431"/>
    </row>
    <row r="48" spans="1:6" ht="15">
      <c r="A48" s="435" t="s">
        <v>434</v>
      </c>
      <c r="B48" s="431"/>
      <c r="C48" s="431"/>
      <c r="D48" s="431"/>
      <c r="E48" s="431"/>
      <c r="F48" s="431"/>
    </row>
    <row r="49" spans="1:7" ht="15">
      <c r="A49" s="431"/>
      <c r="B49" s="431"/>
      <c r="C49" s="431"/>
      <c r="D49" s="431"/>
      <c r="E49" s="431"/>
      <c r="F49" s="431"/>
      <c r="G49" s="431"/>
    </row>
    <row r="50" spans="1:7" ht="15">
      <c r="A50" s="431" t="s">
        <v>501</v>
      </c>
      <c r="B50" s="431"/>
      <c r="C50" s="431"/>
      <c r="D50" s="431"/>
      <c r="E50" s="431"/>
      <c r="F50" s="431"/>
      <c r="G50" s="431"/>
    </row>
    <row r="51" spans="1:7" ht="15">
      <c r="A51" s="431" t="s">
        <v>502</v>
      </c>
      <c r="B51" s="431"/>
      <c r="C51" s="431"/>
      <c r="D51" s="431"/>
      <c r="E51" s="431"/>
      <c r="F51" s="431"/>
      <c r="G51" s="431"/>
    </row>
    <row r="52" spans="1:7" ht="15">
      <c r="A52" s="431" t="s">
        <v>503</v>
      </c>
      <c r="B52" s="431"/>
      <c r="C52" s="431"/>
      <c r="D52" s="431"/>
      <c r="E52" s="431"/>
      <c r="F52" s="431"/>
      <c r="G52" s="431"/>
    </row>
    <row r="53" spans="1:7" ht="15">
      <c r="A53" s="431" t="s">
        <v>504</v>
      </c>
      <c r="B53" s="431"/>
      <c r="C53" s="431"/>
      <c r="D53" s="431"/>
      <c r="E53" s="431"/>
      <c r="F53" s="431"/>
      <c r="G53" s="431"/>
    </row>
    <row r="54" spans="1:7" ht="15">
      <c r="A54" s="431" t="s">
        <v>505</v>
      </c>
      <c r="B54" s="431"/>
      <c r="C54" s="431"/>
      <c r="D54" s="431"/>
      <c r="E54" s="431"/>
      <c r="F54" s="431"/>
      <c r="G54" s="431"/>
    </row>
    <row r="55" spans="1:7" ht="15">
      <c r="A55" s="431"/>
      <c r="B55" s="431"/>
      <c r="C55" s="431"/>
      <c r="D55" s="431"/>
      <c r="E55" s="431"/>
      <c r="F55" s="431"/>
      <c r="G55" s="431"/>
    </row>
    <row r="56" spans="1:6" ht="15">
      <c r="A56" s="435" t="s">
        <v>443</v>
      </c>
      <c r="B56" s="431"/>
      <c r="C56" s="431"/>
      <c r="D56" s="431"/>
      <c r="E56" s="431"/>
      <c r="F56" s="431"/>
    </row>
    <row r="57" spans="1:6" ht="15">
      <c r="A57" s="435" t="s">
        <v>444</v>
      </c>
      <c r="B57" s="431"/>
      <c r="C57" s="431"/>
      <c r="D57" s="431"/>
      <c r="E57" s="431"/>
      <c r="F57" s="431"/>
    </row>
    <row r="58" spans="1:6" ht="15">
      <c r="A58" s="435" t="s">
        <v>445</v>
      </c>
      <c r="B58" s="431"/>
      <c r="C58" s="431"/>
      <c r="D58" s="431"/>
      <c r="E58" s="431"/>
      <c r="F58" s="431"/>
    </row>
    <row r="59" spans="1:6" ht="15">
      <c r="A59" s="435"/>
      <c r="B59" s="431"/>
      <c r="C59" s="431"/>
      <c r="D59" s="431"/>
      <c r="E59" s="431"/>
      <c r="F59" s="431"/>
    </row>
    <row r="60" spans="1:7" ht="15">
      <c r="A60" s="431" t="s">
        <v>584</v>
      </c>
      <c r="B60" s="431"/>
      <c r="C60" s="431"/>
      <c r="D60" s="431"/>
      <c r="E60" s="431"/>
      <c r="F60" s="431"/>
      <c r="G60" s="431"/>
    </row>
    <row r="61" spans="1:7" ht="15">
      <c r="A61" s="431" t="s">
        <v>585</v>
      </c>
      <c r="B61" s="431"/>
      <c r="C61" s="431"/>
      <c r="D61" s="431"/>
      <c r="E61" s="431"/>
      <c r="F61" s="431"/>
      <c r="G61" s="431"/>
    </row>
    <row r="62" spans="1:7" ht="15">
      <c r="A62" s="431" t="s">
        <v>586</v>
      </c>
      <c r="B62" s="431"/>
      <c r="C62" s="431"/>
      <c r="D62" s="431"/>
      <c r="E62" s="431"/>
      <c r="F62" s="431"/>
      <c r="G62" s="431"/>
    </row>
    <row r="63" spans="1:7" ht="15">
      <c r="A63" s="431" t="s">
        <v>587</v>
      </c>
      <c r="B63" s="431"/>
      <c r="C63" s="431"/>
      <c r="D63" s="431"/>
      <c r="E63" s="431"/>
      <c r="F63" s="431"/>
      <c r="G63" s="431"/>
    </row>
    <row r="64" spans="1:7" ht="15">
      <c r="A64" s="431" t="s">
        <v>588</v>
      </c>
      <c r="B64" s="431"/>
      <c r="C64" s="431"/>
      <c r="D64" s="431"/>
      <c r="E64" s="431"/>
      <c r="F64" s="431"/>
      <c r="G64" s="431"/>
    </row>
    <row r="66" spans="1:6" ht="15">
      <c r="A66" s="435" t="s">
        <v>551</v>
      </c>
      <c r="B66" s="431"/>
      <c r="C66" s="431"/>
      <c r="D66" s="431"/>
      <c r="E66" s="431"/>
      <c r="F66" s="431"/>
    </row>
    <row r="67" spans="1:6" ht="15">
      <c r="A67" s="435" t="s">
        <v>552</v>
      </c>
      <c r="B67" s="431"/>
      <c r="C67" s="431"/>
      <c r="D67" s="431"/>
      <c r="E67" s="431"/>
      <c r="F67" s="431"/>
    </row>
    <row r="68" spans="1:6" ht="15">
      <c r="A68" s="435" t="s">
        <v>553</v>
      </c>
      <c r="B68" s="431"/>
      <c r="C68" s="431"/>
      <c r="D68" s="431"/>
      <c r="E68" s="431"/>
      <c r="F68" s="431"/>
    </row>
    <row r="69" spans="1:6" ht="15">
      <c r="A69" s="435" t="s">
        <v>554</v>
      </c>
      <c r="B69" s="431"/>
      <c r="C69" s="431"/>
      <c r="D69" s="431"/>
      <c r="E69" s="431"/>
      <c r="F69" s="431"/>
    </row>
    <row r="70" spans="1:6" ht="15">
      <c r="A70" s="435" t="s">
        <v>555</v>
      </c>
      <c r="B70" s="431"/>
      <c r="C70" s="431"/>
      <c r="D70" s="431"/>
      <c r="E70" s="431"/>
      <c r="F70" s="431"/>
    </row>
    <row r="71" ht="15">
      <c r="A71" s="431"/>
    </row>
    <row r="72" ht="15">
      <c r="A72" s="431" t="s">
        <v>472</v>
      </c>
    </row>
    <row r="73" ht="15">
      <c r="A73" s="431"/>
    </row>
    <row r="74" ht="15">
      <c r="A74" s="431"/>
    </row>
    <row r="75" ht="15">
      <c r="A75" s="431"/>
    </row>
    <row r="78" ht="15">
      <c r="A78" s="432"/>
    </row>
    <row r="80" ht="15">
      <c r="A80" s="431"/>
    </row>
    <row r="81" ht="15">
      <c r="A81" s="431"/>
    </row>
    <row r="82" ht="15">
      <c r="A82" s="431"/>
    </row>
    <row r="83" ht="15">
      <c r="A83" s="431"/>
    </row>
    <row r="84" ht="15">
      <c r="A84" s="431"/>
    </row>
    <row r="85" ht="15">
      <c r="A85" s="431"/>
    </row>
    <row r="86" ht="15">
      <c r="A86" s="431"/>
    </row>
    <row r="87" ht="15">
      <c r="A87" s="431"/>
    </row>
    <row r="88" ht="15">
      <c r="A88" s="431"/>
    </row>
    <row r="89" ht="15">
      <c r="A89" s="431"/>
    </row>
    <row r="90" ht="15">
      <c r="A90" s="431"/>
    </row>
    <row r="92" ht="15">
      <c r="A92" s="431"/>
    </row>
    <row r="93" ht="15">
      <c r="A93" s="431"/>
    </row>
    <row r="94" ht="15">
      <c r="A94" s="431"/>
    </row>
    <row r="95" ht="15">
      <c r="A95" s="431"/>
    </row>
    <row r="96" ht="15">
      <c r="A96" s="431"/>
    </row>
    <row r="97" ht="15">
      <c r="A97" s="431"/>
    </row>
    <row r="98" ht="15">
      <c r="A98" s="431"/>
    </row>
    <row r="99" ht="15">
      <c r="A99" s="431"/>
    </row>
    <row r="100" ht="15">
      <c r="A100" s="431"/>
    </row>
    <row r="101" ht="15">
      <c r="A101" s="431"/>
    </row>
    <row r="102" ht="15">
      <c r="A102" s="431"/>
    </row>
    <row r="103" ht="15">
      <c r="A103" s="431"/>
    </row>
    <row r="104" ht="15">
      <c r="A104" s="431"/>
    </row>
    <row r="105" ht="15">
      <c r="A105" s="431"/>
    </row>
    <row r="106" ht="15">
      <c r="A106" s="431"/>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30" t="s">
        <v>589</v>
      </c>
      <c r="B3" s="430"/>
      <c r="C3" s="430"/>
      <c r="D3" s="430"/>
      <c r="E3" s="430"/>
      <c r="F3" s="430"/>
      <c r="G3" s="430"/>
    </row>
    <row r="4" spans="1:7" ht="15">
      <c r="A4" s="430" t="s">
        <v>590</v>
      </c>
      <c r="B4" s="430"/>
      <c r="C4" s="430"/>
      <c r="D4" s="430"/>
      <c r="E4" s="430"/>
      <c r="F4" s="430"/>
      <c r="G4" s="430"/>
    </row>
    <row r="5" spans="1:7" ht="15">
      <c r="A5" s="430"/>
      <c r="B5" s="430"/>
      <c r="C5" s="430"/>
      <c r="D5" s="430"/>
      <c r="E5" s="430"/>
      <c r="F5" s="430"/>
      <c r="G5" s="430"/>
    </row>
    <row r="6" spans="1:7" ht="15">
      <c r="A6" s="430"/>
      <c r="B6" s="430"/>
      <c r="C6" s="430"/>
      <c r="D6" s="430"/>
      <c r="E6" s="430"/>
      <c r="F6" s="430"/>
      <c r="G6" s="430"/>
    </row>
    <row r="7" ht="15">
      <c r="A7" s="431" t="s">
        <v>417</v>
      </c>
    </row>
    <row r="8" ht="15">
      <c r="A8" s="431" t="str">
        <f>CONCATENATE("estimated ",inputPrYr!C4," 'total expenditures' exceed your ",inputPrYr!C4,"")</f>
        <v>estimated 2012 'total expenditures' exceed your 2012</v>
      </c>
    </row>
    <row r="9" ht="15">
      <c r="A9" s="434" t="s">
        <v>591</v>
      </c>
    </row>
    <row r="10" ht="15">
      <c r="A10" s="431"/>
    </row>
    <row r="11" ht="15">
      <c r="A11" s="431" t="s">
        <v>592</v>
      </c>
    </row>
    <row r="12" ht="15">
      <c r="A12" s="431" t="s">
        <v>593</v>
      </c>
    </row>
    <row r="13" ht="15">
      <c r="A13" s="431" t="s">
        <v>594</v>
      </c>
    </row>
    <row r="14" ht="15">
      <c r="A14" s="431"/>
    </row>
    <row r="15" ht="15">
      <c r="A15" s="432" t="s">
        <v>595</v>
      </c>
    </row>
    <row r="16" spans="1:7" ht="15">
      <c r="A16" s="430"/>
      <c r="B16" s="430"/>
      <c r="C16" s="430"/>
      <c r="D16" s="430"/>
      <c r="E16" s="430"/>
      <c r="F16" s="430"/>
      <c r="G16" s="430"/>
    </row>
    <row r="17" spans="1:8" ht="15">
      <c r="A17" s="437" t="s">
        <v>596</v>
      </c>
      <c r="B17" s="414"/>
      <c r="C17" s="414"/>
      <c r="D17" s="414"/>
      <c r="E17" s="414"/>
      <c r="F17" s="414"/>
      <c r="G17" s="414"/>
      <c r="H17" s="414"/>
    </row>
    <row r="18" spans="1:7" ht="15">
      <c r="A18" s="431" t="s">
        <v>597</v>
      </c>
      <c r="B18" s="438"/>
      <c r="C18" s="438"/>
      <c r="D18" s="438"/>
      <c r="E18" s="438"/>
      <c r="F18" s="438"/>
      <c r="G18" s="438"/>
    </row>
    <row r="19" ht="15">
      <c r="A19" s="431" t="s">
        <v>598</v>
      </c>
    </row>
    <row r="20" ht="15">
      <c r="A20" s="431" t="s">
        <v>599</v>
      </c>
    </row>
    <row r="22" ht="15">
      <c r="A22" s="432" t="s">
        <v>600</v>
      </c>
    </row>
    <row r="24" ht="15">
      <c r="A24" s="431" t="s">
        <v>601</v>
      </c>
    </row>
    <row r="25" ht="15">
      <c r="A25" s="431" t="s">
        <v>602</v>
      </c>
    </row>
    <row r="26" ht="15">
      <c r="A26" s="431" t="s">
        <v>603</v>
      </c>
    </row>
    <row r="28" ht="15">
      <c r="A28" s="432" t="s">
        <v>604</v>
      </c>
    </row>
    <row r="30" ht="15">
      <c r="A30" t="s">
        <v>605</v>
      </c>
    </row>
    <row r="31" ht="15">
      <c r="A31" t="s">
        <v>606</v>
      </c>
    </row>
    <row r="32" ht="15">
      <c r="A32" t="s">
        <v>607</v>
      </c>
    </row>
    <row r="33" ht="15">
      <c r="A33" s="431" t="s">
        <v>608</v>
      </c>
    </row>
    <row r="35" ht="15">
      <c r="A35" t="s">
        <v>609</v>
      </c>
    </row>
    <row r="36" ht="15">
      <c r="A36" t="s">
        <v>610</v>
      </c>
    </row>
    <row r="37" ht="15">
      <c r="A37" t="s">
        <v>611</v>
      </c>
    </row>
    <row r="38" ht="15">
      <c r="A38" t="s">
        <v>612</v>
      </c>
    </row>
    <row r="40" ht="15">
      <c r="A40" t="s">
        <v>613</v>
      </c>
    </row>
    <row r="41" ht="15">
      <c r="A41" t="s">
        <v>614</v>
      </c>
    </row>
    <row r="42" ht="15">
      <c r="A42" t="s">
        <v>615</v>
      </c>
    </row>
    <row r="43" ht="15">
      <c r="A43" t="s">
        <v>616</v>
      </c>
    </row>
    <row r="44" ht="15">
      <c r="A44" t="s">
        <v>617</v>
      </c>
    </row>
    <row r="45" ht="15">
      <c r="A45" t="s">
        <v>618</v>
      </c>
    </row>
    <row r="47" ht="15">
      <c r="A47" t="s">
        <v>619</v>
      </c>
    </row>
    <row r="48" ht="15">
      <c r="A48" t="s">
        <v>620</v>
      </c>
    </row>
    <row r="49" ht="15">
      <c r="A49" s="431" t="s">
        <v>621</v>
      </c>
    </row>
    <row r="50" ht="15">
      <c r="A50" s="431" t="s">
        <v>622</v>
      </c>
    </row>
    <row r="52" ht="15">
      <c r="A52" t="s">
        <v>472</v>
      </c>
    </row>
  </sheetData>
  <sheetProtection sheet="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546" customWidth="1"/>
    <col min="2" max="2" width="11.19921875" style="576" customWidth="1"/>
    <col min="3" max="3" width="7.3984375" style="576" customWidth="1"/>
    <col min="4" max="4" width="8.8984375" style="576" customWidth="1"/>
    <col min="5" max="5" width="1.59765625" style="576" customWidth="1"/>
    <col min="6" max="6" width="14.296875" style="576" customWidth="1"/>
    <col min="7" max="7" width="2.59765625" style="576" customWidth="1"/>
    <col min="8" max="8" width="9.796875" style="576" customWidth="1"/>
    <col min="9" max="9" width="2" style="576" customWidth="1"/>
    <col min="10" max="10" width="8.59765625" style="576" customWidth="1"/>
    <col min="11" max="11" width="11.69921875" style="576" customWidth="1"/>
    <col min="12" max="12" width="7.59765625" style="546" customWidth="1"/>
    <col min="13" max="14" width="8.8984375" style="546" customWidth="1"/>
    <col min="15" max="15" width="9.8984375" style="546" bestFit="1" customWidth="1"/>
    <col min="16" max="16384" width="8.8984375" style="546"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754" t="s">
        <v>727</v>
      </c>
      <c r="C6" s="759"/>
      <c r="D6" s="759"/>
      <c r="E6" s="759"/>
      <c r="F6" s="759"/>
      <c r="G6" s="759"/>
      <c r="H6" s="759"/>
      <c r="I6" s="759"/>
      <c r="J6" s="759"/>
      <c r="K6" s="759"/>
      <c r="L6" s="577"/>
    </row>
    <row r="7" spans="1:12" ht="40.5" customHeight="1">
      <c r="A7" s="575"/>
      <c r="B7" s="767" t="s">
        <v>728</v>
      </c>
      <c r="C7" s="768"/>
      <c r="D7" s="768"/>
      <c r="E7" s="768"/>
      <c r="F7" s="768"/>
      <c r="G7" s="768"/>
      <c r="H7" s="768"/>
      <c r="I7" s="768"/>
      <c r="J7" s="768"/>
      <c r="K7" s="768"/>
      <c r="L7" s="575"/>
    </row>
    <row r="8" spans="1:12" ht="14.25">
      <c r="A8" s="575"/>
      <c r="B8" s="760" t="s">
        <v>729</v>
      </c>
      <c r="C8" s="760"/>
      <c r="D8" s="760"/>
      <c r="E8" s="760"/>
      <c r="F8" s="760"/>
      <c r="G8" s="760"/>
      <c r="H8" s="760"/>
      <c r="I8" s="760"/>
      <c r="J8" s="760"/>
      <c r="K8" s="760"/>
      <c r="L8" s="575"/>
    </row>
    <row r="9" spans="1:12" ht="14.25">
      <c r="A9" s="575"/>
      <c r="L9" s="575"/>
    </row>
    <row r="10" spans="1:12" ht="14.25">
      <c r="A10" s="575"/>
      <c r="B10" s="760" t="s">
        <v>730</v>
      </c>
      <c r="C10" s="760"/>
      <c r="D10" s="760"/>
      <c r="E10" s="760"/>
      <c r="F10" s="760"/>
      <c r="G10" s="760"/>
      <c r="H10" s="760"/>
      <c r="I10" s="760"/>
      <c r="J10" s="760"/>
      <c r="K10" s="760"/>
      <c r="L10" s="575"/>
    </row>
    <row r="11" spans="1:12" ht="14.25">
      <c r="A11" s="575"/>
      <c r="B11" s="556"/>
      <c r="C11" s="556"/>
      <c r="D11" s="556"/>
      <c r="E11" s="556"/>
      <c r="F11" s="556"/>
      <c r="G11" s="556"/>
      <c r="H11" s="556"/>
      <c r="I11" s="556"/>
      <c r="J11" s="556"/>
      <c r="K11" s="556"/>
      <c r="L11" s="575"/>
    </row>
    <row r="12" spans="1:12" ht="32.25" customHeight="1">
      <c r="A12" s="575"/>
      <c r="B12" s="755" t="s">
        <v>731</v>
      </c>
      <c r="C12" s="755"/>
      <c r="D12" s="755"/>
      <c r="E12" s="755"/>
      <c r="F12" s="755"/>
      <c r="G12" s="755"/>
      <c r="H12" s="755"/>
      <c r="I12" s="755"/>
      <c r="J12" s="755"/>
      <c r="K12" s="755"/>
      <c r="L12" s="575"/>
    </row>
    <row r="13" spans="1:12" ht="14.25">
      <c r="A13" s="575"/>
      <c r="L13" s="575"/>
    </row>
    <row r="14" spans="1:12" ht="14.25">
      <c r="A14" s="575"/>
      <c r="B14" s="557" t="s">
        <v>732</v>
      </c>
      <c r="L14" s="575"/>
    </row>
    <row r="15" spans="1:12" ht="14.25">
      <c r="A15" s="575"/>
      <c r="L15" s="575"/>
    </row>
    <row r="16" spans="1:12" ht="14.25">
      <c r="A16" s="575"/>
      <c r="B16" s="576" t="s">
        <v>733</v>
      </c>
      <c r="L16" s="575"/>
    </row>
    <row r="17" spans="1:12" ht="14.25">
      <c r="A17" s="575"/>
      <c r="B17" s="576" t="s">
        <v>734</v>
      </c>
      <c r="L17" s="575"/>
    </row>
    <row r="18" spans="1:12" ht="14.25">
      <c r="A18" s="575"/>
      <c r="L18" s="575"/>
    </row>
    <row r="19" spans="1:12" ht="14.25">
      <c r="A19" s="575"/>
      <c r="B19" s="557" t="s">
        <v>735</v>
      </c>
      <c r="L19" s="575"/>
    </row>
    <row r="20" spans="1:12" ht="14.25">
      <c r="A20" s="575"/>
      <c r="B20" s="557"/>
      <c r="L20" s="575"/>
    </row>
    <row r="21" spans="1:12" ht="14.25">
      <c r="A21" s="575"/>
      <c r="B21" s="576" t="s">
        <v>736</v>
      </c>
      <c r="L21" s="575"/>
    </row>
    <row r="22" spans="1:12" ht="14.25">
      <c r="A22" s="575"/>
      <c r="L22" s="575"/>
    </row>
    <row r="23" spans="1:12" ht="14.25">
      <c r="A23" s="575"/>
      <c r="B23" s="576" t="s">
        <v>737</v>
      </c>
      <c r="E23" s="576" t="s">
        <v>738</v>
      </c>
      <c r="F23" s="756">
        <v>133685008</v>
      </c>
      <c r="G23" s="756"/>
      <c r="L23" s="575"/>
    </row>
    <row r="24" spans="1:12" ht="14.25">
      <c r="A24" s="575"/>
      <c r="L24" s="575"/>
    </row>
    <row r="25" spans="1:12" ht="14.25">
      <c r="A25" s="575"/>
      <c r="C25" s="769">
        <f>F23</f>
        <v>133685008</v>
      </c>
      <c r="D25" s="769"/>
      <c r="E25" s="576" t="s">
        <v>739</v>
      </c>
      <c r="F25" s="578">
        <v>1000</v>
      </c>
      <c r="G25" s="578" t="s">
        <v>738</v>
      </c>
      <c r="H25" s="579">
        <f>F23/F25</f>
        <v>133685.008</v>
      </c>
      <c r="L25" s="575"/>
    </row>
    <row r="26" spans="1:12" ht="15" thickBot="1">
      <c r="A26" s="575"/>
      <c r="L26" s="575"/>
    </row>
    <row r="27" spans="1:12" ht="14.25">
      <c r="A27" s="575"/>
      <c r="B27" s="558" t="s">
        <v>732</v>
      </c>
      <c r="C27" s="580"/>
      <c r="D27" s="580"/>
      <c r="E27" s="580"/>
      <c r="F27" s="580"/>
      <c r="G27" s="580"/>
      <c r="H27" s="580"/>
      <c r="I27" s="580"/>
      <c r="J27" s="580"/>
      <c r="K27" s="581"/>
      <c r="L27" s="575"/>
    </row>
    <row r="28" spans="1:12" ht="14.25">
      <c r="A28" s="575"/>
      <c r="B28" s="582">
        <f>F23</f>
        <v>133685008</v>
      </c>
      <c r="C28" s="583" t="s">
        <v>740</v>
      </c>
      <c r="D28" s="583"/>
      <c r="E28" s="583" t="s">
        <v>739</v>
      </c>
      <c r="F28" s="584">
        <v>1000</v>
      </c>
      <c r="G28" s="584" t="s">
        <v>738</v>
      </c>
      <c r="H28" s="585">
        <f>B28/F28</f>
        <v>133685.008</v>
      </c>
      <c r="I28" s="583" t="s">
        <v>741</v>
      </c>
      <c r="J28" s="583"/>
      <c r="K28" s="586"/>
      <c r="L28" s="575"/>
    </row>
    <row r="29" spans="1:12" ht="15" thickBot="1">
      <c r="A29" s="575"/>
      <c r="B29" s="587"/>
      <c r="C29" s="588"/>
      <c r="D29" s="588"/>
      <c r="E29" s="588"/>
      <c r="F29" s="588"/>
      <c r="G29" s="588"/>
      <c r="H29" s="588"/>
      <c r="I29" s="588"/>
      <c r="J29" s="588"/>
      <c r="K29" s="589"/>
      <c r="L29" s="575"/>
    </row>
    <row r="30" spans="1:12" ht="40.5" customHeight="1">
      <c r="A30" s="575"/>
      <c r="B30" s="757" t="s">
        <v>728</v>
      </c>
      <c r="C30" s="757"/>
      <c r="D30" s="757"/>
      <c r="E30" s="757"/>
      <c r="F30" s="757"/>
      <c r="G30" s="757"/>
      <c r="H30" s="757"/>
      <c r="I30" s="757"/>
      <c r="J30" s="757"/>
      <c r="K30" s="757"/>
      <c r="L30" s="575"/>
    </row>
    <row r="31" spans="1:12" ht="14.25">
      <c r="A31" s="575"/>
      <c r="B31" s="760" t="s">
        <v>742</v>
      </c>
      <c r="C31" s="760"/>
      <c r="D31" s="760"/>
      <c r="E31" s="760"/>
      <c r="F31" s="760"/>
      <c r="G31" s="760"/>
      <c r="H31" s="760"/>
      <c r="I31" s="760"/>
      <c r="J31" s="760"/>
      <c r="K31" s="760"/>
      <c r="L31" s="575"/>
    </row>
    <row r="32" spans="1:12" ht="14.25">
      <c r="A32" s="575"/>
      <c r="L32" s="575"/>
    </row>
    <row r="33" spans="1:12" ht="14.25">
      <c r="A33" s="575"/>
      <c r="B33" s="760" t="s">
        <v>743</v>
      </c>
      <c r="C33" s="760"/>
      <c r="D33" s="760"/>
      <c r="E33" s="760"/>
      <c r="F33" s="760"/>
      <c r="G33" s="760"/>
      <c r="H33" s="760"/>
      <c r="I33" s="760"/>
      <c r="J33" s="760"/>
      <c r="K33" s="760"/>
      <c r="L33" s="575"/>
    </row>
    <row r="34" spans="1:12" ht="14.25">
      <c r="A34" s="575"/>
      <c r="L34" s="575"/>
    </row>
    <row r="35" spans="1:12" ht="89.25" customHeight="1">
      <c r="A35" s="575"/>
      <c r="B35" s="755" t="s">
        <v>744</v>
      </c>
      <c r="C35" s="761"/>
      <c r="D35" s="761"/>
      <c r="E35" s="761"/>
      <c r="F35" s="761"/>
      <c r="G35" s="761"/>
      <c r="H35" s="761"/>
      <c r="I35" s="761"/>
      <c r="J35" s="761"/>
      <c r="K35" s="761"/>
      <c r="L35" s="575"/>
    </row>
    <row r="36" spans="1:12" ht="14.25">
      <c r="A36" s="575"/>
      <c r="L36" s="575"/>
    </row>
    <row r="37" spans="1:12" ht="14.25">
      <c r="A37" s="575"/>
      <c r="B37" s="557" t="s">
        <v>745</v>
      </c>
      <c r="L37" s="575"/>
    </row>
    <row r="38" spans="1:12" ht="14.25">
      <c r="A38" s="575"/>
      <c r="L38" s="575"/>
    </row>
    <row r="39" spans="1:12" ht="14.25">
      <c r="A39" s="575"/>
      <c r="B39" s="576" t="s">
        <v>746</v>
      </c>
      <c r="L39" s="575"/>
    </row>
    <row r="40" spans="1:12" ht="14.25">
      <c r="A40" s="575"/>
      <c r="L40" s="575"/>
    </row>
    <row r="41" spans="1:12" ht="14.25">
      <c r="A41" s="575"/>
      <c r="C41" s="762">
        <v>3120000</v>
      </c>
      <c r="D41" s="762"/>
      <c r="E41" s="576" t="s">
        <v>739</v>
      </c>
      <c r="F41" s="578">
        <v>1000</v>
      </c>
      <c r="G41" s="578" t="s">
        <v>738</v>
      </c>
      <c r="H41" s="590">
        <f>C41/F41</f>
        <v>3120</v>
      </c>
      <c r="L41" s="575"/>
    </row>
    <row r="42" spans="1:12" ht="14.25">
      <c r="A42" s="575"/>
      <c r="L42" s="575"/>
    </row>
    <row r="43" spans="1:12" ht="14.25">
      <c r="A43" s="575"/>
      <c r="B43" s="576" t="s">
        <v>747</v>
      </c>
      <c r="L43" s="575"/>
    </row>
    <row r="44" spans="1:12" ht="14.25">
      <c r="A44" s="575"/>
      <c r="L44" s="575"/>
    </row>
    <row r="45" spans="1:12" ht="14.25">
      <c r="A45" s="575"/>
      <c r="B45" s="576" t="s">
        <v>748</v>
      </c>
      <c r="L45" s="575"/>
    </row>
    <row r="46" spans="1:12" ht="15" thickBot="1">
      <c r="A46" s="575"/>
      <c r="L46" s="575"/>
    </row>
    <row r="47" spans="1:12" ht="14.25">
      <c r="A47" s="575"/>
      <c r="B47" s="591" t="s">
        <v>732</v>
      </c>
      <c r="C47" s="580"/>
      <c r="D47" s="580"/>
      <c r="E47" s="580"/>
      <c r="F47" s="580"/>
      <c r="G47" s="580"/>
      <c r="H47" s="580"/>
      <c r="I47" s="580"/>
      <c r="J47" s="580"/>
      <c r="K47" s="581"/>
      <c r="L47" s="575"/>
    </row>
    <row r="48" spans="1:12" ht="14.25">
      <c r="A48" s="575"/>
      <c r="B48" s="756">
        <v>133685008</v>
      </c>
      <c r="C48" s="756"/>
      <c r="D48" s="583" t="s">
        <v>749</v>
      </c>
      <c r="E48" s="583" t="s">
        <v>739</v>
      </c>
      <c r="F48" s="584">
        <v>1000</v>
      </c>
      <c r="G48" s="584" t="s">
        <v>738</v>
      </c>
      <c r="H48" s="585">
        <f>B48/F48</f>
        <v>133685.008</v>
      </c>
      <c r="I48" s="583" t="s">
        <v>750</v>
      </c>
      <c r="J48" s="583"/>
      <c r="K48" s="586"/>
      <c r="L48" s="575"/>
    </row>
    <row r="49" spans="1:12" ht="14.25">
      <c r="A49" s="575"/>
      <c r="B49" s="592"/>
      <c r="C49" s="583"/>
      <c r="D49" s="583"/>
      <c r="E49" s="583"/>
      <c r="F49" s="583"/>
      <c r="G49" s="583"/>
      <c r="H49" s="583"/>
      <c r="I49" s="583"/>
      <c r="J49" s="583"/>
      <c r="K49" s="586"/>
      <c r="L49" s="575"/>
    </row>
    <row r="50" spans="1:12" ht="14.25">
      <c r="A50" s="575"/>
      <c r="B50" s="593">
        <v>7067793</v>
      </c>
      <c r="C50" s="583" t="s">
        <v>751</v>
      </c>
      <c r="D50" s="583"/>
      <c r="E50" s="583" t="s">
        <v>739</v>
      </c>
      <c r="F50" s="585">
        <f>H48</f>
        <v>133685.008</v>
      </c>
      <c r="G50" s="763" t="s">
        <v>752</v>
      </c>
      <c r="H50" s="764"/>
      <c r="I50" s="584" t="s">
        <v>738</v>
      </c>
      <c r="J50" s="594">
        <f>B50/F50</f>
        <v>52.8690023342034</v>
      </c>
      <c r="K50" s="586"/>
      <c r="L50" s="575"/>
    </row>
    <row r="51" spans="1:15" ht="15" thickBot="1">
      <c r="A51" s="575"/>
      <c r="B51" s="587"/>
      <c r="C51" s="588"/>
      <c r="D51" s="588"/>
      <c r="E51" s="588"/>
      <c r="F51" s="588"/>
      <c r="G51" s="588"/>
      <c r="H51" s="588"/>
      <c r="I51" s="765" t="s">
        <v>753</v>
      </c>
      <c r="J51" s="765"/>
      <c r="K51" s="766"/>
      <c r="L51" s="575"/>
      <c r="O51" s="595"/>
    </row>
    <row r="52" spans="1:12" ht="40.5" customHeight="1">
      <c r="A52" s="575"/>
      <c r="B52" s="757" t="s">
        <v>728</v>
      </c>
      <c r="C52" s="757"/>
      <c r="D52" s="757"/>
      <c r="E52" s="757"/>
      <c r="F52" s="757"/>
      <c r="G52" s="757"/>
      <c r="H52" s="757"/>
      <c r="I52" s="757"/>
      <c r="J52" s="757"/>
      <c r="K52" s="757"/>
      <c r="L52" s="575"/>
    </row>
    <row r="53" spans="1:12" ht="14.25">
      <c r="A53" s="575"/>
      <c r="B53" s="760" t="s">
        <v>754</v>
      </c>
      <c r="C53" s="760"/>
      <c r="D53" s="760"/>
      <c r="E53" s="760"/>
      <c r="F53" s="760"/>
      <c r="G53" s="760"/>
      <c r="H53" s="760"/>
      <c r="I53" s="760"/>
      <c r="J53" s="760"/>
      <c r="K53" s="760"/>
      <c r="L53" s="575"/>
    </row>
    <row r="54" spans="1:12" ht="14.25">
      <c r="A54" s="575"/>
      <c r="B54" s="556"/>
      <c r="C54" s="556"/>
      <c r="D54" s="556"/>
      <c r="E54" s="556"/>
      <c r="F54" s="556"/>
      <c r="G54" s="556"/>
      <c r="H54" s="556"/>
      <c r="I54" s="556"/>
      <c r="J54" s="556"/>
      <c r="K54" s="556"/>
      <c r="L54" s="575"/>
    </row>
    <row r="55" spans="1:12" ht="14.25">
      <c r="A55" s="575"/>
      <c r="B55" s="754" t="s">
        <v>755</v>
      </c>
      <c r="C55" s="754"/>
      <c r="D55" s="754"/>
      <c r="E55" s="754"/>
      <c r="F55" s="754"/>
      <c r="G55" s="754"/>
      <c r="H55" s="754"/>
      <c r="I55" s="754"/>
      <c r="J55" s="754"/>
      <c r="K55" s="754"/>
      <c r="L55" s="575"/>
    </row>
    <row r="56" spans="1:12" ht="15" customHeight="1">
      <c r="A56" s="575"/>
      <c r="L56" s="575"/>
    </row>
    <row r="57" spans="1:24" ht="74.25" customHeight="1">
      <c r="A57" s="575"/>
      <c r="B57" s="755" t="s">
        <v>756</v>
      </c>
      <c r="C57" s="761"/>
      <c r="D57" s="761"/>
      <c r="E57" s="761"/>
      <c r="F57" s="761"/>
      <c r="G57" s="761"/>
      <c r="H57" s="761"/>
      <c r="I57" s="761"/>
      <c r="J57" s="761"/>
      <c r="K57" s="761"/>
      <c r="L57" s="575"/>
      <c r="M57" s="559"/>
      <c r="N57" s="545"/>
      <c r="O57" s="545"/>
      <c r="P57" s="545"/>
      <c r="Q57" s="545"/>
      <c r="R57" s="545"/>
      <c r="S57" s="545"/>
      <c r="T57" s="545"/>
      <c r="U57" s="545"/>
      <c r="V57" s="545"/>
      <c r="W57" s="545"/>
      <c r="X57" s="545"/>
    </row>
    <row r="58" spans="1:24" ht="15" customHeight="1">
      <c r="A58" s="575"/>
      <c r="B58" s="755"/>
      <c r="C58" s="761"/>
      <c r="D58" s="761"/>
      <c r="E58" s="761"/>
      <c r="F58" s="761"/>
      <c r="G58" s="761"/>
      <c r="H58" s="761"/>
      <c r="I58" s="761"/>
      <c r="J58" s="761"/>
      <c r="K58" s="761"/>
      <c r="L58" s="575"/>
      <c r="M58" s="559"/>
      <c r="N58" s="545"/>
      <c r="O58" s="545"/>
      <c r="P58" s="545"/>
      <c r="Q58" s="545"/>
      <c r="R58" s="545"/>
      <c r="S58" s="545"/>
      <c r="T58" s="545"/>
      <c r="U58" s="545"/>
      <c r="V58" s="545"/>
      <c r="W58" s="545"/>
      <c r="X58" s="545"/>
    </row>
    <row r="59" spans="1:24" ht="14.25">
      <c r="A59" s="575"/>
      <c r="B59" s="557" t="s">
        <v>745</v>
      </c>
      <c r="L59" s="575"/>
      <c r="M59" s="545"/>
      <c r="N59" s="545"/>
      <c r="O59" s="545"/>
      <c r="P59" s="545"/>
      <c r="Q59" s="545"/>
      <c r="R59" s="545"/>
      <c r="S59" s="545"/>
      <c r="T59" s="545"/>
      <c r="U59" s="545"/>
      <c r="V59" s="545"/>
      <c r="W59" s="545"/>
      <c r="X59" s="545"/>
    </row>
    <row r="60" spans="1:24" ht="14.25">
      <c r="A60" s="575"/>
      <c r="L60" s="575"/>
      <c r="M60" s="545"/>
      <c r="N60" s="545"/>
      <c r="O60" s="545"/>
      <c r="P60" s="545"/>
      <c r="Q60" s="545"/>
      <c r="R60" s="545"/>
      <c r="S60" s="545"/>
      <c r="T60" s="545"/>
      <c r="U60" s="545"/>
      <c r="V60" s="545"/>
      <c r="W60" s="545"/>
      <c r="X60" s="545"/>
    </row>
    <row r="61" spans="1:24" ht="14.25">
      <c r="A61" s="575"/>
      <c r="B61" s="576" t="s">
        <v>757</v>
      </c>
      <c r="L61" s="575"/>
      <c r="M61" s="545"/>
      <c r="N61" s="545"/>
      <c r="O61" s="545"/>
      <c r="P61" s="545"/>
      <c r="Q61" s="545"/>
      <c r="R61" s="545"/>
      <c r="S61" s="545"/>
      <c r="T61" s="545"/>
      <c r="U61" s="545"/>
      <c r="V61" s="545"/>
      <c r="W61" s="545"/>
      <c r="X61" s="545"/>
    </row>
    <row r="62" spans="1:24" ht="14.25">
      <c r="A62" s="575"/>
      <c r="B62" s="576" t="s">
        <v>758</v>
      </c>
      <c r="L62" s="575"/>
      <c r="M62" s="545"/>
      <c r="N62" s="545"/>
      <c r="O62" s="545"/>
      <c r="P62" s="545"/>
      <c r="Q62" s="545"/>
      <c r="R62" s="545"/>
      <c r="S62" s="545"/>
      <c r="T62" s="545"/>
      <c r="U62" s="545"/>
      <c r="V62" s="545"/>
      <c r="W62" s="545"/>
      <c r="X62" s="545"/>
    </row>
    <row r="63" spans="1:24" ht="14.25">
      <c r="A63" s="575"/>
      <c r="B63" s="576" t="s">
        <v>759</v>
      </c>
      <c r="L63" s="575"/>
      <c r="M63" s="545"/>
      <c r="N63" s="545"/>
      <c r="O63" s="545"/>
      <c r="P63" s="545"/>
      <c r="Q63" s="545"/>
      <c r="R63" s="545"/>
      <c r="S63" s="545"/>
      <c r="T63" s="545"/>
      <c r="U63" s="545"/>
      <c r="V63" s="545"/>
      <c r="W63" s="545"/>
      <c r="X63" s="545"/>
    </row>
    <row r="64" spans="1:24" ht="14.25">
      <c r="A64" s="575"/>
      <c r="L64" s="575"/>
      <c r="M64" s="545"/>
      <c r="N64" s="545"/>
      <c r="O64" s="545"/>
      <c r="P64" s="545"/>
      <c r="Q64" s="545"/>
      <c r="R64" s="545"/>
      <c r="S64" s="545"/>
      <c r="T64" s="545"/>
      <c r="U64" s="545"/>
      <c r="V64" s="545"/>
      <c r="W64" s="545"/>
      <c r="X64" s="545"/>
    </row>
    <row r="65" spans="1:24" ht="14.25">
      <c r="A65" s="575"/>
      <c r="B65" s="576" t="s">
        <v>760</v>
      </c>
      <c r="L65" s="575"/>
      <c r="M65" s="545"/>
      <c r="N65" s="545"/>
      <c r="O65" s="545"/>
      <c r="P65" s="545"/>
      <c r="Q65" s="545"/>
      <c r="R65" s="545"/>
      <c r="S65" s="545"/>
      <c r="T65" s="545"/>
      <c r="U65" s="545"/>
      <c r="V65" s="545"/>
      <c r="W65" s="545"/>
      <c r="X65" s="545"/>
    </row>
    <row r="66" spans="1:24" ht="14.25">
      <c r="A66" s="575"/>
      <c r="B66" s="576" t="s">
        <v>761</v>
      </c>
      <c r="L66" s="575"/>
      <c r="M66" s="545"/>
      <c r="N66" s="545"/>
      <c r="O66" s="545"/>
      <c r="P66" s="545"/>
      <c r="Q66" s="545"/>
      <c r="R66" s="545"/>
      <c r="S66" s="545"/>
      <c r="T66" s="545"/>
      <c r="U66" s="545"/>
      <c r="V66" s="545"/>
      <c r="W66" s="545"/>
      <c r="X66" s="545"/>
    </row>
    <row r="67" spans="1:24" ht="14.25">
      <c r="A67" s="575"/>
      <c r="L67" s="575"/>
      <c r="M67" s="545"/>
      <c r="N67" s="545"/>
      <c r="O67" s="545"/>
      <c r="P67" s="545"/>
      <c r="Q67" s="545"/>
      <c r="R67" s="545"/>
      <c r="S67" s="545"/>
      <c r="T67" s="545"/>
      <c r="U67" s="545"/>
      <c r="V67" s="545"/>
      <c r="W67" s="545"/>
      <c r="X67" s="545"/>
    </row>
    <row r="68" spans="1:24" ht="14.25">
      <c r="A68" s="575"/>
      <c r="B68" s="576" t="s">
        <v>762</v>
      </c>
      <c r="L68" s="575"/>
      <c r="M68" s="560"/>
      <c r="N68" s="544"/>
      <c r="O68" s="544"/>
      <c r="P68" s="544"/>
      <c r="Q68" s="544"/>
      <c r="R68" s="544"/>
      <c r="S68" s="544"/>
      <c r="T68" s="544"/>
      <c r="U68" s="544"/>
      <c r="V68" s="544"/>
      <c r="W68" s="544"/>
      <c r="X68" s="545"/>
    </row>
    <row r="69" spans="1:24" ht="14.25">
      <c r="A69" s="575"/>
      <c r="B69" s="576" t="s">
        <v>763</v>
      </c>
      <c r="L69" s="575"/>
      <c r="M69" s="545"/>
      <c r="N69" s="545"/>
      <c r="O69" s="545"/>
      <c r="P69" s="545"/>
      <c r="Q69" s="545"/>
      <c r="R69" s="545"/>
      <c r="S69" s="545"/>
      <c r="T69" s="545"/>
      <c r="U69" s="545"/>
      <c r="V69" s="545"/>
      <c r="W69" s="545"/>
      <c r="X69" s="545"/>
    </row>
    <row r="70" spans="1:24" ht="14.25">
      <c r="A70" s="575"/>
      <c r="B70" s="576" t="s">
        <v>764</v>
      </c>
      <c r="L70" s="575"/>
      <c r="M70" s="545"/>
      <c r="N70" s="545"/>
      <c r="O70" s="545"/>
      <c r="P70" s="545"/>
      <c r="Q70" s="545"/>
      <c r="R70" s="545"/>
      <c r="S70" s="545"/>
      <c r="T70" s="545"/>
      <c r="U70" s="545"/>
      <c r="V70" s="545"/>
      <c r="W70" s="545"/>
      <c r="X70" s="545"/>
    </row>
    <row r="71" spans="1:12" ht="15" thickBot="1">
      <c r="A71" s="575"/>
      <c r="B71" s="583"/>
      <c r="C71" s="583"/>
      <c r="D71" s="583"/>
      <c r="E71" s="583"/>
      <c r="F71" s="583"/>
      <c r="G71" s="583"/>
      <c r="H71" s="583"/>
      <c r="I71" s="583"/>
      <c r="J71" s="583"/>
      <c r="K71" s="583"/>
      <c r="L71" s="575"/>
    </row>
    <row r="72" spans="1:12" ht="14.25">
      <c r="A72" s="575"/>
      <c r="B72" s="558" t="s">
        <v>732</v>
      </c>
      <c r="C72" s="580"/>
      <c r="D72" s="580"/>
      <c r="E72" s="580"/>
      <c r="F72" s="580"/>
      <c r="G72" s="580"/>
      <c r="H72" s="580"/>
      <c r="I72" s="580"/>
      <c r="J72" s="580"/>
      <c r="K72" s="581"/>
      <c r="L72" s="596"/>
    </row>
    <row r="73" spans="1:12" ht="14.25">
      <c r="A73" s="575"/>
      <c r="B73" s="592"/>
      <c r="C73" s="583" t="s">
        <v>740</v>
      </c>
      <c r="D73" s="583"/>
      <c r="E73" s="583"/>
      <c r="F73" s="583"/>
      <c r="G73" s="583"/>
      <c r="H73" s="583"/>
      <c r="I73" s="583"/>
      <c r="J73" s="583"/>
      <c r="K73" s="586"/>
      <c r="L73" s="596"/>
    </row>
    <row r="74" spans="1:12" ht="14.25">
      <c r="A74" s="575"/>
      <c r="B74" s="592" t="s">
        <v>765</v>
      </c>
      <c r="C74" s="756">
        <v>133685008</v>
      </c>
      <c r="D74" s="756"/>
      <c r="E74" s="584" t="s">
        <v>739</v>
      </c>
      <c r="F74" s="584">
        <v>1000</v>
      </c>
      <c r="G74" s="584" t="s">
        <v>738</v>
      </c>
      <c r="H74" s="597">
        <f>C74/F74</f>
        <v>133685.008</v>
      </c>
      <c r="I74" s="583" t="s">
        <v>766</v>
      </c>
      <c r="J74" s="583"/>
      <c r="K74" s="586"/>
      <c r="L74" s="596"/>
    </row>
    <row r="75" spans="1:12" ht="14.25">
      <c r="A75" s="575"/>
      <c r="B75" s="592"/>
      <c r="C75" s="583"/>
      <c r="D75" s="583"/>
      <c r="E75" s="584"/>
      <c r="F75" s="583"/>
      <c r="G75" s="583"/>
      <c r="H75" s="583"/>
      <c r="I75" s="583"/>
      <c r="J75" s="583"/>
      <c r="K75" s="586"/>
      <c r="L75" s="596"/>
    </row>
    <row r="76" spans="1:12" ht="14.25">
      <c r="A76" s="575"/>
      <c r="B76" s="592"/>
      <c r="C76" s="583" t="s">
        <v>767</v>
      </c>
      <c r="D76" s="583"/>
      <c r="E76" s="584"/>
      <c r="F76" s="583" t="s">
        <v>766</v>
      </c>
      <c r="G76" s="583"/>
      <c r="H76" s="583"/>
      <c r="I76" s="583"/>
      <c r="J76" s="583"/>
      <c r="K76" s="586"/>
      <c r="L76" s="596"/>
    </row>
    <row r="77" spans="1:12" ht="14.25">
      <c r="A77" s="575"/>
      <c r="B77" s="592" t="s">
        <v>770</v>
      </c>
      <c r="C77" s="756">
        <v>5000</v>
      </c>
      <c r="D77" s="756"/>
      <c r="E77" s="584" t="s">
        <v>739</v>
      </c>
      <c r="F77" s="597">
        <f>H74</f>
        <v>133685.008</v>
      </c>
      <c r="G77" s="584" t="s">
        <v>738</v>
      </c>
      <c r="H77" s="594">
        <f>C77/F77</f>
        <v>0.03740135169083432</v>
      </c>
      <c r="I77" s="583" t="s">
        <v>768</v>
      </c>
      <c r="J77" s="583"/>
      <c r="K77" s="586"/>
      <c r="L77" s="596"/>
    </row>
    <row r="78" spans="1:12" ht="14.25">
      <c r="A78" s="575"/>
      <c r="B78" s="592"/>
      <c r="C78" s="583"/>
      <c r="D78" s="583"/>
      <c r="E78" s="584"/>
      <c r="F78" s="583"/>
      <c r="G78" s="583"/>
      <c r="H78" s="583"/>
      <c r="I78" s="583"/>
      <c r="J78" s="583"/>
      <c r="K78" s="586"/>
      <c r="L78" s="596"/>
    </row>
    <row r="79" spans="1:12" ht="14.25">
      <c r="A79" s="575"/>
      <c r="B79" s="598"/>
      <c r="C79" s="599" t="s">
        <v>769</v>
      </c>
      <c r="D79" s="599"/>
      <c r="E79" s="600"/>
      <c r="F79" s="599"/>
      <c r="G79" s="599"/>
      <c r="H79" s="599"/>
      <c r="I79" s="599"/>
      <c r="J79" s="599"/>
      <c r="K79" s="601"/>
      <c r="L79" s="596"/>
    </row>
    <row r="80" spans="1:12" ht="14.25">
      <c r="A80" s="575"/>
      <c r="B80" s="592" t="s">
        <v>813</v>
      </c>
      <c r="C80" s="756">
        <v>100000</v>
      </c>
      <c r="D80" s="756"/>
      <c r="E80" s="584" t="s">
        <v>144</v>
      </c>
      <c r="F80" s="584">
        <v>0.115</v>
      </c>
      <c r="G80" s="584" t="s">
        <v>738</v>
      </c>
      <c r="H80" s="597">
        <f>C80*F80</f>
        <v>11500</v>
      </c>
      <c r="I80" s="583" t="s">
        <v>771</v>
      </c>
      <c r="J80" s="583"/>
      <c r="K80" s="586"/>
      <c r="L80" s="596"/>
    </row>
    <row r="81" spans="1:12" ht="14.25">
      <c r="A81" s="575"/>
      <c r="B81" s="592"/>
      <c r="C81" s="583"/>
      <c r="D81" s="583"/>
      <c r="E81" s="584"/>
      <c r="F81" s="583"/>
      <c r="G81" s="583"/>
      <c r="H81" s="583"/>
      <c r="I81" s="583"/>
      <c r="J81" s="583"/>
      <c r="K81" s="586"/>
      <c r="L81" s="596"/>
    </row>
    <row r="82" spans="1:12" ht="14.25">
      <c r="A82" s="575"/>
      <c r="B82" s="598"/>
      <c r="C82" s="599" t="s">
        <v>772</v>
      </c>
      <c r="D82" s="599"/>
      <c r="E82" s="600"/>
      <c r="F82" s="599" t="s">
        <v>768</v>
      </c>
      <c r="G82" s="599"/>
      <c r="H82" s="599"/>
      <c r="I82" s="599"/>
      <c r="J82" s="599" t="s">
        <v>773</v>
      </c>
      <c r="K82" s="601"/>
      <c r="L82" s="596"/>
    </row>
    <row r="83" spans="1:12" ht="14.25">
      <c r="A83" s="575"/>
      <c r="B83" s="592" t="s">
        <v>814</v>
      </c>
      <c r="C83" s="745">
        <f>H80</f>
        <v>11500</v>
      </c>
      <c r="D83" s="745"/>
      <c r="E83" s="584" t="s">
        <v>144</v>
      </c>
      <c r="F83" s="594">
        <f>H77</f>
        <v>0.03740135169083432</v>
      </c>
      <c r="G83" s="584" t="s">
        <v>739</v>
      </c>
      <c r="H83" s="584">
        <v>1000</v>
      </c>
      <c r="I83" s="584" t="s">
        <v>738</v>
      </c>
      <c r="J83" s="602">
        <f>C83*F83/H83</f>
        <v>0.43011554444459466</v>
      </c>
      <c r="K83" s="586"/>
      <c r="L83" s="596"/>
    </row>
    <row r="84" spans="1:12" ht="15" thickBot="1">
      <c r="A84" s="575"/>
      <c r="B84" s="587"/>
      <c r="C84" s="603"/>
      <c r="D84" s="603"/>
      <c r="E84" s="604"/>
      <c r="F84" s="605"/>
      <c r="G84" s="604"/>
      <c r="H84" s="604"/>
      <c r="I84" s="604"/>
      <c r="J84" s="606"/>
      <c r="K84" s="589"/>
      <c r="L84" s="596"/>
    </row>
    <row r="85" spans="1:12" ht="40.5" customHeight="1">
      <c r="A85" s="575"/>
      <c r="B85" s="757" t="s">
        <v>728</v>
      </c>
      <c r="C85" s="757"/>
      <c r="D85" s="757"/>
      <c r="E85" s="757"/>
      <c r="F85" s="757"/>
      <c r="G85" s="757"/>
      <c r="H85" s="757"/>
      <c r="I85" s="757"/>
      <c r="J85" s="757"/>
      <c r="K85" s="757"/>
      <c r="L85" s="575"/>
    </row>
    <row r="86" spans="1:12" ht="14.25">
      <c r="A86" s="575"/>
      <c r="B86" s="754" t="s">
        <v>774</v>
      </c>
      <c r="C86" s="754"/>
      <c r="D86" s="754"/>
      <c r="E86" s="754"/>
      <c r="F86" s="754"/>
      <c r="G86" s="754"/>
      <c r="H86" s="754"/>
      <c r="I86" s="754"/>
      <c r="J86" s="754"/>
      <c r="K86" s="754"/>
      <c r="L86" s="575"/>
    </row>
    <row r="87" spans="1:12" ht="14.25">
      <c r="A87" s="575"/>
      <c r="B87" s="607"/>
      <c r="C87" s="607"/>
      <c r="D87" s="607"/>
      <c r="E87" s="607"/>
      <c r="F87" s="607"/>
      <c r="G87" s="607"/>
      <c r="H87" s="607"/>
      <c r="I87" s="607"/>
      <c r="J87" s="607"/>
      <c r="K87" s="607"/>
      <c r="L87" s="575"/>
    </row>
    <row r="88" spans="1:12" ht="14.25">
      <c r="A88" s="575"/>
      <c r="B88" s="754" t="s">
        <v>775</v>
      </c>
      <c r="C88" s="754"/>
      <c r="D88" s="754"/>
      <c r="E88" s="754"/>
      <c r="F88" s="754"/>
      <c r="G88" s="754"/>
      <c r="H88" s="754"/>
      <c r="I88" s="754"/>
      <c r="J88" s="754"/>
      <c r="K88" s="754"/>
      <c r="L88" s="575"/>
    </row>
    <row r="89" spans="1:12" ht="14.25">
      <c r="A89" s="575"/>
      <c r="B89" s="561"/>
      <c r="C89" s="561"/>
      <c r="D89" s="561"/>
      <c r="E89" s="561"/>
      <c r="F89" s="561"/>
      <c r="G89" s="561"/>
      <c r="H89" s="561"/>
      <c r="I89" s="561"/>
      <c r="J89" s="561"/>
      <c r="K89" s="561"/>
      <c r="L89" s="575"/>
    </row>
    <row r="90" spans="1:12" ht="45" customHeight="1">
      <c r="A90" s="575"/>
      <c r="B90" s="755" t="s">
        <v>776</v>
      </c>
      <c r="C90" s="755"/>
      <c r="D90" s="755"/>
      <c r="E90" s="755"/>
      <c r="F90" s="755"/>
      <c r="G90" s="755"/>
      <c r="H90" s="755"/>
      <c r="I90" s="755"/>
      <c r="J90" s="755"/>
      <c r="K90" s="755"/>
      <c r="L90" s="575"/>
    </row>
    <row r="91" spans="1:12" ht="15" customHeight="1" thickBot="1">
      <c r="A91" s="575"/>
      <c r="L91" s="575"/>
    </row>
    <row r="92" spans="1:12" ht="15" customHeight="1">
      <c r="A92" s="575"/>
      <c r="B92" s="562" t="s">
        <v>732</v>
      </c>
      <c r="C92" s="608"/>
      <c r="D92" s="608"/>
      <c r="E92" s="608"/>
      <c r="F92" s="608"/>
      <c r="G92" s="608"/>
      <c r="H92" s="608"/>
      <c r="I92" s="608"/>
      <c r="J92" s="608"/>
      <c r="K92" s="609"/>
      <c r="L92" s="575"/>
    </row>
    <row r="93" spans="1:12" ht="15" customHeight="1">
      <c r="A93" s="575"/>
      <c r="B93" s="610"/>
      <c r="C93" s="611" t="s">
        <v>740</v>
      </c>
      <c r="D93" s="611"/>
      <c r="E93" s="611"/>
      <c r="F93" s="611"/>
      <c r="G93" s="611"/>
      <c r="H93" s="611"/>
      <c r="I93" s="611"/>
      <c r="J93" s="611"/>
      <c r="K93" s="612"/>
      <c r="L93" s="575"/>
    </row>
    <row r="94" spans="1:12" ht="15" customHeight="1">
      <c r="A94" s="575"/>
      <c r="B94" s="610" t="s">
        <v>765</v>
      </c>
      <c r="C94" s="756">
        <v>133685008</v>
      </c>
      <c r="D94" s="756"/>
      <c r="E94" s="584" t="s">
        <v>739</v>
      </c>
      <c r="F94" s="584">
        <v>1000</v>
      </c>
      <c r="G94" s="584" t="s">
        <v>738</v>
      </c>
      <c r="H94" s="597">
        <f>C94/F94</f>
        <v>133685.008</v>
      </c>
      <c r="I94" s="611" t="s">
        <v>766</v>
      </c>
      <c r="J94" s="611"/>
      <c r="K94" s="612"/>
      <c r="L94" s="575"/>
    </row>
    <row r="95" spans="1:12" ht="15" customHeight="1">
      <c r="A95" s="575"/>
      <c r="B95" s="610"/>
      <c r="C95" s="611"/>
      <c r="D95" s="611"/>
      <c r="E95" s="584"/>
      <c r="F95" s="611"/>
      <c r="G95" s="611"/>
      <c r="H95" s="611"/>
      <c r="I95" s="611"/>
      <c r="J95" s="611"/>
      <c r="K95" s="612"/>
      <c r="L95" s="575"/>
    </row>
    <row r="96" spans="1:12" ht="15" customHeight="1">
      <c r="A96" s="575"/>
      <c r="B96" s="610"/>
      <c r="C96" s="611" t="s">
        <v>767</v>
      </c>
      <c r="D96" s="611"/>
      <c r="E96" s="584"/>
      <c r="F96" s="611" t="s">
        <v>766</v>
      </c>
      <c r="G96" s="611"/>
      <c r="H96" s="611"/>
      <c r="I96" s="611"/>
      <c r="J96" s="611"/>
      <c r="K96" s="612"/>
      <c r="L96" s="575"/>
    </row>
    <row r="97" spans="1:12" ht="15" customHeight="1">
      <c r="A97" s="575"/>
      <c r="B97" s="610" t="s">
        <v>770</v>
      </c>
      <c r="C97" s="756">
        <v>50000</v>
      </c>
      <c r="D97" s="756"/>
      <c r="E97" s="584" t="s">
        <v>739</v>
      </c>
      <c r="F97" s="597">
        <f>H94</f>
        <v>133685.008</v>
      </c>
      <c r="G97" s="584" t="s">
        <v>738</v>
      </c>
      <c r="H97" s="594">
        <f>C97/F97</f>
        <v>0.3740135169083432</v>
      </c>
      <c r="I97" s="611" t="s">
        <v>768</v>
      </c>
      <c r="J97" s="611"/>
      <c r="K97" s="612"/>
      <c r="L97" s="575"/>
    </row>
    <row r="98" spans="1:12" ht="15" customHeight="1">
      <c r="A98" s="575"/>
      <c r="B98" s="610"/>
      <c r="C98" s="611"/>
      <c r="D98" s="611"/>
      <c r="E98" s="584"/>
      <c r="F98" s="611"/>
      <c r="G98" s="611"/>
      <c r="H98" s="611"/>
      <c r="I98" s="611"/>
      <c r="J98" s="611"/>
      <c r="K98" s="612"/>
      <c r="L98" s="575"/>
    </row>
    <row r="99" spans="1:12" ht="15" customHeight="1">
      <c r="A99" s="575"/>
      <c r="B99" s="613"/>
      <c r="C99" s="614" t="s">
        <v>777</v>
      </c>
      <c r="D99" s="614"/>
      <c r="E99" s="600"/>
      <c r="F99" s="614"/>
      <c r="G99" s="614"/>
      <c r="H99" s="614"/>
      <c r="I99" s="614"/>
      <c r="J99" s="614"/>
      <c r="K99" s="615"/>
      <c r="L99" s="575"/>
    </row>
    <row r="100" spans="1:12" ht="15" customHeight="1">
      <c r="A100" s="575"/>
      <c r="B100" s="610" t="s">
        <v>813</v>
      </c>
      <c r="C100" s="756">
        <v>2500000</v>
      </c>
      <c r="D100" s="756"/>
      <c r="E100" s="584" t="s">
        <v>144</v>
      </c>
      <c r="F100" s="616">
        <v>0.3</v>
      </c>
      <c r="G100" s="584" t="s">
        <v>738</v>
      </c>
      <c r="H100" s="597">
        <f>C100*F100</f>
        <v>750000</v>
      </c>
      <c r="I100" s="611" t="s">
        <v>771</v>
      </c>
      <c r="J100" s="611"/>
      <c r="K100" s="612"/>
      <c r="L100" s="575"/>
    </row>
    <row r="101" spans="1:12" ht="15" customHeight="1">
      <c r="A101" s="575"/>
      <c r="B101" s="610"/>
      <c r="C101" s="611"/>
      <c r="D101" s="611"/>
      <c r="E101" s="584"/>
      <c r="F101" s="611"/>
      <c r="G101" s="611"/>
      <c r="H101" s="611"/>
      <c r="I101" s="611"/>
      <c r="J101" s="611"/>
      <c r="K101" s="612"/>
      <c r="L101" s="575"/>
    </row>
    <row r="102" spans="1:12" ht="15" customHeight="1">
      <c r="A102" s="575"/>
      <c r="B102" s="613"/>
      <c r="C102" s="614" t="s">
        <v>772</v>
      </c>
      <c r="D102" s="614"/>
      <c r="E102" s="600"/>
      <c r="F102" s="614" t="s">
        <v>768</v>
      </c>
      <c r="G102" s="614"/>
      <c r="H102" s="614"/>
      <c r="I102" s="614"/>
      <c r="J102" s="614" t="s">
        <v>773</v>
      </c>
      <c r="K102" s="615"/>
      <c r="L102" s="575"/>
    </row>
    <row r="103" spans="1:12" ht="15" customHeight="1">
      <c r="A103" s="575"/>
      <c r="B103" s="610" t="s">
        <v>814</v>
      </c>
      <c r="C103" s="745">
        <f>H100</f>
        <v>750000</v>
      </c>
      <c r="D103" s="745"/>
      <c r="E103" s="584" t="s">
        <v>144</v>
      </c>
      <c r="F103" s="594">
        <f>H97</f>
        <v>0.3740135169083432</v>
      </c>
      <c r="G103" s="584" t="s">
        <v>739</v>
      </c>
      <c r="H103" s="584">
        <v>1000</v>
      </c>
      <c r="I103" s="584" t="s">
        <v>738</v>
      </c>
      <c r="J103" s="602">
        <f>C103*F103/H103</f>
        <v>280.51013768125745</v>
      </c>
      <c r="K103" s="612"/>
      <c r="L103" s="575"/>
    </row>
    <row r="104" spans="1:12" ht="15" customHeight="1" thickBot="1">
      <c r="A104" s="575"/>
      <c r="B104" s="617"/>
      <c r="C104" s="603"/>
      <c r="D104" s="603"/>
      <c r="E104" s="604"/>
      <c r="F104" s="605"/>
      <c r="G104" s="604"/>
      <c r="H104" s="604"/>
      <c r="I104" s="604"/>
      <c r="J104" s="606"/>
      <c r="K104" s="618"/>
      <c r="L104" s="575"/>
    </row>
    <row r="105" spans="1:12" ht="40.5" customHeight="1">
      <c r="A105" s="575"/>
      <c r="B105" s="757" t="s">
        <v>728</v>
      </c>
      <c r="C105" s="758"/>
      <c r="D105" s="758"/>
      <c r="E105" s="758"/>
      <c r="F105" s="758"/>
      <c r="G105" s="758"/>
      <c r="H105" s="758"/>
      <c r="I105" s="758"/>
      <c r="J105" s="758"/>
      <c r="K105" s="758"/>
      <c r="L105" s="575"/>
    </row>
    <row r="106" spans="1:12" ht="15" customHeight="1">
      <c r="A106" s="575"/>
      <c r="B106" s="752" t="s">
        <v>778</v>
      </c>
      <c r="C106" s="759"/>
      <c r="D106" s="759"/>
      <c r="E106" s="759"/>
      <c r="F106" s="759"/>
      <c r="G106" s="759"/>
      <c r="H106" s="759"/>
      <c r="I106" s="759"/>
      <c r="J106" s="759"/>
      <c r="K106" s="759"/>
      <c r="L106" s="575"/>
    </row>
    <row r="107" spans="1:12" ht="15" customHeight="1">
      <c r="A107" s="575"/>
      <c r="B107" s="611"/>
      <c r="C107" s="619"/>
      <c r="D107" s="619"/>
      <c r="E107" s="584"/>
      <c r="F107" s="594"/>
      <c r="G107" s="584"/>
      <c r="H107" s="584"/>
      <c r="I107" s="584"/>
      <c r="J107" s="602"/>
      <c r="K107" s="611"/>
      <c r="L107" s="575"/>
    </row>
    <row r="108" spans="1:12" ht="15" customHeight="1">
      <c r="A108" s="575"/>
      <c r="B108" s="752" t="s">
        <v>779</v>
      </c>
      <c r="C108" s="753"/>
      <c r="D108" s="753"/>
      <c r="E108" s="753"/>
      <c r="F108" s="753"/>
      <c r="G108" s="753"/>
      <c r="H108" s="753"/>
      <c r="I108" s="753"/>
      <c r="J108" s="753"/>
      <c r="K108" s="753"/>
      <c r="L108" s="575"/>
    </row>
    <row r="109" spans="1:12" ht="15" customHeight="1">
      <c r="A109" s="575"/>
      <c r="B109" s="611"/>
      <c r="C109" s="619"/>
      <c r="D109" s="619"/>
      <c r="E109" s="584"/>
      <c r="F109" s="594"/>
      <c r="G109" s="584"/>
      <c r="H109" s="584"/>
      <c r="I109" s="584"/>
      <c r="J109" s="602"/>
      <c r="K109" s="611"/>
      <c r="L109" s="575"/>
    </row>
    <row r="110" spans="1:12" ht="59.25" customHeight="1">
      <c r="A110" s="575"/>
      <c r="B110" s="770" t="s">
        <v>780</v>
      </c>
      <c r="C110" s="761"/>
      <c r="D110" s="761"/>
      <c r="E110" s="761"/>
      <c r="F110" s="761"/>
      <c r="G110" s="761"/>
      <c r="H110" s="761"/>
      <c r="I110" s="761"/>
      <c r="J110" s="761"/>
      <c r="K110" s="761"/>
      <c r="L110" s="575"/>
    </row>
    <row r="111" spans="1:12" ht="15" thickBot="1">
      <c r="A111" s="575"/>
      <c r="B111" s="556"/>
      <c r="C111" s="556"/>
      <c r="D111" s="556"/>
      <c r="E111" s="556"/>
      <c r="F111" s="556"/>
      <c r="G111" s="556"/>
      <c r="H111" s="556"/>
      <c r="I111" s="556"/>
      <c r="J111" s="556"/>
      <c r="K111" s="556"/>
      <c r="L111" s="620"/>
    </row>
    <row r="112" spans="1:12" ht="14.25">
      <c r="A112" s="575"/>
      <c r="B112" s="558" t="s">
        <v>732</v>
      </c>
      <c r="C112" s="580"/>
      <c r="D112" s="580"/>
      <c r="E112" s="580"/>
      <c r="F112" s="580"/>
      <c r="G112" s="580"/>
      <c r="H112" s="580"/>
      <c r="I112" s="580"/>
      <c r="J112" s="580"/>
      <c r="K112" s="581"/>
      <c r="L112" s="575"/>
    </row>
    <row r="113" spans="1:12" ht="14.25">
      <c r="A113" s="575"/>
      <c r="B113" s="592"/>
      <c r="C113" s="583" t="s">
        <v>740</v>
      </c>
      <c r="D113" s="583"/>
      <c r="E113" s="583"/>
      <c r="F113" s="583"/>
      <c r="G113" s="583"/>
      <c r="H113" s="583"/>
      <c r="I113" s="583"/>
      <c r="J113" s="583"/>
      <c r="K113" s="586"/>
      <c r="L113" s="575"/>
    </row>
    <row r="114" spans="1:12" ht="14.25">
      <c r="A114" s="575"/>
      <c r="B114" s="592" t="s">
        <v>765</v>
      </c>
      <c r="C114" s="756">
        <v>133685008</v>
      </c>
      <c r="D114" s="756"/>
      <c r="E114" s="584" t="s">
        <v>739</v>
      </c>
      <c r="F114" s="584">
        <v>1000</v>
      </c>
      <c r="G114" s="584" t="s">
        <v>738</v>
      </c>
      <c r="H114" s="597">
        <f>C114/F114</f>
        <v>133685.008</v>
      </c>
      <c r="I114" s="583" t="s">
        <v>766</v>
      </c>
      <c r="J114" s="583"/>
      <c r="K114" s="586"/>
      <c r="L114" s="575"/>
    </row>
    <row r="115" spans="1:12" ht="14.25">
      <c r="A115" s="575"/>
      <c r="B115" s="592"/>
      <c r="C115" s="583"/>
      <c r="D115" s="583"/>
      <c r="E115" s="584"/>
      <c r="F115" s="583"/>
      <c r="G115" s="583"/>
      <c r="H115" s="583"/>
      <c r="I115" s="583"/>
      <c r="J115" s="583"/>
      <c r="K115" s="586"/>
      <c r="L115" s="575"/>
    </row>
    <row r="116" spans="1:12" ht="14.25">
      <c r="A116" s="575"/>
      <c r="B116" s="592"/>
      <c r="C116" s="583" t="s">
        <v>767</v>
      </c>
      <c r="D116" s="583"/>
      <c r="E116" s="584"/>
      <c r="F116" s="583" t="s">
        <v>766</v>
      </c>
      <c r="G116" s="583"/>
      <c r="H116" s="583"/>
      <c r="I116" s="583"/>
      <c r="J116" s="583"/>
      <c r="K116" s="586"/>
      <c r="L116" s="575"/>
    </row>
    <row r="117" spans="1:12" ht="14.25">
      <c r="A117" s="575"/>
      <c r="B117" s="592" t="s">
        <v>770</v>
      </c>
      <c r="C117" s="756">
        <v>50000</v>
      </c>
      <c r="D117" s="756"/>
      <c r="E117" s="584" t="s">
        <v>739</v>
      </c>
      <c r="F117" s="597">
        <f>H114</f>
        <v>133685.008</v>
      </c>
      <c r="G117" s="584" t="s">
        <v>738</v>
      </c>
      <c r="H117" s="594">
        <f>C117/F117</f>
        <v>0.3740135169083432</v>
      </c>
      <c r="I117" s="583" t="s">
        <v>768</v>
      </c>
      <c r="J117" s="583"/>
      <c r="K117" s="586"/>
      <c r="L117" s="575"/>
    </row>
    <row r="118" spans="1:12" ht="14.25">
      <c r="A118" s="575"/>
      <c r="B118" s="592"/>
      <c r="C118" s="583"/>
      <c r="D118" s="583"/>
      <c r="E118" s="584"/>
      <c r="F118" s="583"/>
      <c r="G118" s="583"/>
      <c r="H118" s="583"/>
      <c r="I118" s="583"/>
      <c r="J118" s="583"/>
      <c r="K118" s="586"/>
      <c r="L118" s="575"/>
    </row>
    <row r="119" spans="1:12" ht="14.25">
      <c r="A119" s="575"/>
      <c r="B119" s="598"/>
      <c r="C119" s="599" t="s">
        <v>777</v>
      </c>
      <c r="D119" s="599"/>
      <c r="E119" s="600"/>
      <c r="F119" s="599"/>
      <c r="G119" s="599"/>
      <c r="H119" s="599"/>
      <c r="I119" s="599"/>
      <c r="J119" s="599"/>
      <c r="K119" s="601"/>
      <c r="L119" s="575"/>
    </row>
    <row r="120" spans="1:12" ht="14.25">
      <c r="A120" s="575"/>
      <c r="B120" s="592" t="s">
        <v>813</v>
      </c>
      <c r="C120" s="756">
        <v>2500000</v>
      </c>
      <c r="D120" s="756"/>
      <c r="E120" s="584" t="s">
        <v>144</v>
      </c>
      <c r="F120" s="616">
        <v>0.25</v>
      </c>
      <c r="G120" s="584" t="s">
        <v>738</v>
      </c>
      <c r="H120" s="597">
        <f>C120*F120</f>
        <v>625000</v>
      </c>
      <c r="I120" s="583" t="s">
        <v>771</v>
      </c>
      <c r="J120" s="583"/>
      <c r="K120" s="586"/>
      <c r="L120" s="575"/>
    </row>
    <row r="121" spans="1:12" ht="14.25">
      <c r="A121" s="575"/>
      <c r="B121" s="592"/>
      <c r="C121" s="583"/>
      <c r="D121" s="583"/>
      <c r="E121" s="584"/>
      <c r="F121" s="583"/>
      <c r="G121" s="583"/>
      <c r="H121" s="583"/>
      <c r="I121" s="583"/>
      <c r="J121" s="583"/>
      <c r="K121" s="586"/>
      <c r="L121" s="575"/>
    </row>
    <row r="122" spans="1:12" ht="14.25">
      <c r="A122" s="575"/>
      <c r="B122" s="598"/>
      <c r="C122" s="599" t="s">
        <v>772</v>
      </c>
      <c r="D122" s="599"/>
      <c r="E122" s="600"/>
      <c r="F122" s="599" t="s">
        <v>768</v>
      </c>
      <c r="G122" s="599"/>
      <c r="H122" s="599"/>
      <c r="I122" s="599"/>
      <c r="J122" s="599" t="s">
        <v>773</v>
      </c>
      <c r="K122" s="601"/>
      <c r="L122" s="575"/>
    </row>
    <row r="123" spans="1:12" ht="14.25">
      <c r="A123" s="575"/>
      <c r="B123" s="592" t="s">
        <v>814</v>
      </c>
      <c r="C123" s="745">
        <f>H120</f>
        <v>625000</v>
      </c>
      <c r="D123" s="745"/>
      <c r="E123" s="584" t="s">
        <v>144</v>
      </c>
      <c r="F123" s="594">
        <f>H117</f>
        <v>0.3740135169083432</v>
      </c>
      <c r="G123" s="584" t="s">
        <v>739</v>
      </c>
      <c r="H123" s="584">
        <v>1000</v>
      </c>
      <c r="I123" s="584" t="s">
        <v>738</v>
      </c>
      <c r="J123" s="602">
        <f>C123*F123/H123</f>
        <v>233.7584480677145</v>
      </c>
      <c r="K123" s="586"/>
      <c r="L123" s="575"/>
    </row>
    <row r="124" spans="1:12" ht="15" thickBot="1">
      <c r="A124" s="575"/>
      <c r="B124" s="587"/>
      <c r="C124" s="603"/>
      <c r="D124" s="603"/>
      <c r="E124" s="604"/>
      <c r="F124" s="605"/>
      <c r="G124" s="604"/>
      <c r="H124" s="604"/>
      <c r="I124" s="604"/>
      <c r="J124" s="606"/>
      <c r="K124" s="589"/>
      <c r="L124" s="575"/>
    </row>
    <row r="125" spans="1:12" ht="40.5" customHeight="1">
      <c r="A125" s="575"/>
      <c r="B125" s="757" t="s">
        <v>728</v>
      </c>
      <c r="C125" s="757"/>
      <c r="D125" s="757"/>
      <c r="E125" s="757"/>
      <c r="F125" s="757"/>
      <c r="G125" s="757"/>
      <c r="H125" s="757"/>
      <c r="I125" s="757"/>
      <c r="J125" s="757"/>
      <c r="K125" s="757"/>
      <c r="L125" s="620"/>
    </row>
    <row r="126" spans="1:12" ht="14.25">
      <c r="A126" s="575"/>
      <c r="B126" s="754" t="s">
        <v>781</v>
      </c>
      <c r="C126" s="754"/>
      <c r="D126" s="754"/>
      <c r="E126" s="754"/>
      <c r="F126" s="754"/>
      <c r="G126" s="754"/>
      <c r="H126" s="754"/>
      <c r="I126" s="754"/>
      <c r="J126" s="754"/>
      <c r="K126" s="754"/>
      <c r="L126" s="620"/>
    </row>
    <row r="127" spans="1:12" ht="14.25">
      <c r="A127" s="575"/>
      <c r="B127" s="556"/>
      <c r="C127" s="556"/>
      <c r="D127" s="556"/>
      <c r="E127" s="556"/>
      <c r="F127" s="556"/>
      <c r="G127" s="556"/>
      <c r="H127" s="556"/>
      <c r="I127" s="556"/>
      <c r="J127" s="556"/>
      <c r="K127" s="556"/>
      <c r="L127" s="620"/>
    </row>
    <row r="128" spans="1:12" ht="14.25">
      <c r="A128" s="575"/>
      <c r="B128" s="754" t="s">
        <v>782</v>
      </c>
      <c r="C128" s="754"/>
      <c r="D128" s="754"/>
      <c r="E128" s="754"/>
      <c r="F128" s="754"/>
      <c r="G128" s="754"/>
      <c r="H128" s="754"/>
      <c r="I128" s="754"/>
      <c r="J128" s="754"/>
      <c r="K128" s="754"/>
      <c r="L128" s="620"/>
    </row>
    <row r="129" spans="1:12" ht="14.25">
      <c r="A129" s="575"/>
      <c r="B129" s="561"/>
      <c r="C129" s="561"/>
      <c r="D129" s="561"/>
      <c r="E129" s="561"/>
      <c r="F129" s="561"/>
      <c r="G129" s="561"/>
      <c r="H129" s="561"/>
      <c r="I129" s="561"/>
      <c r="J129" s="561"/>
      <c r="K129" s="561"/>
      <c r="L129" s="620"/>
    </row>
    <row r="130" spans="1:12" ht="74.25" customHeight="1">
      <c r="A130" s="575"/>
      <c r="B130" s="755" t="s">
        <v>815</v>
      </c>
      <c r="C130" s="755"/>
      <c r="D130" s="755"/>
      <c r="E130" s="755"/>
      <c r="F130" s="755"/>
      <c r="G130" s="755"/>
      <c r="H130" s="755"/>
      <c r="I130" s="755"/>
      <c r="J130" s="755"/>
      <c r="K130" s="755"/>
      <c r="L130" s="620"/>
    </row>
    <row r="131" spans="1:12" ht="15" thickBot="1">
      <c r="A131" s="575"/>
      <c r="L131" s="575"/>
    </row>
    <row r="132" spans="1:12" ht="14.25">
      <c r="A132" s="575"/>
      <c r="B132" s="558" t="s">
        <v>732</v>
      </c>
      <c r="C132" s="580"/>
      <c r="D132" s="580"/>
      <c r="E132" s="580"/>
      <c r="F132" s="580"/>
      <c r="G132" s="580"/>
      <c r="H132" s="580"/>
      <c r="I132" s="580"/>
      <c r="J132" s="580"/>
      <c r="K132" s="581"/>
      <c r="L132" s="575"/>
    </row>
    <row r="133" spans="1:12" ht="14.25">
      <c r="A133" s="575"/>
      <c r="B133" s="592"/>
      <c r="C133" s="771" t="s">
        <v>783</v>
      </c>
      <c r="D133" s="771"/>
      <c r="E133" s="583"/>
      <c r="F133" s="584" t="s">
        <v>784</v>
      </c>
      <c r="G133" s="583"/>
      <c r="H133" s="771" t="s">
        <v>771</v>
      </c>
      <c r="I133" s="771"/>
      <c r="J133" s="583"/>
      <c r="K133" s="586"/>
      <c r="L133" s="575"/>
    </row>
    <row r="134" spans="1:12" ht="14.25">
      <c r="A134" s="575"/>
      <c r="B134" s="592" t="s">
        <v>765</v>
      </c>
      <c r="C134" s="756">
        <v>100000</v>
      </c>
      <c r="D134" s="756"/>
      <c r="E134" s="584" t="s">
        <v>144</v>
      </c>
      <c r="F134" s="584">
        <v>0.115</v>
      </c>
      <c r="G134" s="584" t="s">
        <v>738</v>
      </c>
      <c r="H134" s="743">
        <f>C134*F134</f>
        <v>11500</v>
      </c>
      <c r="I134" s="743"/>
      <c r="J134" s="583"/>
      <c r="K134" s="586"/>
      <c r="L134" s="575"/>
    </row>
    <row r="135" spans="1:12" ht="14.25">
      <c r="A135" s="575"/>
      <c r="B135" s="592"/>
      <c r="C135" s="583"/>
      <c r="D135" s="583"/>
      <c r="E135" s="583"/>
      <c r="F135" s="583"/>
      <c r="G135" s="583"/>
      <c r="H135" s="583"/>
      <c r="I135" s="583"/>
      <c r="J135" s="583"/>
      <c r="K135" s="586"/>
      <c r="L135" s="575"/>
    </row>
    <row r="136" spans="1:12" ht="14.25">
      <c r="A136" s="575"/>
      <c r="B136" s="598"/>
      <c r="C136" s="746" t="s">
        <v>771</v>
      </c>
      <c r="D136" s="746"/>
      <c r="E136" s="599"/>
      <c r="F136" s="600" t="s">
        <v>785</v>
      </c>
      <c r="G136" s="600"/>
      <c r="H136" s="599"/>
      <c r="I136" s="599"/>
      <c r="J136" s="599" t="s">
        <v>786</v>
      </c>
      <c r="K136" s="601"/>
      <c r="L136" s="575"/>
    </row>
    <row r="137" spans="1:12" ht="14.25">
      <c r="A137" s="575"/>
      <c r="B137" s="592" t="s">
        <v>770</v>
      </c>
      <c r="C137" s="743">
        <f>H134</f>
        <v>11500</v>
      </c>
      <c r="D137" s="743"/>
      <c r="E137" s="584" t="s">
        <v>144</v>
      </c>
      <c r="F137" s="621">
        <v>52.869</v>
      </c>
      <c r="G137" s="584" t="s">
        <v>739</v>
      </c>
      <c r="H137" s="584">
        <v>1000</v>
      </c>
      <c r="I137" s="584" t="s">
        <v>738</v>
      </c>
      <c r="J137" s="622">
        <f>C137*F137/H137</f>
        <v>607.9935</v>
      </c>
      <c r="K137" s="586"/>
      <c r="L137" s="575"/>
    </row>
    <row r="138" spans="1:12" ht="15" thickBot="1">
      <c r="A138" s="575"/>
      <c r="B138" s="587"/>
      <c r="C138" s="623"/>
      <c r="D138" s="623"/>
      <c r="E138" s="604"/>
      <c r="F138" s="624"/>
      <c r="G138" s="604"/>
      <c r="H138" s="604"/>
      <c r="I138" s="604"/>
      <c r="J138" s="625"/>
      <c r="K138" s="589"/>
      <c r="L138" s="575"/>
    </row>
    <row r="139" spans="1:12" ht="40.5" customHeight="1">
      <c r="A139" s="575"/>
      <c r="B139" s="563" t="s">
        <v>728</v>
      </c>
      <c r="C139" s="564"/>
      <c r="D139" s="564"/>
      <c r="E139" s="565"/>
      <c r="F139" s="566"/>
      <c r="G139" s="565"/>
      <c r="H139" s="565"/>
      <c r="I139" s="565"/>
      <c r="J139" s="567"/>
      <c r="K139" s="568"/>
      <c r="L139" s="575"/>
    </row>
    <row r="140" spans="1:12" ht="14.25">
      <c r="A140" s="575"/>
      <c r="B140" s="569" t="s">
        <v>816</v>
      </c>
      <c r="C140" s="570"/>
      <c r="D140" s="570"/>
      <c r="E140" s="571"/>
      <c r="F140" s="572"/>
      <c r="G140" s="571"/>
      <c r="H140" s="571"/>
      <c r="I140" s="571"/>
      <c r="J140" s="573"/>
      <c r="K140" s="574"/>
      <c r="L140" s="575"/>
    </row>
    <row r="141" spans="1:12" ht="14.25">
      <c r="A141" s="575"/>
      <c r="B141" s="592"/>
      <c r="C141" s="597"/>
      <c r="D141" s="597"/>
      <c r="E141" s="584"/>
      <c r="F141" s="626"/>
      <c r="G141" s="584"/>
      <c r="H141" s="584"/>
      <c r="I141" s="584"/>
      <c r="J141" s="622"/>
      <c r="K141" s="586"/>
      <c r="L141" s="575"/>
    </row>
    <row r="142" spans="1:12" ht="14.25">
      <c r="A142" s="575"/>
      <c r="B142" s="569" t="s">
        <v>817</v>
      </c>
      <c r="C142" s="570"/>
      <c r="D142" s="570"/>
      <c r="E142" s="571"/>
      <c r="F142" s="572"/>
      <c r="G142" s="571"/>
      <c r="H142" s="571"/>
      <c r="I142" s="571"/>
      <c r="J142" s="573"/>
      <c r="K142" s="574"/>
      <c r="L142" s="575"/>
    </row>
    <row r="143" spans="1:12" ht="14.25">
      <c r="A143" s="575"/>
      <c r="B143" s="592"/>
      <c r="C143" s="597"/>
      <c r="D143" s="597"/>
      <c r="E143" s="584"/>
      <c r="F143" s="626"/>
      <c r="G143" s="584"/>
      <c r="H143" s="584"/>
      <c r="I143" s="584"/>
      <c r="J143" s="622"/>
      <c r="K143" s="586"/>
      <c r="L143" s="575"/>
    </row>
    <row r="144" spans="1:12" ht="76.5" customHeight="1">
      <c r="A144" s="575"/>
      <c r="B144" s="747" t="s">
        <v>818</v>
      </c>
      <c r="C144" s="748"/>
      <c r="D144" s="748"/>
      <c r="E144" s="748"/>
      <c r="F144" s="748"/>
      <c r="G144" s="748"/>
      <c r="H144" s="748"/>
      <c r="I144" s="748"/>
      <c r="J144" s="748"/>
      <c r="K144" s="749"/>
      <c r="L144" s="575"/>
    </row>
    <row r="145" spans="1:12" ht="15" thickBot="1">
      <c r="A145" s="575"/>
      <c r="B145" s="592"/>
      <c r="C145" s="597"/>
      <c r="D145" s="597"/>
      <c r="E145" s="584"/>
      <c r="F145" s="626"/>
      <c r="G145" s="584"/>
      <c r="H145" s="584"/>
      <c r="I145" s="584"/>
      <c r="J145" s="622"/>
      <c r="K145" s="586"/>
      <c r="L145" s="575"/>
    </row>
    <row r="146" spans="1:12" ht="14.25">
      <c r="A146" s="575"/>
      <c r="B146" s="558" t="s">
        <v>732</v>
      </c>
      <c r="C146" s="627"/>
      <c r="D146" s="627"/>
      <c r="E146" s="628"/>
      <c r="F146" s="629"/>
      <c r="G146" s="628"/>
      <c r="H146" s="628"/>
      <c r="I146" s="628"/>
      <c r="J146" s="630"/>
      <c r="K146" s="581"/>
      <c r="L146" s="575"/>
    </row>
    <row r="147" spans="1:12" ht="14.25">
      <c r="A147" s="575"/>
      <c r="B147" s="592"/>
      <c r="C147" s="743" t="s">
        <v>819</v>
      </c>
      <c r="D147" s="743"/>
      <c r="E147" s="584"/>
      <c r="F147" s="626" t="s">
        <v>820</v>
      </c>
      <c r="G147" s="584"/>
      <c r="H147" s="584"/>
      <c r="I147" s="584"/>
      <c r="J147" s="750" t="s">
        <v>821</v>
      </c>
      <c r="K147" s="751"/>
      <c r="L147" s="575"/>
    </row>
    <row r="148" spans="1:12" ht="14.25">
      <c r="A148" s="575"/>
      <c r="B148" s="592"/>
      <c r="C148" s="742">
        <v>52.869</v>
      </c>
      <c r="D148" s="742"/>
      <c r="E148" s="584" t="s">
        <v>144</v>
      </c>
      <c r="F148" s="631">
        <v>133685008</v>
      </c>
      <c r="G148" s="632" t="s">
        <v>739</v>
      </c>
      <c r="H148" s="584">
        <v>1000</v>
      </c>
      <c r="I148" s="584" t="s">
        <v>738</v>
      </c>
      <c r="J148" s="743">
        <f>C148*(F148/1000)</f>
        <v>7067792.687952</v>
      </c>
      <c r="K148" s="744"/>
      <c r="L148" s="575"/>
    </row>
    <row r="149" spans="1:12" ht="15" thickBot="1">
      <c r="A149" s="575"/>
      <c r="B149" s="587"/>
      <c r="C149" s="623"/>
      <c r="D149" s="623"/>
      <c r="E149" s="604"/>
      <c r="F149" s="624"/>
      <c r="G149" s="604"/>
      <c r="H149" s="604"/>
      <c r="I149" s="604"/>
      <c r="J149" s="625"/>
      <c r="K149" s="589"/>
      <c r="L149" s="575"/>
    </row>
    <row r="150" spans="1:12" ht="15" thickBot="1">
      <c r="A150" s="575"/>
      <c r="B150" s="587"/>
      <c r="C150" s="588"/>
      <c r="D150" s="588"/>
      <c r="E150" s="588"/>
      <c r="F150" s="588"/>
      <c r="G150" s="588"/>
      <c r="H150" s="588"/>
      <c r="I150" s="588"/>
      <c r="J150" s="588"/>
      <c r="K150" s="589"/>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633"/>
      <c r="B154" s="633"/>
      <c r="C154" s="633"/>
      <c r="D154" s="633"/>
      <c r="E154" s="633"/>
      <c r="F154" s="633"/>
      <c r="G154" s="633"/>
      <c r="H154" s="633"/>
      <c r="I154" s="633"/>
      <c r="J154" s="633"/>
      <c r="K154" s="633"/>
      <c r="L154" s="633"/>
    </row>
    <row r="155" spans="1:12" ht="14.25">
      <c r="A155" s="633"/>
      <c r="B155" s="633"/>
      <c r="C155" s="633"/>
      <c r="D155" s="633"/>
      <c r="E155" s="633"/>
      <c r="F155" s="633"/>
      <c r="G155" s="633"/>
      <c r="H155" s="633"/>
      <c r="I155" s="633"/>
      <c r="J155" s="633"/>
      <c r="K155" s="633"/>
      <c r="L155" s="633"/>
    </row>
    <row r="156" spans="1:12" ht="14.25">
      <c r="A156" s="633"/>
      <c r="B156" s="633"/>
      <c r="C156" s="633"/>
      <c r="D156" s="633"/>
      <c r="E156" s="633"/>
      <c r="F156" s="633"/>
      <c r="G156" s="633"/>
      <c r="H156" s="633"/>
      <c r="I156" s="633"/>
      <c r="J156" s="633"/>
      <c r="K156" s="633"/>
      <c r="L156" s="633"/>
    </row>
    <row r="157" spans="1:12" ht="14.25">
      <c r="A157" s="633"/>
      <c r="B157" s="633"/>
      <c r="C157" s="633"/>
      <c r="D157" s="633"/>
      <c r="E157" s="633"/>
      <c r="F157" s="633"/>
      <c r="G157" s="633"/>
      <c r="H157" s="633"/>
      <c r="I157" s="633"/>
      <c r="J157" s="633"/>
      <c r="K157" s="633"/>
      <c r="L157" s="633"/>
    </row>
    <row r="158" spans="1:12" ht="14.25">
      <c r="A158" s="633"/>
      <c r="B158" s="633"/>
      <c r="C158" s="633"/>
      <c r="D158" s="633"/>
      <c r="E158" s="633"/>
      <c r="F158" s="633"/>
      <c r="G158" s="633"/>
      <c r="H158" s="633"/>
      <c r="I158" s="633"/>
      <c r="J158" s="633"/>
      <c r="K158" s="633"/>
      <c r="L158" s="633"/>
    </row>
    <row r="159" spans="1:12" ht="14.25">
      <c r="A159" s="633"/>
      <c r="B159" s="633"/>
      <c r="C159" s="633"/>
      <c r="D159" s="633"/>
      <c r="E159" s="633"/>
      <c r="F159" s="633"/>
      <c r="G159" s="633"/>
      <c r="H159" s="633"/>
      <c r="I159" s="633"/>
      <c r="J159" s="633"/>
      <c r="K159" s="633"/>
      <c r="L159" s="633"/>
    </row>
    <row r="160" spans="1:12" ht="14.25">
      <c r="A160" s="633"/>
      <c r="B160" s="633"/>
      <c r="C160" s="633"/>
      <c r="D160" s="633"/>
      <c r="E160" s="633"/>
      <c r="F160" s="633"/>
      <c r="G160" s="633"/>
      <c r="H160" s="633"/>
      <c r="I160" s="633"/>
      <c r="J160" s="633"/>
      <c r="K160" s="633"/>
      <c r="L160" s="633"/>
    </row>
    <row r="161" spans="1:12" ht="14.25">
      <c r="A161" s="633"/>
      <c r="B161" s="633"/>
      <c r="C161" s="633"/>
      <c r="D161" s="633"/>
      <c r="E161" s="633"/>
      <c r="F161" s="633"/>
      <c r="G161" s="633"/>
      <c r="H161" s="633"/>
      <c r="I161" s="633"/>
      <c r="J161" s="633"/>
      <c r="K161" s="633"/>
      <c r="L161" s="633"/>
    </row>
    <row r="162" spans="1:12" ht="14.25">
      <c r="A162" s="633"/>
      <c r="B162" s="633"/>
      <c r="C162" s="633"/>
      <c r="D162" s="633"/>
      <c r="E162" s="633"/>
      <c r="F162" s="633"/>
      <c r="G162" s="633"/>
      <c r="H162" s="633"/>
      <c r="I162" s="633"/>
      <c r="J162" s="633"/>
      <c r="K162" s="633"/>
      <c r="L162" s="633"/>
    </row>
    <row r="163" spans="1:12" ht="14.25">
      <c r="A163" s="633"/>
      <c r="B163" s="633"/>
      <c r="C163" s="633"/>
      <c r="D163" s="633"/>
      <c r="E163" s="633"/>
      <c r="F163" s="633"/>
      <c r="G163" s="633"/>
      <c r="H163" s="633"/>
      <c r="I163" s="633"/>
      <c r="J163" s="633"/>
      <c r="K163" s="633"/>
      <c r="L163" s="633"/>
    </row>
    <row r="164" spans="1:12" ht="14.25">
      <c r="A164" s="633"/>
      <c r="B164" s="633"/>
      <c r="C164" s="633"/>
      <c r="D164" s="633"/>
      <c r="E164" s="633"/>
      <c r="F164" s="633"/>
      <c r="G164" s="633"/>
      <c r="H164" s="633"/>
      <c r="I164" s="633"/>
      <c r="J164" s="633"/>
      <c r="K164" s="633"/>
      <c r="L164" s="633"/>
    </row>
    <row r="165" spans="1:12" ht="14.25">
      <c r="A165" s="633"/>
      <c r="B165" s="633"/>
      <c r="C165" s="633"/>
      <c r="D165" s="633"/>
      <c r="E165" s="633"/>
      <c r="F165" s="633"/>
      <c r="G165" s="633"/>
      <c r="H165" s="633"/>
      <c r="I165" s="633"/>
      <c r="J165" s="633"/>
      <c r="K165" s="633"/>
      <c r="L165" s="633"/>
    </row>
    <row r="166" spans="1:12" ht="14.25">
      <c r="A166" s="633"/>
      <c r="B166" s="633"/>
      <c r="C166" s="633"/>
      <c r="D166" s="633"/>
      <c r="E166" s="633"/>
      <c r="F166" s="633"/>
      <c r="G166" s="633"/>
      <c r="H166" s="633"/>
      <c r="I166" s="633"/>
      <c r="J166" s="633"/>
      <c r="K166" s="633"/>
      <c r="L166" s="633"/>
    </row>
    <row r="167" spans="1:12" ht="14.25">
      <c r="A167" s="633"/>
      <c r="B167" s="633"/>
      <c r="C167" s="633"/>
      <c r="D167" s="633"/>
      <c r="E167" s="633"/>
      <c r="F167" s="633"/>
      <c r="G167" s="633"/>
      <c r="H167" s="633"/>
      <c r="I167" s="633"/>
      <c r="J167" s="633"/>
      <c r="K167" s="633"/>
      <c r="L167" s="633"/>
    </row>
    <row r="168" spans="1:12" ht="14.25">
      <c r="A168" s="633"/>
      <c r="B168" s="633"/>
      <c r="C168" s="633"/>
      <c r="D168" s="633"/>
      <c r="E168" s="633"/>
      <c r="F168" s="633"/>
      <c r="G168" s="633"/>
      <c r="H168" s="633"/>
      <c r="I168" s="633"/>
      <c r="J168" s="633"/>
      <c r="K168" s="633"/>
      <c r="L168" s="633"/>
    </row>
    <row r="169" spans="1:12" ht="14.25">
      <c r="A169" s="633"/>
      <c r="B169" s="633"/>
      <c r="C169" s="633"/>
      <c r="D169" s="633"/>
      <c r="E169" s="633"/>
      <c r="F169" s="633"/>
      <c r="G169" s="633"/>
      <c r="H169" s="633"/>
      <c r="I169" s="633"/>
      <c r="J169" s="633"/>
      <c r="K169" s="633"/>
      <c r="L169" s="633"/>
    </row>
    <row r="170" spans="1:12" ht="14.25">
      <c r="A170" s="633"/>
      <c r="B170" s="633"/>
      <c r="C170" s="633"/>
      <c r="D170" s="633"/>
      <c r="E170" s="633"/>
      <c r="F170" s="633"/>
      <c r="G170" s="633"/>
      <c r="H170" s="633"/>
      <c r="I170" s="633"/>
      <c r="J170" s="633"/>
      <c r="K170" s="633"/>
      <c r="L170" s="633"/>
    </row>
    <row r="171" spans="1:12" ht="14.25">
      <c r="A171" s="633"/>
      <c r="B171" s="633"/>
      <c r="C171" s="633"/>
      <c r="D171" s="633"/>
      <c r="E171" s="633"/>
      <c r="F171" s="633"/>
      <c r="G171" s="633"/>
      <c r="H171" s="633"/>
      <c r="I171" s="633"/>
      <c r="J171" s="633"/>
      <c r="K171" s="633"/>
      <c r="L171" s="633"/>
    </row>
    <row r="172" spans="1:12" ht="14.25">
      <c r="A172" s="633"/>
      <c r="B172" s="633"/>
      <c r="C172" s="633"/>
      <c r="D172" s="633"/>
      <c r="E172" s="633"/>
      <c r="F172" s="633"/>
      <c r="G172" s="633"/>
      <c r="H172" s="633"/>
      <c r="I172" s="633"/>
      <c r="J172" s="633"/>
      <c r="K172" s="633"/>
      <c r="L172" s="633"/>
    </row>
    <row r="173" spans="1:12" ht="14.25">
      <c r="A173" s="633"/>
      <c r="B173" s="633"/>
      <c r="C173" s="633"/>
      <c r="D173" s="633"/>
      <c r="E173" s="633"/>
      <c r="F173" s="633"/>
      <c r="G173" s="633"/>
      <c r="H173" s="633"/>
      <c r="I173" s="633"/>
      <c r="J173" s="633"/>
      <c r="K173" s="633"/>
      <c r="L173" s="633"/>
    </row>
    <row r="174" spans="1:12" ht="14.25">
      <c r="A174" s="633"/>
      <c r="B174" s="633"/>
      <c r="C174" s="633"/>
      <c r="D174" s="633"/>
      <c r="E174" s="633"/>
      <c r="F174" s="633"/>
      <c r="G174" s="633"/>
      <c r="H174" s="633"/>
      <c r="I174" s="633"/>
      <c r="J174" s="633"/>
      <c r="K174" s="633"/>
      <c r="L174" s="633"/>
    </row>
    <row r="175" spans="1:12" ht="14.25">
      <c r="A175" s="633"/>
      <c r="B175" s="633"/>
      <c r="C175" s="633"/>
      <c r="D175" s="633"/>
      <c r="E175" s="633"/>
      <c r="F175" s="633"/>
      <c r="G175" s="633"/>
      <c r="H175" s="633"/>
      <c r="I175" s="633"/>
      <c r="J175" s="633"/>
      <c r="K175" s="633"/>
      <c r="L175" s="633"/>
    </row>
    <row r="176" spans="1:12" ht="14.25">
      <c r="A176" s="633"/>
      <c r="B176" s="633"/>
      <c r="C176" s="633"/>
      <c r="D176" s="633"/>
      <c r="E176" s="633"/>
      <c r="F176" s="633"/>
      <c r="G176" s="633"/>
      <c r="H176" s="633"/>
      <c r="I176" s="633"/>
      <c r="J176" s="633"/>
      <c r="K176" s="633"/>
      <c r="L176" s="633"/>
    </row>
    <row r="177" spans="1:12" ht="14.25">
      <c r="A177" s="633"/>
      <c r="B177" s="633"/>
      <c r="C177" s="633"/>
      <c r="D177" s="633"/>
      <c r="E177" s="633"/>
      <c r="F177" s="633"/>
      <c r="G177" s="633"/>
      <c r="H177" s="633"/>
      <c r="I177" s="633"/>
      <c r="J177" s="633"/>
      <c r="K177" s="633"/>
      <c r="L177" s="633"/>
    </row>
    <row r="178" spans="1:12" ht="14.25">
      <c r="A178" s="633"/>
      <c r="B178" s="633"/>
      <c r="C178" s="633"/>
      <c r="D178" s="633"/>
      <c r="E178" s="633"/>
      <c r="F178" s="633"/>
      <c r="G178" s="633"/>
      <c r="H178" s="633"/>
      <c r="I178" s="633"/>
      <c r="J178" s="633"/>
      <c r="K178" s="633"/>
      <c r="L178" s="633"/>
    </row>
    <row r="179" spans="1:12" ht="14.25">
      <c r="A179" s="633"/>
      <c r="B179" s="633"/>
      <c r="C179" s="633"/>
      <c r="D179" s="633"/>
      <c r="E179" s="633"/>
      <c r="F179" s="633"/>
      <c r="G179" s="633"/>
      <c r="H179" s="633"/>
      <c r="I179" s="633"/>
      <c r="J179" s="633"/>
      <c r="K179" s="633"/>
      <c r="L179" s="633"/>
    </row>
    <row r="180" spans="1:12" ht="14.25">
      <c r="A180" s="633"/>
      <c r="B180" s="633"/>
      <c r="C180" s="633"/>
      <c r="D180" s="633"/>
      <c r="E180" s="633"/>
      <c r="F180" s="633"/>
      <c r="G180" s="633"/>
      <c r="H180" s="633"/>
      <c r="I180" s="633"/>
      <c r="J180" s="633"/>
      <c r="K180" s="633"/>
      <c r="L180" s="633"/>
    </row>
    <row r="181" spans="1:12" ht="14.25">
      <c r="A181" s="633"/>
      <c r="B181" s="633"/>
      <c r="C181" s="633"/>
      <c r="D181" s="633"/>
      <c r="E181" s="633"/>
      <c r="F181" s="633"/>
      <c r="G181" s="633"/>
      <c r="H181" s="633"/>
      <c r="I181" s="633"/>
      <c r="J181" s="633"/>
      <c r="K181" s="633"/>
      <c r="L181" s="633"/>
    </row>
    <row r="182" spans="1:12" ht="14.25">
      <c r="A182" s="633"/>
      <c r="B182" s="633"/>
      <c r="C182" s="633"/>
      <c r="D182" s="633"/>
      <c r="E182" s="633"/>
      <c r="F182" s="633"/>
      <c r="G182" s="633"/>
      <c r="H182" s="633"/>
      <c r="I182" s="633"/>
      <c r="J182" s="633"/>
      <c r="K182" s="633"/>
      <c r="L182" s="633"/>
    </row>
    <row r="183" spans="1:12" ht="14.25">
      <c r="A183" s="633"/>
      <c r="B183" s="633"/>
      <c r="C183" s="633"/>
      <c r="D183" s="633"/>
      <c r="E183" s="633"/>
      <c r="F183" s="633"/>
      <c r="G183" s="633"/>
      <c r="H183" s="633"/>
      <c r="I183" s="633"/>
      <c r="J183" s="633"/>
      <c r="K183" s="633"/>
      <c r="L183" s="633"/>
    </row>
    <row r="184" spans="1:12" ht="14.25">
      <c r="A184" s="633"/>
      <c r="B184" s="633"/>
      <c r="C184" s="633"/>
      <c r="D184" s="633"/>
      <c r="E184" s="633"/>
      <c r="F184" s="633"/>
      <c r="G184" s="633"/>
      <c r="H184" s="633"/>
      <c r="I184" s="633"/>
      <c r="J184" s="633"/>
      <c r="K184" s="633"/>
      <c r="L184" s="633"/>
    </row>
    <row r="185" spans="1:12" ht="14.25">
      <c r="A185" s="633"/>
      <c r="B185" s="633"/>
      <c r="C185" s="633"/>
      <c r="D185" s="633"/>
      <c r="E185" s="633"/>
      <c r="F185" s="633"/>
      <c r="G185" s="633"/>
      <c r="H185" s="633"/>
      <c r="I185" s="633"/>
      <c r="J185" s="633"/>
      <c r="K185" s="633"/>
      <c r="L185" s="633"/>
    </row>
    <row r="186" spans="1:12" ht="14.25">
      <c r="A186" s="633"/>
      <c r="B186" s="633"/>
      <c r="C186" s="633"/>
      <c r="D186" s="633"/>
      <c r="E186" s="633"/>
      <c r="F186" s="633"/>
      <c r="G186" s="633"/>
      <c r="H186" s="633"/>
      <c r="I186" s="633"/>
      <c r="J186" s="633"/>
      <c r="K186" s="633"/>
      <c r="L186" s="633"/>
    </row>
    <row r="187" spans="1:12" ht="14.25">
      <c r="A187" s="633"/>
      <c r="B187" s="633"/>
      <c r="C187" s="633"/>
      <c r="D187" s="633"/>
      <c r="E187" s="633"/>
      <c r="F187" s="633"/>
      <c r="G187" s="633"/>
      <c r="H187" s="633"/>
      <c r="I187" s="633"/>
      <c r="J187" s="633"/>
      <c r="K187" s="633"/>
      <c r="L187" s="633"/>
    </row>
    <row r="188" spans="1:12" ht="14.25">
      <c r="A188" s="633"/>
      <c r="B188" s="633"/>
      <c r="C188" s="633"/>
      <c r="D188" s="633"/>
      <c r="E188" s="633"/>
      <c r="F188" s="633"/>
      <c r="G188" s="633"/>
      <c r="H188" s="633"/>
      <c r="I188" s="633"/>
      <c r="J188" s="633"/>
      <c r="K188" s="633"/>
      <c r="L188" s="633"/>
    </row>
    <row r="189" spans="1:12" ht="14.25">
      <c r="A189" s="633"/>
      <c r="B189" s="633"/>
      <c r="C189" s="633"/>
      <c r="D189" s="633"/>
      <c r="E189" s="633"/>
      <c r="F189" s="633"/>
      <c r="G189" s="633"/>
      <c r="H189" s="633"/>
      <c r="I189" s="633"/>
      <c r="J189" s="633"/>
      <c r="K189" s="633"/>
      <c r="L189" s="633"/>
    </row>
    <row r="190" spans="1:12" ht="14.25">
      <c r="A190" s="633"/>
      <c r="B190" s="633"/>
      <c r="C190" s="633"/>
      <c r="D190" s="633"/>
      <c r="E190" s="633"/>
      <c r="F190" s="633"/>
      <c r="G190" s="633"/>
      <c r="H190" s="633"/>
      <c r="I190" s="633"/>
      <c r="J190" s="633"/>
      <c r="K190" s="633"/>
      <c r="L190" s="633"/>
    </row>
    <row r="191" spans="1:12" ht="14.25">
      <c r="A191" s="633"/>
      <c r="B191" s="633"/>
      <c r="C191" s="633"/>
      <c r="D191" s="633"/>
      <c r="E191" s="633"/>
      <c r="F191" s="633"/>
      <c r="G191" s="633"/>
      <c r="H191" s="633"/>
      <c r="I191" s="633"/>
      <c r="J191" s="633"/>
      <c r="K191" s="633"/>
      <c r="L191" s="633"/>
    </row>
    <row r="192" spans="1:12" ht="14.25">
      <c r="A192" s="633"/>
      <c r="B192" s="633"/>
      <c r="C192" s="633"/>
      <c r="D192" s="633"/>
      <c r="E192" s="633"/>
      <c r="F192" s="633"/>
      <c r="G192" s="633"/>
      <c r="H192" s="633"/>
      <c r="I192" s="633"/>
      <c r="J192" s="633"/>
      <c r="K192" s="633"/>
      <c r="L192" s="633"/>
    </row>
    <row r="193" spans="1:12" ht="14.25">
      <c r="A193" s="633"/>
      <c r="B193" s="633"/>
      <c r="C193" s="633"/>
      <c r="D193" s="633"/>
      <c r="E193" s="633"/>
      <c r="F193" s="633"/>
      <c r="G193" s="633"/>
      <c r="H193" s="633"/>
      <c r="I193" s="633"/>
      <c r="J193" s="633"/>
      <c r="K193" s="633"/>
      <c r="L193" s="633"/>
    </row>
    <row r="194" spans="1:12" ht="14.25">
      <c r="A194" s="633"/>
      <c r="B194" s="633"/>
      <c r="C194" s="633"/>
      <c r="D194" s="633"/>
      <c r="E194" s="633"/>
      <c r="F194" s="633"/>
      <c r="G194" s="633"/>
      <c r="H194" s="633"/>
      <c r="I194" s="633"/>
      <c r="J194" s="633"/>
      <c r="K194" s="633"/>
      <c r="L194" s="633"/>
    </row>
    <row r="195" spans="1:12" ht="14.25">
      <c r="A195" s="633"/>
      <c r="B195" s="633"/>
      <c r="C195" s="633"/>
      <c r="D195" s="633"/>
      <c r="E195" s="633"/>
      <c r="F195" s="633"/>
      <c r="G195" s="633"/>
      <c r="H195" s="633"/>
      <c r="I195" s="633"/>
      <c r="J195" s="633"/>
      <c r="K195" s="633"/>
      <c r="L195" s="633"/>
    </row>
    <row r="196" spans="1:12" ht="14.25">
      <c r="A196" s="633"/>
      <c r="B196" s="633"/>
      <c r="C196" s="633"/>
      <c r="D196" s="633"/>
      <c r="E196" s="633"/>
      <c r="F196" s="633"/>
      <c r="G196" s="633"/>
      <c r="H196" s="633"/>
      <c r="I196" s="633"/>
      <c r="J196" s="633"/>
      <c r="K196" s="633"/>
      <c r="L196" s="633"/>
    </row>
    <row r="197" spans="1:12" ht="14.25">
      <c r="A197" s="633"/>
      <c r="B197" s="633"/>
      <c r="C197" s="633"/>
      <c r="D197" s="633"/>
      <c r="E197" s="633"/>
      <c r="F197" s="633"/>
      <c r="G197" s="633"/>
      <c r="H197" s="633"/>
      <c r="I197" s="633"/>
      <c r="J197" s="633"/>
      <c r="K197" s="633"/>
      <c r="L197" s="633"/>
    </row>
    <row r="198" spans="1:12" ht="14.25">
      <c r="A198" s="633"/>
      <c r="B198" s="633"/>
      <c r="C198" s="633"/>
      <c r="D198" s="633"/>
      <c r="E198" s="633"/>
      <c r="F198" s="633"/>
      <c r="G198" s="633"/>
      <c r="H198" s="633"/>
      <c r="I198" s="633"/>
      <c r="J198" s="633"/>
      <c r="K198" s="633"/>
      <c r="L198" s="633"/>
    </row>
    <row r="199" spans="1:12" ht="14.25">
      <c r="A199" s="633"/>
      <c r="B199" s="633"/>
      <c r="C199" s="633"/>
      <c r="D199" s="633"/>
      <c r="E199" s="633"/>
      <c r="F199" s="633"/>
      <c r="G199" s="633"/>
      <c r="H199" s="633"/>
      <c r="I199" s="633"/>
      <c r="J199" s="633"/>
      <c r="K199" s="633"/>
      <c r="L199" s="633"/>
    </row>
    <row r="200" spans="1:12" ht="14.25">
      <c r="A200" s="633"/>
      <c r="B200" s="633"/>
      <c r="C200" s="633"/>
      <c r="D200" s="633"/>
      <c r="E200" s="633"/>
      <c r="F200" s="633"/>
      <c r="G200" s="633"/>
      <c r="H200" s="633"/>
      <c r="I200" s="633"/>
      <c r="J200" s="633"/>
      <c r="K200" s="633"/>
      <c r="L200" s="633"/>
    </row>
    <row r="201" spans="1:12" ht="14.25">
      <c r="A201" s="633"/>
      <c r="B201" s="633"/>
      <c r="C201" s="633"/>
      <c r="D201" s="633"/>
      <c r="E201" s="633"/>
      <c r="F201" s="633"/>
      <c r="G201" s="633"/>
      <c r="H201" s="633"/>
      <c r="I201" s="633"/>
      <c r="J201" s="633"/>
      <c r="K201" s="633"/>
      <c r="L201" s="633"/>
    </row>
    <row r="202" spans="1:12" ht="14.25">
      <c r="A202" s="633"/>
      <c r="B202" s="633"/>
      <c r="C202" s="633"/>
      <c r="D202" s="633"/>
      <c r="E202" s="633"/>
      <c r="F202" s="633"/>
      <c r="G202" s="633"/>
      <c r="H202" s="633"/>
      <c r="I202" s="633"/>
      <c r="J202" s="633"/>
      <c r="K202" s="633"/>
      <c r="L202" s="633"/>
    </row>
    <row r="203" spans="1:12" ht="14.25">
      <c r="A203" s="633"/>
      <c r="B203" s="633"/>
      <c r="C203" s="633"/>
      <c r="D203" s="633"/>
      <c r="E203" s="633"/>
      <c r="F203" s="633"/>
      <c r="G203" s="633"/>
      <c r="H203" s="633"/>
      <c r="I203" s="633"/>
      <c r="J203" s="633"/>
      <c r="K203" s="633"/>
      <c r="L203" s="633"/>
    </row>
    <row r="204" spans="1:12" ht="14.25">
      <c r="A204" s="633"/>
      <c r="B204" s="633"/>
      <c r="C204" s="633"/>
      <c r="D204" s="633"/>
      <c r="E204" s="633"/>
      <c r="F204" s="633"/>
      <c r="G204" s="633"/>
      <c r="H204" s="633"/>
      <c r="I204" s="633"/>
      <c r="J204" s="633"/>
      <c r="K204" s="633"/>
      <c r="L204" s="633"/>
    </row>
    <row r="205" spans="1:12" ht="14.25">
      <c r="A205" s="633"/>
      <c r="B205" s="633"/>
      <c r="C205" s="633"/>
      <c r="D205" s="633"/>
      <c r="E205" s="633"/>
      <c r="F205" s="633"/>
      <c r="G205" s="633"/>
      <c r="H205" s="633"/>
      <c r="I205" s="633"/>
      <c r="J205" s="633"/>
      <c r="K205" s="633"/>
      <c r="L205" s="633"/>
    </row>
    <row r="206" spans="1:12" ht="14.25">
      <c r="A206" s="633"/>
      <c r="B206" s="633"/>
      <c r="C206" s="633"/>
      <c r="D206" s="633"/>
      <c r="E206" s="633"/>
      <c r="F206" s="633"/>
      <c r="G206" s="633"/>
      <c r="H206" s="633"/>
      <c r="I206" s="633"/>
      <c r="J206" s="633"/>
      <c r="K206" s="633"/>
      <c r="L206" s="633"/>
    </row>
    <row r="207" spans="1:12" ht="14.25">
      <c r="A207" s="633"/>
      <c r="B207" s="633"/>
      <c r="C207" s="633"/>
      <c r="D207" s="633"/>
      <c r="E207" s="633"/>
      <c r="F207" s="633"/>
      <c r="G207" s="633"/>
      <c r="H207" s="633"/>
      <c r="I207" s="633"/>
      <c r="J207" s="633"/>
      <c r="K207" s="633"/>
      <c r="L207" s="633"/>
    </row>
    <row r="208" spans="1:12" ht="14.25">
      <c r="A208" s="633"/>
      <c r="B208" s="633"/>
      <c r="C208" s="633"/>
      <c r="D208" s="633"/>
      <c r="E208" s="633"/>
      <c r="F208" s="633"/>
      <c r="G208" s="633"/>
      <c r="H208" s="633"/>
      <c r="I208" s="633"/>
      <c r="J208" s="633"/>
      <c r="K208" s="633"/>
      <c r="L208" s="633"/>
    </row>
    <row r="209" spans="1:12" ht="14.25">
      <c r="A209" s="633"/>
      <c r="B209" s="633"/>
      <c r="C209" s="633"/>
      <c r="D209" s="633"/>
      <c r="E209" s="633"/>
      <c r="F209" s="633"/>
      <c r="G209" s="633"/>
      <c r="H209" s="633"/>
      <c r="I209" s="633"/>
      <c r="J209" s="633"/>
      <c r="K209" s="633"/>
      <c r="L209" s="633"/>
    </row>
    <row r="210" spans="1:12" ht="14.25">
      <c r="A210" s="633"/>
      <c r="B210" s="633"/>
      <c r="C210" s="633"/>
      <c r="D210" s="633"/>
      <c r="E210" s="633"/>
      <c r="F210" s="633"/>
      <c r="G210" s="633"/>
      <c r="H210" s="633"/>
      <c r="I210" s="633"/>
      <c r="J210" s="633"/>
      <c r="K210" s="633"/>
      <c r="L210" s="633"/>
    </row>
    <row r="211" spans="1:12" ht="14.25">
      <c r="A211" s="633"/>
      <c r="B211" s="633"/>
      <c r="C211" s="633"/>
      <c r="D211" s="633"/>
      <c r="E211" s="633"/>
      <c r="F211" s="633"/>
      <c r="G211" s="633"/>
      <c r="H211" s="633"/>
      <c r="I211" s="633"/>
      <c r="J211" s="633"/>
      <c r="K211" s="633"/>
      <c r="L211" s="633"/>
    </row>
    <row r="212" spans="1:12" ht="14.25">
      <c r="A212" s="633"/>
      <c r="B212" s="633"/>
      <c r="C212" s="633"/>
      <c r="D212" s="633"/>
      <c r="E212" s="633"/>
      <c r="F212" s="633"/>
      <c r="G212" s="633"/>
      <c r="H212" s="633"/>
      <c r="I212" s="633"/>
      <c r="J212" s="633"/>
      <c r="K212" s="633"/>
      <c r="L212" s="633"/>
    </row>
    <row r="213" spans="1:12" ht="14.25">
      <c r="A213" s="633"/>
      <c r="B213" s="633"/>
      <c r="C213" s="633"/>
      <c r="D213" s="633"/>
      <c r="E213" s="633"/>
      <c r="F213" s="633"/>
      <c r="G213" s="633"/>
      <c r="H213" s="633"/>
      <c r="I213" s="633"/>
      <c r="J213" s="633"/>
      <c r="K213" s="633"/>
      <c r="L213" s="633"/>
    </row>
    <row r="214" spans="1:12" ht="14.25">
      <c r="A214" s="633"/>
      <c r="B214" s="633"/>
      <c r="C214" s="633"/>
      <c r="D214" s="633"/>
      <c r="E214" s="633"/>
      <c r="F214" s="633"/>
      <c r="G214" s="633"/>
      <c r="H214" s="633"/>
      <c r="I214" s="633"/>
      <c r="J214" s="633"/>
      <c r="K214" s="633"/>
      <c r="L214" s="633"/>
    </row>
    <row r="215" spans="1:12" ht="14.25">
      <c r="A215" s="633"/>
      <c r="B215" s="633"/>
      <c r="C215" s="633"/>
      <c r="D215" s="633"/>
      <c r="E215" s="633"/>
      <c r="F215" s="633"/>
      <c r="G215" s="633"/>
      <c r="H215" s="633"/>
      <c r="I215" s="633"/>
      <c r="J215" s="633"/>
      <c r="K215" s="633"/>
      <c r="L215" s="633"/>
    </row>
    <row r="216" spans="1:12" ht="14.25">
      <c r="A216" s="633"/>
      <c r="B216" s="633"/>
      <c r="C216" s="633"/>
      <c r="D216" s="633"/>
      <c r="E216" s="633"/>
      <c r="F216" s="633"/>
      <c r="G216" s="633"/>
      <c r="H216" s="633"/>
      <c r="I216" s="633"/>
      <c r="J216" s="633"/>
      <c r="K216" s="633"/>
      <c r="L216" s="633"/>
    </row>
    <row r="217" spans="1:12" ht="14.25">
      <c r="A217" s="633"/>
      <c r="B217" s="633"/>
      <c r="C217" s="633"/>
      <c r="D217" s="633"/>
      <c r="E217" s="633"/>
      <c r="F217" s="633"/>
      <c r="G217" s="633"/>
      <c r="H217" s="633"/>
      <c r="I217" s="633"/>
      <c r="J217" s="633"/>
      <c r="K217" s="633"/>
      <c r="L217" s="633"/>
    </row>
    <row r="218" spans="1:12" ht="14.25">
      <c r="A218" s="633"/>
      <c r="B218" s="633"/>
      <c r="C218" s="633"/>
      <c r="D218" s="633"/>
      <c r="E218" s="633"/>
      <c r="F218" s="633"/>
      <c r="G218" s="633"/>
      <c r="H218" s="633"/>
      <c r="I218" s="633"/>
      <c r="J218" s="633"/>
      <c r="K218" s="633"/>
      <c r="L218" s="633"/>
    </row>
    <row r="219" spans="1:12" ht="14.25">
      <c r="A219" s="633"/>
      <c r="B219" s="633"/>
      <c r="C219" s="633"/>
      <c r="D219" s="633"/>
      <c r="E219" s="633"/>
      <c r="F219" s="633"/>
      <c r="G219" s="633"/>
      <c r="H219" s="633"/>
      <c r="I219" s="633"/>
      <c r="J219" s="633"/>
      <c r="K219" s="633"/>
      <c r="L219" s="633"/>
    </row>
    <row r="220" spans="1:12" ht="14.25">
      <c r="A220" s="633"/>
      <c r="B220" s="633"/>
      <c r="C220" s="633"/>
      <c r="D220" s="633"/>
      <c r="E220" s="633"/>
      <c r="F220" s="633"/>
      <c r="G220" s="633"/>
      <c r="H220" s="633"/>
      <c r="I220" s="633"/>
      <c r="J220" s="633"/>
      <c r="K220" s="633"/>
      <c r="L220" s="633"/>
    </row>
    <row r="221" spans="1:12" ht="14.25">
      <c r="A221" s="633"/>
      <c r="B221" s="633"/>
      <c r="C221" s="633"/>
      <c r="D221" s="633"/>
      <c r="E221" s="633"/>
      <c r="F221" s="633"/>
      <c r="G221" s="633"/>
      <c r="H221" s="633"/>
      <c r="I221" s="633"/>
      <c r="J221" s="633"/>
      <c r="K221" s="633"/>
      <c r="L221" s="633"/>
    </row>
    <row r="222" spans="1:12" ht="14.25">
      <c r="A222" s="633"/>
      <c r="B222" s="633"/>
      <c r="C222" s="633"/>
      <c r="D222" s="633"/>
      <c r="E222" s="633"/>
      <c r="F222" s="633"/>
      <c r="G222" s="633"/>
      <c r="H222" s="633"/>
      <c r="I222" s="633"/>
      <c r="J222" s="633"/>
      <c r="K222" s="633"/>
      <c r="L222" s="633"/>
    </row>
    <row r="223" spans="1:12" ht="14.25">
      <c r="A223" s="633"/>
      <c r="B223" s="633"/>
      <c r="C223" s="633"/>
      <c r="D223" s="633"/>
      <c r="E223" s="633"/>
      <c r="F223" s="633"/>
      <c r="G223" s="633"/>
      <c r="H223" s="633"/>
      <c r="I223" s="633"/>
      <c r="J223" s="633"/>
      <c r="K223" s="633"/>
      <c r="L223" s="633"/>
    </row>
    <row r="224" spans="1:12" ht="14.25">
      <c r="A224" s="633"/>
      <c r="B224" s="633"/>
      <c r="C224" s="633"/>
      <c r="D224" s="633"/>
      <c r="E224" s="633"/>
      <c r="F224" s="633"/>
      <c r="G224" s="633"/>
      <c r="H224" s="633"/>
      <c r="I224" s="633"/>
      <c r="J224" s="633"/>
      <c r="K224" s="633"/>
      <c r="L224" s="633"/>
    </row>
    <row r="225" spans="1:12" ht="14.25">
      <c r="A225" s="633"/>
      <c r="B225" s="633"/>
      <c r="C225" s="633"/>
      <c r="D225" s="633"/>
      <c r="E225" s="633"/>
      <c r="F225" s="633"/>
      <c r="G225" s="633"/>
      <c r="H225" s="633"/>
      <c r="I225" s="633"/>
      <c r="J225" s="633"/>
      <c r="K225" s="633"/>
      <c r="L225" s="633"/>
    </row>
    <row r="226" spans="1:12" ht="14.25">
      <c r="A226" s="633"/>
      <c r="B226" s="633"/>
      <c r="C226" s="633"/>
      <c r="D226" s="633"/>
      <c r="E226" s="633"/>
      <c r="F226" s="633"/>
      <c r="G226" s="633"/>
      <c r="H226" s="633"/>
      <c r="I226" s="633"/>
      <c r="J226" s="633"/>
      <c r="K226" s="633"/>
      <c r="L226" s="633"/>
    </row>
    <row r="227" spans="1:12" ht="14.25">
      <c r="A227" s="633"/>
      <c r="B227" s="633"/>
      <c r="C227" s="633"/>
      <c r="D227" s="633"/>
      <c r="E227" s="633"/>
      <c r="F227" s="633"/>
      <c r="G227" s="633"/>
      <c r="H227" s="633"/>
      <c r="I227" s="633"/>
      <c r="J227" s="633"/>
      <c r="K227" s="633"/>
      <c r="L227" s="633"/>
    </row>
    <row r="228" spans="1:12" ht="14.25">
      <c r="A228" s="633"/>
      <c r="B228" s="633"/>
      <c r="C228" s="633"/>
      <c r="D228" s="633"/>
      <c r="E228" s="633"/>
      <c r="F228" s="633"/>
      <c r="G228" s="633"/>
      <c r="H228" s="633"/>
      <c r="I228" s="633"/>
      <c r="J228" s="633"/>
      <c r="K228" s="633"/>
      <c r="L228" s="633"/>
    </row>
    <row r="229" spans="1:12" ht="14.25">
      <c r="A229" s="633"/>
      <c r="B229" s="633"/>
      <c r="C229" s="633"/>
      <c r="D229" s="633"/>
      <c r="E229" s="633"/>
      <c r="F229" s="633"/>
      <c r="G229" s="633"/>
      <c r="H229" s="633"/>
      <c r="I229" s="633"/>
      <c r="J229" s="633"/>
      <c r="K229" s="633"/>
      <c r="L229" s="633"/>
    </row>
    <row r="230" spans="1:12" ht="14.25">
      <c r="A230" s="633"/>
      <c r="B230" s="633"/>
      <c r="C230" s="633"/>
      <c r="D230" s="633"/>
      <c r="E230" s="633"/>
      <c r="F230" s="633"/>
      <c r="G230" s="633"/>
      <c r="H230" s="633"/>
      <c r="I230" s="633"/>
      <c r="J230" s="633"/>
      <c r="K230" s="633"/>
      <c r="L230" s="633"/>
    </row>
    <row r="231" spans="1:12" ht="14.25">
      <c r="A231" s="633"/>
      <c r="B231" s="633"/>
      <c r="C231" s="633"/>
      <c r="D231" s="633"/>
      <c r="E231" s="633"/>
      <c r="F231" s="633"/>
      <c r="G231" s="633"/>
      <c r="H231" s="633"/>
      <c r="I231" s="633"/>
      <c r="J231" s="633"/>
      <c r="K231" s="633"/>
      <c r="L231" s="633"/>
    </row>
    <row r="232" spans="1:12" ht="14.25">
      <c r="A232" s="633"/>
      <c r="B232" s="633"/>
      <c r="C232" s="633"/>
      <c r="D232" s="633"/>
      <c r="E232" s="633"/>
      <c r="F232" s="633"/>
      <c r="G232" s="633"/>
      <c r="H232" s="633"/>
      <c r="I232" s="633"/>
      <c r="J232" s="633"/>
      <c r="K232" s="633"/>
      <c r="L232" s="633"/>
    </row>
    <row r="233" spans="1:12" ht="14.25">
      <c r="A233" s="633"/>
      <c r="B233" s="633"/>
      <c r="C233" s="633"/>
      <c r="D233" s="633"/>
      <c r="E233" s="633"/>
      <c r="F233" s="633"/>
      <c r="G233" s="633"/>
      <c r="H233" s="633"/>
      <c r="I233" s="633"/>
      <c r="J233" s="633"/>
      <c r="K233" s="633"/>
      <c r="L233" s="633"/>
    </row>
    <row r="234" spans="1:12" ht="14.25">
      <c r="A234" s="633"/>
      <c r="B234" s="633"/>
      <c r="C234" s="633"/>
      <c r="D234" s="633"/>
      <c r="E234" s="633"/>
      <c r="F234" s="633"/>
      <c r="G234" s="633"/>
      <c r="H234" s="633"/>
      <c r="I234" s="633"/>
      <c r="J234" s="633"/>
      <c r="K234" s="633"/>
      <c r="L234" s="633"/>
    </row>
    <row r="235" spans="1:12" ht="14.25">
      <c r="A235" s="633"/>
      <c r="B235" s="633"/>
      <c r="C235" s="633"/>
      <c r="D235" s="633"/>
      <c r="E235" s="633"/>
      <c r="F235" s="633"/>
      <c r="G235" s="633"/>
      <c r="H235" s="633"/>
      <c r="I235" s="633"/>
      <c r="J235" s="633"/>
      <c r="K235" s="633"/>
      <c r="L235" s="633"/>
    </row>
    <row r="236" spans="1:12" ht="14.25">
      <c r="A236" s="633"/>
      <c r="B236" s="633"/>
      <c r="C236" s="633"/>
      <c r="D236" s="633"/>
      <c r="E236" s="633"/>
      <c r="F236" s="633"/>
      <c r="G236" s="633"/>
      <c r="H236" s="633"/>
      <c r="I236" s="633"/>
      <c r="J236" s="633"/>
      <c r="K236" s="633"/>
      <c r="L236" s="633"/>
    </row>
    <row r="237" spans="1:12" ht="14.25">
      <c r="A237" s="633"/>
      <c r="B237" s="633"/>
      <c r="C237" s="633"/>
      <c r="D237" s="633"/>
      <c r="E237" s="633"/>
      <c r="F237" s="633"/>
      <c r="G237" s="633"/>
      <c r="H237" s="633"/>
      <c r="I237" s="633"/>
      <c r="J237" s="633"/>
      <c r="K237" s="633"/>
      <c r="L237" s="633"/>
    </row>
    <row r="238" spans="1:12" ht="14.25">
      <c r="A238" s="633"/>
      <c r="B238" s="633"/>
      <c r="C238" s="633"/>
      <c r="D238" s="633"/>
      <c r="E238" s="633"/>
      <c r="F238" s="633"/>
      <c r="G238" s="633"/>
      <c r="H238" s="633"/>
      <c r="I238" s="633"/>
      <c r="J238" s="633"/>
      <c r="K238" s="633"/>
      <c r="L238" s="633"/>
    </row>
    <row r="239" spans="1:12" ht="14.25">
      <c r="A239" s="633"/>
      <c r="B239" s="633"/>
      <c r="C239" s="633"/>
      <c r="D239" s="633"/>
      <c r="E239" s="633"/>
      <c r="F239" s="633"/>
      <c r="G239" s="633"/>
      <c r="H239" s="633"/>
      <c r="I239" s="633"/>
      <c r="J239" s="633"/>
      <c r="K239" s="633"/>
      <c r="L239" s="633"/>
    </row>
    <row r="240" spans="1:12" ht="14.25">
      <c r="A240" s="633"/>
      <c r="B240" s="633"/>
      <c r="C240" s="633"/>
      <c r="D240" s="633"/>
      <c r="E240" s="633"/>
      <c r="F240" s="633"/>
      <c r="G240" s="633"/>
      <c r="H240" s="633"/>
      <c r="I240" s="633"/>
      <c r="J240" s="633"/>
      <c r="K240" s="633"/>
      <c r="L240" s="633"/>
    </row>
    <row r="241" spans="1:12" ht="14.25">
      <c r="A241" s="633"/>
      <c r="B241" s="633"/>
      <c r="C241" s="633"/>
      <c r="D241" s="633"/>
      <c r="E241" s="633"/>
      <c r="F241" s="633"/>
      <c r="G241" s="633"/>
      <c r="H241" s="633"/>
      <c r="I241" s="633"/>
      <c r="J241" s="633"/>
      <c r="K241" s="633"/>
      <c r="L241" s="633"/>
    </row>
    <row r="242" spans="1:12" ht="14.25">
      <c r="A242" s="633"/>
      <c r="B242" s="633"/>
      <c r="C242" s="633"/>
      <c r="D242" s="633"/>
      <c r="E242" s="633"/>
      <c r="F242" s="633"/>
      <c r="G242" s="633"/>
      <c r="H242" s="633"/>
      <c r="I242" s="633"/>
      <c r="J242" s="633"/>
      <c r="K242" s="633"/>
      <c r="L242" s="633"/>
    </row>
    <row r="243" spans="1:12" ht="14.25">
      <c r="A243" s="633"/>
      <c r="B243" s="633"/>
      <c r="C243" s="633"/>
      <c r="D243" s="633"/>
      <c r="E243" s="633"/>
      <c r="F243" s="633"/>
      <c r="G243" s="633"/>
      <c r="H243" s="633"/>
      <c r="I243" s="633"/>
      <c r="J243" s="633"/>
      <c r="K243" s="633"/>
      <c r="L243" s="633"/>
    </row>
    <row r="244" spans="1:12" ht="14.25">
      <c r="A244" s="633"/>
      <c r="B244" s="633"/>
      <c r="C244" s="633"/>
      <c r="D244" s="633"/>
      <c r="E244" s="633"/>
      <c r="F244" s="633"/>
      <c r="G244" s="633"/>
      <c r="H244" s="633"/>
      <c r="I244" s="633"/>
      <c r="J244" s="633"/>
      <c r="K244" s="633"/>
      <c r="L244" s="633"/>
    </row>
    <row r="245" spans="1:12" ht="14.25">
      <c r="A245" s="633"/>
      <c r="B245" s="633"/>
      <c r="C245" s="633"/>
      <c r="D245" s="633"/>
      <c r="E245" s="633"/>
      <c r="F245" s="633"/>
      <c r="G245" s="633"/>
      <c r="H245" s="633"/>
      <c r="I245" s="633"/>
      <c r="J245" s="633"/>
      <c r="K245" s="633"/>
      <c r="L245" s="633"/>
    </row>
    <row r="246" spans="1:12" ht="14.25">
      <c r="A246" s="633"/>
      <c r="B246" s="633"/>
      <c r="C246" s="633"/>
      <c r="D246" s="633"/>
      <c r="E246" s="633"/>
      <c r="F246" s="633"/>
      <c r="G246" s="633"/>
      <c r="H246" s="633"/>
      <c r="I246" s="633"/>
      <c r="J246" s="633"/>
      <c r="K246" s="633"/>
      <c r="L246" s="633"/>
    </row>
    <row r="247" spans="1:12" ht="14.25">
      <c r="A247" s="633"/>
      <c r="B247" s="633"/>
      <c r="C247" s="633"/>
      <c r="D247" s="633"/>
      <c r="E247" s="633"/>
      <c r="F247" s="633"/>
      <c r="G247" s="633"/>
      <c r="H247" s="633"/>
      <c r="I247" s="633"/>
      <c r="J247" s="633"/>
      <c r="K247" s="633"/>
      <c r="L247" s="633"/>
    </row>
    <row r="248" spans="1:12" ht="14.25">
      <c r="A248" s="633"/>
      <c r="B248" s="633"/>
      <c r="C248" s="633"/>
      <c r="D248" s="633"/>
      <c r="E248" s="633"/>
      <c r="F248" s="633"/>
      <c r="G248" s="633"/>
      <c r="H248" s="633"/>
      <c r="I248" s="633"/>
      <c r="J248" s="633"/>
      <c r="K248" s="633"/>
      <c r="L248" s="633"/>
    </row>
    <row r="249" spans="1:12" ht="14.25">
      <c r="A249" s="633"/>
      <c r="B249" s="633"/>
      <c r="C249" s="633"/>
      <c r="D249" s="633"/>
      <c r="E249" s="633"/>
      <c r="F249" s="633"/>
      <c r="G249" s="633"/>
      <c r="H249" s="633"/>
      <c r="I249" s="633"/>
      <c r="J249" s="633"/>
      <c r="K249" s="633"/>
      <c r="L249" s="633"/>
    </row>
    <row r="250" spans="1:12" ht="14.25">
      <c r="A250" s="633"/>
      <c r="B250" s="633"/>
      <c r="C250" s="633"/>
      <c r="D250" s="633"/>
      <c r="E250" s="633"/>
      <c r="F250" s="633"/>
      <c r="G250" s="633"/>
      <c r="H250" s="633"/>
      <c r="I250" s="633"/>
      <c r="J250" s="633"/>
      <c r="K250" s="633"/>
      <c r="L250" s="633"/>
    </row>
    <row r="251" spans="1:12" ht="14.25">
      <c r="A251" s="633"/>
      <c r="B251" s="633"/>
      <c r="C251" s="633"/>
      <c r="D251" s="633"/>
      <c r="E251" s="633"/>
      <c r="F251" s="633"/>
      <c r="G251" s="633"/>
      <c r="H251" s="633"/>
      <c r="I251" s="633"/>
      <c r="J251" s="633"/>
      <c r="K251" s="633"/>
      <c r="L251" s="633"/>
    </row>
    <row r="252" spans="1:12" ht="14.25">
      <c r="A252" s="633"/>
      <c r="B252" s="633"/>
      <c r="C252" s="633"/>
      <c r="D252" s="633"/>
      <c r="E252" s="633"/>
      <c r="F252" s="633"/>
      <c r="G252" s="633"/>
      <c r="H252" s="633"/>
      <c r="I252" s="633"/>
      <c r="J252" s="633"/>
      <c r="K252" s="633"/>
      <c r="L252" s="633"/>
    </row>
    <row r="253" spans="1:12" ht="14.25">
      <c r="A253" s="633"/>
      <c r="B253" s="633"/>
      <c r="C253" s="633"/>
      <c r="D253" s="633"/>
      <c r="E253" s="633"/>
      <c r="F253" s="633"/>
      <c r="G253" s="633"/>
      <c r="H253" s="633"/>
      <c r="I253" s="633"/>
      <c r="J253" s="633"/>
      <c r="K253" s="633"/>
      <c r="L253" s="633"/>
    </row>
    <row r="254" spans="1:12" ht="14.25">
      <c r="A254" s="633"/>
      <c r="B254" s="633"/>
      <c r="C254" s="633"/>
      <c r="D254" s="633"/>
      <c r="E254" s="633"/>
      <c r="F254" s="633"/>
      <c r="G254" s="633"/>
      <c r="H254" s="633"/>
      <c r="I254" s="633"/>
      <c r="J254" s="633"/>
      <c r="K254" s="633"/>
      <c r="L254" s="633"/>
    </row>
    <row r="255" spans="1:12" ht="14.25">
      <c r="A255" s="633"/>
      <c r="B255" s="633"/>
      <c r="C255" s="633"/>
      <c r="D255" s="633"/>
      <c r="E255" s="633"/>
      <c r="F255" s="633"/>
      <c r="G255" s="633"/>
      <c r="H255" s="633"/>
      <c r="I255" s="633"/>
      <c r="J255" s="633"/>
      <c r="K255" s="633"/>
      <c r="L255" s="633"/>
    </row>
    <row r="256" spans="1:12" ht="14.25">
      <c r="A256" s="633"/>
      <c r="B256" s="633"/>
      <c r="C256" s="633"/>
      <c r="D256" s="633"/>
      <c r="E256" s="633"/>
      <c r="F256" s="633"/>
      <c r="G256" s="633"/>
      <c r="H256" s="633"/>
      <c r="I256" s="633"/>
      <c r="J256" s="633"/>
      <c r="K256" s="633"/>
      <c r="L256" s="633"/>
    </row>
    <row r="257" spans="1:12" ht="14.25">
      <c r="A257" s="633"/>
      <c r="B257" s="633"/>
      <c r="C257" s="633"/>
      <c r="D257" s="633"/>
      <c r="E257" s="633"/>
      <c r="F257" s="633"/>
      <c r="G257" s="633"/>
      <c r="H257" s="633"/>
      <c r="I257" s="633"/>
      <c r="J257" s="633"/>
      <c r="K257" s="633"/>
      <c r="L257" s="633"/>
    </row>
    <row r="258" spans="1:12" ht="14.25">
      <c r="A258" s="633"/>
      <c r="B258" s="633"/>
      <c r="C258" s="633"/>
      <c r="D258" s="633"/>
      <c r="E258" s="633"/>
      <c r="F258" s="633"/>
      <c r="G258" s="633"/>
      <c r="H258" s="633"/>
      <c r="I258" s="633"/>
      <c r="J258" s="633"/>
      <c r="K258" s="633"/>
      <c r="L258" s="633"/>
    </row>
    <row r="259" spans="1:12" ht="14.25">
      <c r="A259" s="633"/>
      <c r="B259" s="633"/>
      <c r="C259" s="633"/>
      <c r="D259" s="633"/>
      <c r="E259" s="633"/>
      <c r="F259" s="633"/>
      <c r="G259" s="633"/>
      <c r="H259" s="633"/>
      <c r="I259" s="633"/>
      <c r="J259" s="633"/>
      <c r="K259" s="633"/>
      <c r="L259" s="633"/>
    </row>
    <row r="260" spans="1:12" ht="14.25">
      <c r="A260" s="633"/>
      <c r="B260" s="633"/>
      <c r="C260" s="633"/>
      <c r="D260" s="633"/>
      <c r="E260" s="633"/>
      <c r="F260" s="633"/>
      <c r="G260" s="633"/>
      <c r="H260" s="633"/>
      <c r="I260" s="633"/>
      <c r="J260" s="633"/>
      <c r="K260" s="633"/>
      <c r="L260" s="633"/>
    </row>
    <row r="261" spans="1:12" ht="14.25">
      <c r="A261" s="633"/>
      <c r="B261" s="633"/>
      <c r="C261" s="633"/>
      <c r="D261" s="633"/>
      <c r="E261" s="633"/>
      <c r="F261" s="633"/>
      <c r="G261" s="633"/>
      <c r="H261" s="633"/>
      <c r="I261" s="633"/>
      <c r="J261" s="633"/>
      <c r="K261" s="633"/>
      <c r="L261" s="633"/>
    </row>
    <row r="262" spans="1:12" ht="14.25">
      <c r="A262" s="633"/>
      <c r="B262" s="633"/>
      <c r="C262" s="633"/>
      <c r="D262" s="633"/>
      <c r="E262" s="633"/>
      <c r="F262" s="633"/>
      <c r="G262" s="633"/>
      <c r="H262" s="633"/>
      <c r="I262" s="633"/>
      <c r="J262" s="633"/>
      <c r="K262" s="633"/>
      <c r="L262" s="633"/>
    </row>
    <row r="263" spans="1:12" ht="14.25">
      <c r="A263" s="633"/>
      <c r="B263" s="633"/>
      <c r="C263" s="633"/>
      <c r="D263" s="633"/>
      <c r="E263" s="633"/>
      <c r="F263" s="633"/>
      <c r="G263" s="633"/>
      <c r="H263" s="633"/>
      <c r="I263" s="633"/>
      <c r="J263" s="633"/>
      <c r="K263" s="633"/>
      <c r="L263" s="633"/>
    </row>
    <row r="264" spans="1:12" ht="14.25">
      <c r="A264" s="633"/>
      <c r="B264" s="633"/>
      <c r="C264" s="633"/>
      <c r="D264" s="633"/>
      <c r="E264" s="633"/>
      <c r="F264" s="633"/>
      <c r="G264" s="633"/>
      <c r="H264" s="633"/>
      <c r="I264" s="633"/>
      <c r="J264" s="633"/>
      <c r="K264" s="633"/>
      <c r="L264" s="633"/>
    </row>
    <row r="265" spans="1:12" ht="14.25">
      <c r="A265" s="633"/>
      <c r="B265" s="633"/>
      <c r="C265" s="633"/>
      <c r="D265" s="633"/>
      <c r="E265" s="633"/>
      <c r="F265" s="633"/>
      <c r="G265" s="633"/>
      <c r="H265" s="633"/>
      <c r="I265" s="633"/>
      <c r="J265" s="633"/>
      <c r="K265" s="633"/>
      <c r="L265" s="633"/>
    </row>
    <row r="266" spans="1:12" ht="14.25">
      <c r="A266" s="633"/>
      <c r="B266" s="633"/>
      <c r="C266" s="633"/>
      <c r="D266" s="633"/>
      <c r="E266" s="633"/>
      <c r="F266" s="633"/>
      <c r="G266" s="633"/>
      <c r="H266" s="633"/>
      <c r="I266" s="633"/>
      <c r="J266" s="633"/>
      <c r="K266" s="633"/>
      <c r="L266" s="633"/>
    </row>
    <row r="267" spans="1:12" ht="14.25">
      <c r="A267" s="633"/>
      <c r="B267" s="633"/>
      <c r="C267" s="633"/>
      <c r="D267" s="633"/>
      <c r="E267" s="633"/>
      <c r="F267" s="633"/>
      <c r="G267" s="633"/>
      <c r="H267" s="633"/>
      <c r="I267" s="633"/>
      <c r="J267" s="633"/>
      <c r="K267" s="633"/>
      <c r="L267" s="633"/>
    </row>
    <row r="268" spans="1:12" ht="14.25">
      <c r="A268" s="633"/>
      <c r="B268" s="633"/>
      <c r="C268" s="633"/>
      <c r="D268" s="633"/>
      <c r="E268" s="633"/>
      <c r="F268" s="633"/>
      <c r="G268" s="633"/>
      <c r="H268" s="633"/>
      <c r="I268" s="633"/>
      <c r="J268" s="633"/>
      <c r="K268" s="633"/>
      <c r="L268" s="633"/>
    </row>
    <row r="269" spans="1:12" ht="14.25">
      <c r="A269" s="633"/>
      <c r="B269" s="633"/>
      <c r="C269" s="633"/>
      <c r="D269" s="633"/>
      <c r="E269" s="633"/>
      <c r="F269" s="633"/>
      <c r="G269" s="633"/>
      <c r="H269" s="633"/>
      <c r="I269" s="633"/>
      <c r="J269" s="633"/>
      <c r="K269" s="633"/>
      <c r="L269" s="633"/>
    </row>
    <row r="270" spans="1:12" ht="14.25">
      <c r="A270" s="633"/>
      <c r="B270" s="633"/>
      <c r="C270" s="633"/>
      <c r="D270" s="633"/>
      <c r="E270" s="633"/>
      <c r="F270" s="633"/>
      <c r="G270" s="633"/>
      <c r="H270" s="633"/>
      <c r="I270" s="633"/>
      <c r="J270" s="633"/>
      <c r="K270" s="633"/>
      <c r="L270" s="633"/>
    </row>
    <row r="271" spans="1:12" ht="14.25">
      <c r="A271" s="633"/>
      <c r="B271" s="633"/>
      <c r="C271" s="633"/>
      <c r="D271" s="633"/>
      <c r="E271" s="633"/>
      <c r="F271" s="633"/>
      <c r="G271" s="633"/>
      <c r="H271" s="633"/>
      <c r="I271" s="633"/>
      <c r="J271" s="633"/>
      <c r="K271" s="633"/>
      <c r="L271" s="633"/>
    </row>
    <row r="272" spans="1:12" ht="14.25">
      <c r="A272" s="633"/>
      <c r="B272" s="633"/>
      <c r="C272" s="633"/>
      <c r="D272" s="633"/>
      <c r="E272" s="633"/>
      <c r="F272" s="633"/>
      <c r="G272" s="633"/>
      <c r="H272" s="633"/>
      <c r="I272" s="633"/>
      <c r="J272" s="633"/>
      <c r="K272" s="633"/>
      <c r="L272" s="633"/>
    </row>
    <row r="273" spans="1:12" ht="14.25">
      <c r="A273" s="633"/>
      <c r="B273" s="633"/>
      <c r="C273" s="633"/>
      <c r="D273" s="633"/>
      <c r="E273" s="633"/>
      <c r="F273" s="633"/>
      <c r="G273" s="633"/>
      <c r="H273" s="633"/>
      <c r="I273" s="633"/>
      <c r="J273" s="633"/>
      <c r="K273" s="633"/>
      <c r="L273" s="633"/>
    </row>
    <row r="274" spans="1:12" ht="14.25">
      <c r="A274" s="633"/>
      <c r="B274" s="633"/>
      <c r="C274" s="633"/>
      <c r="D274" s="633"/>
      <c r="E274" s="633"/>
      <c r="F274" s="633"/>
      <c r="G274" s="633"/>
      <c r="H274" s="633"/>
      <c r="I274" s="633"/>
      <c r="J274" s="633"/>
      <c r="K274" s="633"/>
      <c r="L274" s="633"/>
    </row>
    <row r="275" spans="1:12" ht="14.25">
      <c r="A275" s="633"/>
      <c r="B275" s="633"/>
      <c r="C275" s="633"/>
      <c r="D275" s="633"/>
      <c r="E275" s="633"/>
      <c r="F275" s="633"/>
      <c r="G275" s="633"/>
      <c r="H275" s="633"/>
      <c r="I275" s="633"/>
      <c r="J275" s="633"/>
      <c r="K275" s="633"/>
      <c r="L275" s="633"/>
    </row>
    <row r="276" spans="1:12" ht="14.25">
      <c r="A276" s="633"/>
      <c r="B276" s="633"/>
      <c r="C276" s="633"/>
      <c r="D276" s="633"/>
      <c r="E276" s="633"/>
      <c r="F276" s="633"/>
      <c r="G276" s="633"/>
      <c r="H276" s="633"/>
      <c r="I276" s="633"/>
      <c r="J276" s="633"/>
      <c r="K276" s="633"/>
      <c r="L276" s="633"/>
    </row>
    <row r="277" spans="1:12" ht="14.25">
      <c r="A277" s="633"/>
      <c r="B277" s="633"/>
      <c r="C277" s="633"/>
      <c r="D277" s="633"/>
      <c r="E277" s="633"/>
      <c r="F277" s="633"/>
      <c r="G277" s="633"/>
      <c r="H277" s="633"/>
      <c r="I277" s="633"/>
      <c r="J277" s="633"/>
      <c r="K277" s="633"/>
      <c r="L277" s="633"/>
    </row>
    <row r="278" spans="1:12" ht="14.25">
      <c r="A278" s="633"/>
      <c r="B278" s="633"/>
      <c r="C278" s="633"/>
      <c r="D278" s="633"/>
      <c r="E278" s="633"/>
      <c r="F278" s="633"/>
      <c r="G278" s="633"/>
      <c r="H278" s="633"/>
      <c r="I278" s="633"/>
      <c r="J278" s="633"/>
      <c r="K278" s="633"/>
      <c r="L278" s="633"/>
    </row>
    <row r="279" spans="1:12" ht="14.25">
      <c r="A279" s="633"/>
      <c r="B279" s="633"/>
      <c r="C279" s="633"/>
      <c r="D279" s="633"/>
      <c r="E279" s="633"/>
      <c r="F279" s="633"/>
      <c r="G279" s="633"/>
      <c r="H279" s="633"/>
      <c r="I279" s="633"/>
      <c r="J279" s="633"/>
      <c r="K279" s="633"/>
      <c r="L279" s="633"/>
    </row>
    <row r="280" spans="1:12" ht="14.25">
      <c r="A280" s="633"/>
      <c r="B280" s="633"/>
      <c r="C280" s="633"/>
      <c r="D280" s="633"/>
      <c r="E280" s="633"/>
      <c r="F280" s="633"/>
      <c r="G280" s="633"/>
      <c r="H280" s="633"/>
      <c r="I280" s="633"/>
      <c r="J280" s="633"/>
      <c r="K280" s="633"/>
      <c r="L280" s="633"/>
    </row>
    <row r="281" spans="1:12" ht="14.25">
      <c r="A281" s="633"/>
      <c r="B281" s="633"/>
      <c r="C281" s="633"/>
      <c r="D281" s="633"/>
      <c r="E281" s="633"/>
      <c r="F281" s="633"/>
      <c r="G281" s="633"/>
      <c r="H281" s="633"/>
      <c r="I281" s="633"/>
      <c r="J281" s="633"/>
      <c r="K281" s="633"/>
      <c r="L281" s="633"/>
    </row>
    <row r="282" spans="1:12" ht="14.25">
      <c r="A282" s="633"/>
      <c r="B282" s="633"/>
      <c r="C282" s="633"/>
      <c r="D282" s="633"/>
      <c r="E282" s="633"/>
      <c r="F282" s="633"/>
      <c r="G282" s="633"/>
      <c r="H282" s="633"/>
      <c r="I282" s="633"/>
      <c r="J282" s="633"/>
      <c r="K282" s="633"/>
      <c r="L282" s="633"/>
    </row>
    <row r="283" spans="1:12" ht="14.25">
      <c r="A283" s="633"/>
      <c r="B283" s="633"/>
      <c r="C283" s="633"/>
      <c r="D283" s="633"/>
      <c r="E283" s="633"/>
      <c r="F283" s="633"/>
      <c r="G283" s="633"/>
      <c r="H283" s="633"/>
      <c r="I283" s="633"/>
      <c r="J283" s="633"/>
      <c r="K283" s="633"/>
      <c r="L283" s="633"/>
    </row>
    <row r="284" spans="1:12" ht="14.25">
      <c r="A284" s="633"/>
      <c r="B284" s="633"/>
      <c r="C284" s="633"/>
      <c r="D284" s="633"/>
      <c r="E284" s="633"/>
      <c r="F284" s="633"/>
      <c r="G284" s="633"/>
      <c r="H284" s="633"/>
      <c r="I284" s="633"/>
      <c r="J284" s="633"/>
      <c r="K284" s="633"/>
      <c r="L284" s="633"/>
    </row>
    <row r="285" spans="1:12" ht="14.25">
      <c r="A285" s="633"/>
      <c r="B285" s="633"/>
      <c r="C285" s="633"/>
      <c r="D285" s="633"/>
      <c r="E285" s="633"/>
      <c r="F285" s="633"/>
      <c r="G285" s="633"/>
      <c r="H285" s="633"/>
      <c r="I285" s="633"/>
      <c r="J285" s="633"/>
      <c r="K285" s="633"/>
      <c r="L285" s="633"/>
    </row>
    <row r="286" spans="1:12" ht="14.25">
      <c r="A286" s="633"/>
      <c r="B286" s="633"/>
      <c r="C286" s="633"/>
      <c r="D286" s="633"/>
      <c r="E286" s="633"/>
      <c r="F286" s="633"/>
      <c r="G286" s="633"/>
      <c r="H286" s="633"/>
      <c r="I286" s="633"/>
      <c r="J286" s="633"/>
      <c r="K286" s="633"/>
      <c r="L286" s="633"/>
    </row>
    <row r="287" spans="1:12" ht="14.25">
      <c r="A287" s="633"/>
      <c r="B287" s="633"/>
      <c r="C287" s="633"/>
      <c r="D287" s="633"/>
      <c r="E287" s="633"/>
      <c r="F287" s="633"/>
      <c r="G287" s="633"/>
      <c r="H287" s="633"/>
      <c r="I287" s="633"/>
      <c r="J287" s="633"/>
      <c r="K287" s="633"/>
      <c r="L287" s="633"/>
    </row>
    <row r="288" spans="1:12" ht="14.25">
      <c r="A288" s="633"/>
      <c r="B288" s="633"/>
      <c r="C288" s="633"/>
      <c r="D288" s="633"/>
      <c r="E288" s="633"/>
      <c r="F288" s="633"/>
      <c r="G288" s="633"/>
      <c r="H288" s="633"/>
      <c r="I288" s="633"/>
      <c r="J288" s="633"/>
      <c r="K288" s="633"/>
      <c r="L288" s="633"/>
    </row>
    <row r="289" spans="1:12" ht="14.25">
      <c r="A289" s="633"/>
      <c r="B289" s="633"/>
      <c r="C289" s="633"/>
      <c r="D289" s="633"/>
      <c r="E289" s="633"/>
      <c r="F289" s="633"/>
      <c r="G289" s="633"/>
      <c r="H289" s="633"/>
      <c r="I289" s="633"/>
      <c r="J289" s="633"/>
      <c r="K289" s="633"/>
      <c r="L289" s="633"/>
    </row>
    <row r="290" spans="1:12" ht="14.25">
      <c r="A290" s="633"/>
      <c r="B290" s="633"/>
      <c r="C290" s="633"/>
      <c r="D290" s="633"/>
      <c r="E290" s="633"/>
      <c r="F290" s="633"/>
      <c r="G290" s="633"/>
      <c r="H290" s="633"/>
      <c r="I290" s="633"/>
      <c r="J290" s="633"/>
      <c r="K290" s="633"/>
      <c r="L290" s="633"/>
    </row>
    <row r="291" spans="1:12" ht="14.25">
      <c r="A291" s="633"/>
      <c r="B291" s="633"/>
      <c r="C291" s="633"/>
      <c r="D291" s="633"/>
      <c r="E291" s="633"/>
      <c r="F291" s="633"/>
      <c r="G291" s="633"/>
      <c r="H291" s="633"/>
      <c r="I291" s="633"/>
      <c r="J291" s="633"/>
      <c r="K291" s="633"/>
      <c r="L291" s="633"/>
    </row>
    <row r="292" spans="1:12" ht="14.25">
      <c r="A292" s="633"/>
      <c r="B292" s="633"/>
      <c r="C292" s="633"/>
      <c r="D292" s="633"/>
      <c r="E292" s="633"/>
      <c r="F292" s="633"/>
      <c r="G292" s="633"/>
      <c r="H292" s="633"/>
      <c r="I292" s="633"/>
      <c r="J292" s="633"/>
      <c r="K292" s="633"/>
      <c r="L292" s="633"/>
    </row>
    <row r="293" spans="1:12" ht="14.25">
      <c r="A293" s="633"/>
      <c r="B293" s="633"/>
      <c r="C293" s="633"/>
      <c r="D293" s="633"/>
      <c r="E293" s="633"/>
      <c r="F293" s="633"/>
      <c r="G293" s="633"/>
      <c r="H293" s="633"/>
      <c r="I293" s="633"/>
      <c r="J293" s="633"/>
      <c r="K293" s="633"/>
      <c r="L293" s="633"/>
    </row>
    <row r="294" spans="1:12" ht="14.25">
      <c r="A294" s="633"/>
      <c r="B294" s="633"/>
      <c r="C294" s="633"/>
      <c r="D294" s="633"/>
      <c r="E294" s="633"/>
      <c r="F294" s="633"/>
      <c r="G294" s="633"/>
      <c r="H294" s="633"/>
      <c r="I294" s="633"/>
      <c r="J294" s="633"/>
      <c r="K294" s="633"/>
      <c r="L294" s="633"/>
    </row>
    <row r="295" spans="1:12" ht="14.25">
      <c r="A295" s="633"/>
      <c r="B295" s="633"/>
      <c r="C295" s="633"/>
      <c r="D295" s="633"/>
      <c r="E295" s="633"/>
      <c r="F295" s="633"/>
      <c r="G295" s="633"/>
      <c r="H295" s="633"/>
      <c r="I295" s="633"/>
      <c r="J295" s="633"/>
      <c r="K295" s="633"/>
      <c r="L295" s="633"/>
    </row>
    <row r="296" spans="1:12" ht="14.25">
      <c r="A296" s="633"/>
      <c r="B296" s="633"/>
      <c r="C296" s="633"/>
      <c r="D296" s="633"/>
      <c r="E296" s="633"/>
      <c r="F296" s="633"/>
      <c r="G296" s="633"/>
      <c r="H296" s="633"/>
      <c r="I296" s="633"/>
      <c r="J296" s="633"/>
      <c r="K296" s="633"/>
      <c r="L296" s="633"/>
    </row>
    <row r="297" spans="1:12" ht="14.25">
      <c r="A297" s="633"/>
      <c r="B297" s="633"/>
      <c r="C297" s="633"/>
      <c r="D297" s="633"/>
      <c r="E297" s="633"/>
      <c r="F297" s="633"/>
      <c r="G297" s="633"/>
      <c r="H297" s="633"/>
      <c r="I297" s="633"/>
      <c r="J297" s="633"/>
      <c r="K297" s="633"/>
      <c r="L297" s="633"/>
    </row>
    <row r="298" spans="1:12" ht="14.25">
      <c r="A298" s="633"/>
      <c r="B298" s="633"/>
      <c r="C298" s="633"/>
      <c r="D298" s="633"/>
      <c r="E298" s="633"/>
      <c r="F298" s="633"/>
      <c r="G298" s="633"/>
      <c r="H298" s="633"/>
      <c r="I298" s="633"/>
      <c r="J298" s="633"/>
      <c r="K298" s="633"/>
      <c r="L298" s="633"/>
    </row>
    <row r="299" spans="1:12" ht="14.25">
      <c r="A299" s="633"/>
      <c r="B299" s="633"/>
      <c r="C299" s="633"/>
      <c r="D299" s="633"/>
      <c r="E299" s="633"/>
      <c r="F299" s="633"/>
      <c r="G299" s="633"/>
      <c r="H299" s="633"/>
      <c r="I299" s="633"/>
      <c r="J299" s="633"/>
      <c r="K299" s="633"/>
      <c r="L299" s="633"/>
    </row>
    <row r="300" spans="1:12" ht="14.25">
      <c r="A300" s="633"/>
      <c r="B300" s="633"/>
      <c r="C300" s="633"/>
      <c r="D300" s="633"/>
      <c r="E300" s="633"/>
      <c r="F300" s="633"/>
      <c r="G300" s="633"/>
      <c r="H300" s="633"/>
      <c r="I300" s="633"/>
      <c r="J300" s="633"/>
      <c r="K300" s="633"/>
      <c r="L300" s="633"/>
    </row>
    <row r="301" spans="1:12" ht="14.25">
      <c r="A301" s="633"/>
      <c r="B301" s="633"/>
      <c r="C301" s="633"/>
      <c r="D301" s="633"/>
      <c r="E301" s="633"/>
      <c r="F301" s="633"/>
      <c r="G301" s="633"/>
      <c r="H301" s="633"/>
      <c r="I301" s="633"/>
      <c r="J301" s="633"/>
      <c r="K301" s="633"/>
      <c r="L301" s="633"/>
    </row>
    <row r="302" spans="1:12" ht="14.25">
      <c r="A302" s="633"/>
      <c r="B302" s="633"/>
      <c r="C302" s="633"/>
      <c r="D302" s="633"/>
      <c r="E302" s="633"/>
      <c r="F302" s="633"/>
      <c r="G302" s="633"/>
      <c r="H302" s="633"/>
      <c r="I302" s="633"/>
      <c r="J302" s="633"/>
      <c r="K302" s="633"/>
      <c r="L302" s="633"/>
    </row>
    <row r="303" spans="1:12" ht="14.25">
      <c r="A303" s="633"/>
      <c r="B303" s="633"/>
      <c r="C303" s="633"/>
      <c r="D303" s="633"/>
      <c r="E303" s="633"/>
      <c r="F303" s="633"/>
      <c r="G303" s="633"/>
      <c r="H303" s="633"/>
      <c r="I303" s="633"/>
      <c r="J303" s="633"/>
      <c r="K303" s="633"/>
      <c r="L303" s="633"/>
    </row>
    <row r="304" spans="1:12" ht="14.25">
      <c r="A304" s="633"/>
      <c r="B304" s="633"/>
      <c r="C304" s="633"/>
      <c r="D304" s="633"/>
      <c r="E304" s="633"/>
      <c r="F304" s="633"/>
      <c r="G304" s="633"/>
      <c r="H304" s="633"/>
      <c r="I304" s="633"/>
      <c r="J304" s="633"/>
      <c r="K304" s="633"/>
      <c r="L304" s="633"/>
    </row>
    <row r="305" spans="1:12" ht="14.25">
      <c r="A305" s="633"/>
      <c r="B305" s="633"/>
      <c r="C305" s="633"/>
      <c r="D305" s="633"/>
      <c r="E305" s="633"/>
      <c r="F305" s="633"/>
      <c r="G305" s="633"/>
      <c r="H305" s="633"/>
      <c r="I305" s="633"/>
      <c r="J305" s="633"/>
      <c r="K305" s="633"/>
      <c r="L305" s="633"/>
    </row>
    <row r="306" spans="1:12" ht="14.25">
      <c r="A306" s="633"/>
      <c r="B306" s="633"/>
      <c r="C306" s="633"/>
      <c r="D306" s="633"/>
      <c r="E306" s="633"/>
      <c r="F306" s="633"/>
      <c r="G306" s="633"/>
      <c r="H306" s="633"/>
      <c r="I306" s="633"/>
      <c r="J306" s="633"/>
      <c r="K306" s="633"/>
      <c r="L306" s="633"/>
    </row>
    <row r="307" spans="1:12" ht="14.25">
      <c r="A307" s="633"/>
      <c r="B307" s="633"/>
      <c r="C307" s="633"/>
      <c r="D307" s="633"/>
      <c r="E307" s="633"/>
      <c r="F307" s="633"/>
      <c r="G307" s="633"/>
      <c r="H307" s="633"/>
      <c r="I307" s="633"/>
      <c r="J307" s="633"/>
      <c r="K307" s="633"/>
      <c r="L307" s="633"/>
    </row>
    <row r="308" spans="1:12" ht="14.25">
      <c r="A308" s="633"/>
      <c r="B308" s="633"/>
      <c r="C308" s="633"/>
      <c r="D308" s="633"/>
      <c r="E308" s="633"/>
      <c r="F308" s="633"/>
      <c r="G308" s="633"/>
      <c r="H308" s="633"/>
      <c r="I308" s="633"/>
      <c r="J308" s="633"/>
      <c r="K308" s="633"/>
      <c r="L308" s="633"/>
    </row>
    <row r="309" spans="1:12" ht="14.25">
      <c r="A309" s="633"/>
      <c r="B309" s="633"/>
      <c r="C309" s="633"/>
      <c r="D309" s="633"/>
      <c r="E309" s="633"/>
      <c r="F309" s="633"/>
      <c r="G309" s="633"/>
      <c r="H309" s="633"/>
      <c r="I309" s="633"/>
      <c r="J309" s="633"/>
      <c r="K309" s="633"/>
      <c r="L309" s="633"/>
    </row>
    <row r="310" spans="1:12" ht="14.25">
      <c r="A310" s="633"/>
      <c r="B310" s="633"/>
      <c r="C310" s="633"/>
      <c r="D310" s="633"/>
      <c r="E310" s="633"/>
      <c r="F310" s="633"/>
      <c r="G310" s="633"/>
      <c r="H310" s="633"/>
      <c r="I310" s="633"/>
      <c r="J310" s="633"/>
      <c r="K310" s="633"/>
      <c r="L310" s="633"/>
    </row>
    <row r="311" spans="1:12" ht="14.25">
      <c r="A311" s="633"/>
      <c r="B311" s="633"/>
      <c r="C311" s="633"/>
      <c r="D311" s="633"/>
      <c r="E311" s="633"/>
      <c r="F311" s="633"/>
      <c r="G311" s="633"/>
      <c r="H311" s="633"/>
      <c r="I311" s="633"/>
      <c r="J311" s="633"/>
      <c r="K311" s="633"/>
      <c r="L311" s="633"/>
    </row>
    <row r="312" spans="1:12" ht="14.25">
      <c r="A312" s="633"/>
      <c r="B312" s="633"/>
      <c r="C312" s="633"/>
      <c r="D312" s="633"/>
      <c r="E312" s="633"/>
      <c r="F312" s="633"/>
      <c r="G312" s="633"/>
      <c r="H312" s="633"/>
      <c r="I312" s="633"/>
      <c r="J312" s="633"/>
      <c r="K312" s="633"/>
      <c r="L312" s="633"/>
    </row>
    <row r="313" spans="1:12" ht="14.25">
      <c r="A313" s="633"/>
      <c r="B313" s="633"/>
      <c r="C313" s="633"/>
      <c r="D313" s="633"/>
      <c r="E313" s="633"/>
      <c r="F313" s="633"/>
      <c r="G313" s="633"/>
      <c r="H313" s="633"/>
      <c r="I313" s="633"/>
      <c r="J313" s="633"/>
      <c r="K313" s="633"/>
      <c r="L313" s="633"/>
    </row>
    <row r="314" spans="1:12" ht="14.25">
      <c r="A314" s="633"/>
      <c r="B314" s="633"/>
      <c r="C314" s="633"/>
      <c r="D314" s="633"/>
      <c r="E314" s="633"/>
      <c r="F314" s="633"/>
      <c r="G314" s="633"/>
      <c r="H314" s="633"/>
      <c r="I314" s="633"/>
      <c r="J314" s="633"/>
      <c r="K314" s="633"/>
      <c r="L314" s="633"/>
    </row>
    <row r="315" spans="1:12" ht="14.25">
      <c r="A315" s="633"/>
      <c r="B315" s="633"/>
      <c r="C315" s="633"/>
      <c r="D315" s="633"/>
      <c r="E315" s="633"/>
      <c r="F315" s="633"/>
      <c r="G315" s="633"/>
      <c r="H315" s="633"/>
      <c r="I315" s="633"/>
      <c r="J315" s="633"/>
      <c r="K315" s="633"/>
      <c r="L315" s="633"/>
    </row>
    <row r="316" spans="1:12" ht="14.25">
      <c r="A316" s="633"/>
      <c r="B316" s="633"/>
      <c r="C316" s="633"/>
      <c r="D316" s="633"/>
      <c r="E316" s="633"/>
      <c r="F316" s="633"/>
      <c r="G316" s="633"/>
      <c r="H316" s="633"/>
      <c r="I316" s="633"/>
      <c r="J316" s="633"/>
      <c r="K316" s="633"/>
      <c r="L316" s="633"/>
    </row>
    <row r="317" spans="1:12" ht="14.25">
      <c r="A317" s="633"/>
      <c r="B317" s="633"/>
      <c r="C317" s="633"/>
      <c r="D317" s="633"/>
      <c r="E317" s="633"/>
      <c r="F317" s="633"/>
      <c r="G317" s="633"/>
      <c r="H317" s="633"/>
      <c r="I317" s="633"/>
      <c r="J317" s="633"/>
      <c r="K317" s="633"/>
      <c r="L317" s="633"/>
    </row>
    <row r="318" spans="1:12" ht="14.25">
      <c r="A318" s="633"/>
      <c r="B318" s="633"/>
      <c r="C318" s="633"/>
      <c r="D318" s="633"/>
      <c r="E318" s="633"/>
      <c r="F318" s="633"/>
      <c r="G318" s="633"/>
      <c r="H318" s="633"/>
      <c r="I318" s="633"/>
      <c r="J318" s="633"/>
      <c r="K318" s="633"/>
      <c r="L318" s="633"/>
    </row>
    <row r="319" spans="1:12" ht="14.25">
      <c r="A319" s="633"/>
      <c r="B319" s="633"/>
      <c r="C319" s="633"/>
      <c r="D319" s="633"/>
      <c r="E319" s="633"/>
      <c r="F319" s="633"/>
      <c r="G319" s="633"/>
      <c r="H319" s="633"/>
      <c r="I319" s="633"/>
      <c r="J319" s="633"/>
      <c r="K319" s="633"/>
      <c r="L319" s="633"/>
    </row>
    <row r="320" spans="1:12" ht="14.25">
      <c r="A320" s="633"/>
      <c r="B320" s="633"/>
      <c r="C320" s="633"/>
      <c r="D320" s="633"/>
      <c r="E320" s="633"/>
      <c r="F320" s="633"/>
      <c r="G320" s="633"/>
      <c r="H320" s="633"/>
      <c r="I320" s="633"/>
      <c r="J320" s="633"/>
      <c r="K320" s="633"/>
      <c r="L320" s="633"/>
    </row>
    <row r="321" spans="1:12" ht="14.25">
      <c r="A321" s="633"/>
      <c r="B321" s="633"/>
      <c r="C321" s="633"/>
      <c r="D321" s="633"/>
      <c r="E321" s="633"/>
      <c r="F321" s="633"/>
      <c r="G321" s="633"/>
      <c r="H321" s="633"/>
      <c r="I321" s="633"/>
      <c r="J321" s="633"/>
      <c r="K321" s="633"/>
      <c r="L321" s="633"/>
    </row>
    <row r="322" spans="1:12" ht="14.25">
      <c r="A322" s="633"/>
      <c r="B322" s="633"/>
      <c r="C322" s="633"/>
      <c r="D322" s="633"/>
      <c r="E322" s="633"/>
      <c r="F322" s="633"/>
      <c r="G322" s="633"/>
      <c r="H322" s="633"/>
      <c r="I322" s="633"/>
      <c r="J322" s="633"/>
      <c r="K322" s="633"/>
      <c r="L322" s="633"/>
    </row>
    <row r="323" spans="1:12" ht="14.25">
      <c r="A323" s="633"/>
      <c r="B323" s="633"/>
      <c r="C323" s="633"/>
      <c r="D323" s="633"/>
      <c r="E323" s="633"/>
      <c r="F323" s="633"/>
      <c r="G323" s="633"/>
      <c r="H323" s="633"/>
      <c r="I323" s="633"/>
      <c r="J323" s="633"/>
      <c r="K323" s="633"/>
      <c r="L323" s="633"/>
    </row>
    <row r="324" spans="1:12" ht="14.25">
      <c r="A324" s="633"/>
      <c r="B324" s="633"/>
      <c r="C324" s="633"/>
      <c r="D324" s="633"/>
      <c r="E324" s="633"/>
      <c r="F324" s="633"/>
      <c r="G324" s="633"/>
      <c r="H324" s="633"/>
      <c r="I324" s="633"/>
      <c r="J324" s="633"/>
      <c r="K324" s="633"/>
      <c r="L324" s="633"/>
    </row>
    <row r="325" spans="1:12" ht="14.25">
      <c r="A325" s="633"/>
      <c r="B325" s="633"/>
      <c r="C325" s="633"/>
      <c r="D325" s="633"/>
      <c r="E325" s="633"/>
      <c r="F325" s="633"/>
      <c r="G325" s="633"/>
      <c r="H325" s="633"/>
      <c r="I325" s="633"/>
      <c r="J325" s="633"/>
      <c r="K325" s="633"/>
      <c r="L325" s="633"/>
    </row>
    <row r="326" spans="1:12" ht="14.25">
      <c r="A326" s="633"/>
      <c r="B326" s="633"/>
      <c r="C326" s="633"/>
      <c r="D326" s="633"/>
      <c r="E326" s="633"/>
      <c r="F326" s="633"/>
      <c r="G326" s="633"/>
      <c r="H326" s="633"/>
      <c r="I326" s="633"/>
      <c r="J326" s="633"/>
      <c r="K326" s="633"/>
      <c r="L326" s="633"/>
    </row>
    <row r="327" spans="1:12" ht="14.25">
      <c r="A327" s="633"/>
      <c r="B327" s="633"/>
      <c r="C327" s="633"/>
      <c r="D327" s="633"/>
      <c r="E327" s="633"/>
      <c r="F327" s="633"/>
      <c r="G327" s="633"/>
      <c r="H327" s="633"/>
      <c r="I327" s="633"/>
      <c r="J327" s="633"/>
      <c r="K327" s="633"/>
      <c r="L327" s="633"/>
    </row>
    <row r="328" spans="1:12" ht="14.25">
      <c r="A328" s="633"/>
      <c r="B328" s="633"/>
      <c r="C328" s="633"/>
      <c r="D328" s="633"/>
      <c r="E328" s="633"/>
      <c r="F328" s="633"/>
      <c r="G328" s="633"/>
      <c r="H328" s="633"/>
      <c r="I328" s="633"/>
      <c r="J328" s="633"/>
      <c r="K328" s="633"/>
      <c r="L328" s="633"/>
    </row>
    <row r="329" spans="1:12" ht="14.25">
      <c r="A329" s="633"/>
      <c r="B329" s="633"/>
      <c r="C329" s="633"/>
      <c r="D329" s="633"/>
      <c r="E329" s="633"/>
      <c r="F329" s="633"/>
      <c r="G329" s="633"/>
      <c r="H329" s="633"/>
      <c r="I329" s="633"/>
      <c r="J329" s="633"/>
      <c r="K329" s="633"/>
      <c r="L329" s="633"/>
    </row>
    <row r="330" spans="1:12" ht="14.25">
      <c r="A330" s="633"/>
      <c r="B330" s="633"/>
      <c r="C330" s="633"/>
      <c r="D330" s="633"/>
      <c r="E330" s="633"/>
      <c r="F330" s="633"/>
      <c r="G330" s="633"/>
      <c r="H330" s="633"/>
      <c r="I330" s="633"/>
      <c r="J330" s="633"/>
      <c r="K330" s="633"/>
      <c r="L330" s="633"/>
    </row>
    <row r="331" spans="1:12" ht="14.25">
      <c r="A331" s="633"/>
      <c r="B331" s="633"/>
      <c r="C331" s="633"/>
      <c r="D331" s="633"/>
      <c r="E331" s="633"/>
      <c r="F331" s="633"/>
      <c r="G331" s="633"/>
      <c r="H331" s="633"/>
      <c r="I331" s="633"/>
      <c r="J331" s="633"/>
      <c r="K331" s="633"/>
      <c r="L331" s="633"/>
    </row>
    <row r="332" spans="1:12" ht="14.25">
      <c r="A332" s="633"/>
      <c r="B332" s="633"/>
      <c r="C332" s="633"/>
      <c r="D332" s="633"/>
      <c r="E332" s="633"/>
      <c r="F332" s="633"/>
      <c r="G332" s="633"/>
      <c r="H332" s="633"/>
      <c r="I332" s="633"/>
      <c r="J332" s="633"/>
      <c r="K332" s="633"/>
      <c r="L332" s="633"/>
    </row>
    <row r="333" spans="1:12" ht="14.25">
      <c r="A333" s="633"/>
      <c r="B333" s="633"/>
      <c r="C333" s="633"/>
      <c r="D333" s="633"/>
      <c r="E333" s="633"/>
      <c r="F333" s="633"/>
      <c r="G333" s="633"/>
      <c r="H333" s="633"/>
      <c r="I333" s="633"/>
      <c r="J333" s="633"/>
      <c r="K333" s="633"/>
      <c r="L333" s="633"/>
    </row>
    <row r="334" spans="1:12" ht="14.25">
      <c r="A334" s="633"/>
      <c r="B334" s="633"/>
      <c r="C334" s="633"/>
      <c r="D334" s="633"/>
      <c r="E334" s="633"/>
      <c r="F334" s="633"/>
      <c r="G334" s="633"/>
      <c r="H334" s="633"/>
      <c r="I334" s="633"/>
      <c r="J334" s="633"/>
      <c r="K334" s="633"/>
      <c r="L334" s="633"/>
    </row>
    <row r="335" spans="1:12" ht="14.25">
      <c r="A335" s="633"/>
      <c r="B335" s="633"/>
      <c r="C335" s="633"/>
      <c r="D335" s="633"/>
      <c r="E335" s="633"/>
      <c r="F335" s="633"/>
      <c r="G335" s="633"/>
      <c r="H335" s="633"/>
      <c r="I335" s="633"/>
      <c r="J335" s="633"/>
      <c r="K335" s="633"/>
      <c r="L335" s="633"/>
    </row>
    <row r="336" spans="1:12" ht="14.25">
      <c r="A336" s="633"/>
      <c r="B336" s="633"/>
      <c r="C336" s="633"/>
      <c r="D336" s="633"/>
      <c r="E336" s="633"/>
      <c r="F336" s="633"/>
      <c r="G336" s="633"/>
      <c r="H336" s="633"/>
      <c r="I336" s="633"/>
      <c r="J336" s="633"/>
      <c r="K336" s="633"/>
      <c r="L336" s="633"/>
    </row>
    <row r="337" spans="1:12" ht="14.25">
      <c r="A337" s="633"/>
      <c r="B337" s="633"/>
      <c r="C337" s="633"/>
      <c r="D337" s="633"/>
      <c r="E337" s="633"/>
      <c r="F337" s="633"/>
      <c r="G337" s="633"/>
      <c r="H337" s="633"/>
      <c r="I337" s="633"/>
      <c r="J337" s="633"/>
      <c r="K337" s="633"/>
      <c r="L337" s="633"/>
    </row>
    <row r="338" spans="1:12" ht="14.25">
      <c r="A338" s="633"/>
      <c r="B338" s="633"/>
      <c r="C338" s="633"/>
      <c r="D338" s="633"/>
      <c r="E338" s="633"/>
      <c r="F338" s="633"/>
      <c r="G338" s="633"/>
      <c r="H338" s="633"/>
      <c r="I338" s="633"/>
      <c r="J338" s="633"/>
      <c r="K338" s="633"/>
      <c r="L338" s="633"/>
    </row>
    <row r="339" spans="1:12" ht="14.25">
      <c r="A339" s="633"/>
      <c r="B339" s="633"/>
      <c r="C339" s="633"/>
      <c r="D339" s="633"/>
      <c r="E339" s="633"/>
      <c r="F339" s="633"/>
      <c r="G339" s="633"/>
      <c r="H339" s="633"/>
      <c r="I339" s="633"/>
      <c r="J339" s="633"/>
      <c r="K339" s="633"/>
      <c r="L339" s="633"/>
    </row>
    <row r="340" spans="1:12" ht="14.25">
      <c r="A340" s="633"/>
      <c r="B340" s="633"/>
      <c r="C340" s="633"/>
      <c r="D340" s="633"/>
      <c r="E340" s="633"/>
      <c r="F340" s="633"/>
      <c r="G340" s="633"/>
      <c r="H340" s="633"/>
      <c r="I340" s="633"/>
      <c r="J340" s="633"/>
      <c r="K340" s="633"/>
      <c r="L340" s="633"/>
    </row>
    <row r="341" spans="1:12" ht="14.25">
      <c r="A341" s="633"/>
      <c r="B341" s="633"/>
      <c r="C341" s="633"/>
      <c r="D341" s="633"/>
      <c r="E341" s="633"/>
      <c r="F341" s="633"/>
      <c r="G341" s="633"/>
      <c r="H341" s="633"/>
      <c r="I341" s="633"/>
      <c r="J341" s="633"/>
      <c r="K341" s="633"/>
      <c r="L341" s="633"/>
    </row>
    <row r="342" spans="1:12" ht="14.25">
      <c r="A342" s="633"/>
      <c r="B342" s="633"/>
      <c r="C342" s="633"/>
      <c r="D342" s="633"/>
      <c r="E342" s="633"/>
      <c r="F342" s="633"/>
      <c r="G342" s="633"/>
      <c r="H342" s="633"/>
      <c r="I342" s="633"/>
      <c r="J342" s="633"/>
      <c r="K342" s="633"/>
      <c r="L342" s="633"/>
    </row>
    <row r="343" spans="1:12" ht="14.25">
      <c r="A343" s="633"/>
      <c r="B343" s="633"/>
      <c r="C343" s="633"/>
      <c r="D343" s="633"/>
      <c r="E343" s="633"/>
      <c r="F343" s="633"/>
      <c r="G343" s="633"/>
      <c r="H343" s="633"/>
      <c r="I343" s="633"/>
      <c r="J343" s="633"/>
      <c r="K343" s="633"/>
      <c r="L343" s="633"/>
    </row>
    <row r="344" spans="1:12" ht="14.25">
      <c r="A344" s="633"/>
      <c r="B344" s="633"/>
      <c r="C344" s="633"/>
      <c r="D344" s="633"/>
      <c r="E344" s="633"/>
      <c r="F344" s="633"/>
      <c r="G344" s="633"/>
      <c r="H344" s="633"/>
      <c r="I344" s="633"/>
      <c r="J344" s="633"/>
      <c r="K344" s="633"/>
      <c r="L344" s="633"/>
    </row>
    <row r="345" spans="1:12" ht="14.25">
      <c r="A345" s="633"/>
      <c r="B345" s="633"/>
      <c r="C345" s="633"/>
      <c r="D345" s="633"/>
      <c r="E345" s="633"/>
      <c r="F345" s="633"/>
      <c r="G345" s="633"/>
      <c r="H345" s="633"/>
      <c r="I345" s="633"/>
      <c r="J345" s="633"/>
      <c r="K345" s="633"/>
      <c r="L345" s="633"/>
    </row>
    <row r="346" spans="1:12" ht="14.25">
      <c r="A346" s="633"/>
      <c r="B346" s="633"/>
      <c r="C346" s="633"/>
      <c r="D346" s="633"/>
      <c r="E346" s="633"/>
      <c r="F346" s="633"/>
      <c r="G346" s="633"/>
      <c r="H346" s="633"/>
      <c r="I346" s="633"/>
      <c r="J346" s="633"/>
      <c r="K346" s="633"/>
      <c r="L346" s="633"/>
    </row>
    <row r="347" spans="1:12" ht="14.25">
      <c r="A347" s="633"/>
      <c r="B347" s="633"/>
      <c r="C347" s="633"/>
      <c r="D347" s="633"/>
      <c r="E347" s="633"/>
      <c r="F347" s="633"/>
      <c r="G347" s="633"/>
      <c r="H347" s="633"/>
      <c r="I347" s="633"/>
      <c r="J347" s="633"/>
      <c r="K347" s="633"/>
      <c r="L347" s="633"/>
    </row>
    <row r="348" spans="1:12" ht="14.25">
      <c r="A348" s="633"/>
      <c r="B348" s="633"/>
      <c r="C348" s="633"/>
      <c r="D348" s="633"/>
      <c r="E348" s="633"/>
      <c r="F348" s="633"/>
      <c r="G348" s="633"/>
      <c r="H348" s="633"/>
      <c r="I348" s="633"/>
      <c r="J348" s="633"/>
      <c r="K348" s="633"/>
      <c r="L348" s="633"/>
    </row>
    <row r="349" spans="1:12" ht="14.25">
      <c r="A349" s="633"/>
      <c r="B349" s="633"/>
      <c r="C349" s="633"/>
      <c r="D349" s="633"/>
      <c r="E349" s="633"/>
      <c r="F349" s="633"/>
      <c r="G349" s="633"/>
      <c r="H349" s="633"/>
      <c r="I349" s="633"/>
      <c r="J349" s="633"/>
      <c r="K349" s="633"/>
      <c r="L349" s="633"/>
    </row>
    <row r="350" spans="1:12" ht="14.25">
      <c r="A350" s="633"/>
      <c r="B350" s="633"/>
      <c r="C350" s="633"/>
      <c r="D350" s="633"/>
      <c r="E350" s="633"/>
      <c r="F350" s="633"/>
      <c r="G350" s="633"/>
      <c r="H350" s="633"/>
      <c r="I350" s="633"/>
      <c r="J350" s="633"/>
      <c r="K350" s="633"/>
      <c r="L350" s="633"/>
    </row>
    <row r="351" spans="1:12" ht="14.25">
      <c r="A351" s="633"/>
      <c r="B351" s="633"/>
      <c r="C351" s="633"/>
      <c r="D351" s="633"/>
      <c r="E351" s="633"/>
      <c r="F351" s="633"/>
      <c r="G351" s="633"/>
      <c r="H351" s="633"/>
      <c r="I351" s="633"/>
      <c r="J351" s="633"/>
      <c r="K351" s="633"/>
      <c r="L351" s="633"/>
    </row>
    <row r="352" spans="1:12" ht="14.25">
      <c r="A352" s="633"/>
      <c r="B352" s="633"/>
      <c r="C352" s="633"/>
      <c r="D352" s="633"/>
      <c r="E352" s="633"/>
      <c r="F352" s="633"/>
      <c r="G352" s="633"/>
      <c r="H352" s="633"/>
      <c r="I352" s="633"/>
      <c r="J352" s="633"/>
      <c r="K352" s="633"/>
      <c r="L352" s="633"/>
    </row>
    <row r="353" spans="1:12" ht="14.25">
      <c r="A353" s="633"/>
      <c r="B353" s="633"/>
      <c r="C353" s="633"/>
      <c r="D353" s="633"/>
      <c r="E353" s="633"/>
      <c r="F353" s="633"/>
      <c r="G353" s="633"/>
      <c r="H353" s="633"/>
      <c r="I353" s="633"/>
      <c r="J353" s="633"/>
      <c r="K353" s="633"/>
      <c r="L353" s="633"/>
    </row>
    <row r="354" spans="1:12" ht="14.25">
      <c r="A354" s="633"/>
      <c r="B354" s="633"/>
      <c r="C354" s="633"/>
      <c r="D354" s="633"/>
      <c r="E354" s="633"/>
      <c r="F354" s="633"/>
      <c r="G354" s="633"/>
      <c r="H354" s="633"/>
      <c r="I354" s="633"/>
      <c r="J354" s="633"/>
      <c r="K354" s="633"/>
      <c r="L354" s="633"/>
    </row>
  </sheetData>
  <sheetProtection sheet="1" objects="1" scenarios="1"/>
  <mergeCells count="55">
    <mergeCell ref="C83:D83"/>
    <mergeCell ref="B85:K85"/>
    <mergeCell ref="C134:D134"/>
    <mergeCell ref="B110:K110"/>
    <mergeCell ref="C120:D120"/>
    <mergeCell ref="C123:D123"/>
    <mergeCell ref="B130:K130"/>
    <mergeCell ref="C133:D133"/>
    <mergeCell ref="H133:I133"/>
    <mergeCell ref="C114:D114"/>
    <mergeCell ref="B6:K6"/>
    <mergeCell ref="B7:K7"/>
    <mergeCell ref="B8:K8"/>
    <mergeCell ref="B10:K10"/>
    <mergeCell ref="B12:K12"/>
    <mergeCell ref="C25:D25"/>
    <mergeCell ref="F23:G23"/>
    <mergeCell ref="B86:K86"/>
    <mergeCell ref="B88:K88"/>
    <mergeCell ref="B30:K30"/>
    <mergeCell ref="B31:K31"/>
    <mergeCell ref="B33:K33"/>
    <mergeCell ref="B35:K35"/>
    <mergeCell ref="C41:D41"/>
    <mergeCell ref="B48:C48"/>
    <mergeCell ref="G50:H50"/>
    <mergeCell ref="I51:K51"/>
    <mergeCell ref="B52:K52"/>
    <mergeCell ref="B53:K53"/>
    <mergeCell ref="B58:K58"/>
    <mergeCell ref="C74:D74"/>
    <mergeCell ref="C77:D77"/>
    <mergeCell ref="C80:D80"/>
    <mergeCell ref="B55:K55"/>
    <mergeCell ref="B57:K57"/>
    <mergeCell ref="B126:K126"/>
    <mergeCell ref="B128:K128"/>
    <mergeCell ref="B90:K90"/>
    <mergeCell ref="C94:D94"/>
    <mergeCell ref="C97:D97"/>
    <mergeCell ref="C100:D100"/>
    <mergeCell ref="B105:K105"/>
    <mergeCell ref="B106:K106"/>
    <mergeCell ref="C117:D117"/>
    <mergeCell ref="B125:K125"/>
    <mergeCell ref="C148:D148"/>
    <mergeCell ref="J148:K148"/>
    <mergeCell ref="C103:D103"/>
    <mergeCell ref="H134:I134"/>
    <mergeCell ref="C136:D136"/>
    <mergeCell ref="C137:D137"/>
    <mergeCell ref="B144:K144"/>
    <mergeCell ref="C147:D147"/>
    <mergeCell ref="J147:K147"/>
    <mergeCell ref="B108:K108"/>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550" t="s">
        <v>706</v>
      </c>
    </row>
    <row r="3" ht="31.5">
      <c r="A3" s="551" t="s">
        <v>707</v>
      </c>
    </row>
    <row r="4" ht="15.75">
      <c r="A4" s="552" t="s">
        <v>708</v>
      </c>
    </row>
    <row r="7" ht="31.5">
      <c r="A7" s="551" t="s">
        <v>709</v>
      </c>
    </row>
    <row r="8" ht="15.75">
      <c r="A8" s="552" t="s">
        <v>710</v>
      </c>
    </row>
    <row r="11" ht="15.75">
      <c r="A11" s="549" t="s">
        <v>711</v>
      </c>
    </row>
    <row r="12" ht="15.75">
      <c r="A12" s="552" t="s">
        <v>712</v>
      </c>
    </row>
    <row r="15" ht="15.75">
      <c r="A15" s="549" t="s">
        <v>713</v>
      </c>
    </row>
    <row r="16" ht="15.75">
      <c r="A16" s="552" t="s">
        <v>714</v>
      </c>
    </row>
    <row r="19" ht="15.75">
      <c r="A19" s="549" t="s">
        <v>715</v>
      </c>
    </row>
    <row r="20" ht="15.75">
      <c r="A20" s="552" t="s">
        <v>716</v>
      </c>
    </row>
    <row r="23" ht="15.75">
      <c r="A23" s="549" t="s">
        <v>717</v>
      </c>
    </row>
    <row r="24" ht="15.75">
      <c r="A24" s="552" t="s">
        <v>718</v>
      </c>
    </row>
    <row r="27" ht="15.75">
      <c r="A27" s="549" t="s">
        <v>719</v>
      </c>
    </row>
    <row r="28" ht="15.75">
      <c r="A28" s="552" t="s">
        <v>720</v>
      </c>
    </row>
    <row r="31" ht="15.75">
      <c r="A31" s="549" t="s">
        <v>721</v>
      </c>
    </row>
    <row r="32" ht="15.75">
      <c r="A32" s="552" t="s">
        <v>722</v>
      </c>
    </row>
    <row r="35" ht="15.75">
      <c r="A35" s="549" t="s">
        <v>723</v>
      </c>
    </row>
    <row r="36" ht="15.75">
      <c r="A36" s="552" t="s">
        <v>724</v>
      </c>
    </row>
    <row r="39" ht="15.75">
      <c r="A39" s="549" t="s">
        <v>725</v>
      </c>
    </row>
    <row r="40" ht="15.75">
      <c r="A40" s="552" t="s">
        <v>726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34"/>
  <sheetViews>
    <sheetView zoomScalePageLayoutView="0" workbookViewId="0" topLeftCell="A1">
      <selection activeCell="C10" sqref="C10"/>
    </sheetView>
  </sheetViews>
  <sheetFormatPr defaultColWidth="8.796875" defaultRowHeight="15"/>
  <cols>
    <col min="1" max="1" width="80.09765625" style="75" customWidth="1"/>
    <col min="2" max="16384" width="8.8984375" style="75" customWidth="1"/>
  </cols>
  <sheetData>
    <row r="1" ht="15.75">
      <c r="A1" s="428" t="s">
        <v>824</v>
      </c>
    </row>
    <row r="2" ht="15.75">
      <c r="A2" s="548" t="s">
        <v>825</v>
      </c>
    </row>
    <row r="4" ht="15.75">
      <c r="A4" s="428" t="s">
        <v>683</v>
      </c>
    </row>
    <row r="5" ht="15.75">
      <c r="A5" s="548" t="s">
        <v>684</v>
      </c>
    </row>
    <row r="6" ht="15.75">
      <c r="A6" s="548" t="s">
        <v>685</v>
      </c>
    </row>
    <row r="7" ht="15.75">
      <c r="A7" s="547" t="s">
        <v>686</v>
      </c>
    </row>
    <row r="8" ht="15.75">
      <c r="A8" s="548" t="s">
        <v>687</v>
      </c>
    </row>
    <row r="9" ht="15.75">
      <c r="A9" s="548" t="s">
        <v>688</v>
      </c>
    </row>
    <row r="10" ht="15.75">
      <c r="A10" s="548" t="s">
        <v>689</v>
      </c>
    </row>
    <row r="11" ht="15.75">
      <c r="A11" s="548" t="s">
        <v>690</v>
      </c>
    </row>
    <row r="12" ht="15.75">
      <c r="A12" s="548" t="s">
        <v>691</v>
      </c>
    </row>
    <row r="13" ht="15.75">
      <c r="A13" s="548" t="s">
        <v>692</v>
      </c>
    </row>
    <row r="14" ht="15.75">
      <c r="A14" s="548" t="s">
        <v>693</v>
      </c>
    </row>
    <row r="15" ht="15.75">
      <c r="A15" s="548" t="s">
        <v>694</v>
      </c>
    </row>
    <row r="16" ht="15.75">
      <c r="A16" s="548" t="s">
        <v>695</v>
      </c>
    </row>
    <row r="17" ht="15.75">
      <c r="A17" s="548" t="s">
        <v>696</v>
      </c>
    </row>
    <row r="18" ht="15.75">
      <c r="A18" s="548" t="s">
        <v>697</v>
      </c>
    </row>
    <row r="19" ht="15.75">
      <c r="A19" s="548" t="s">
        <v>698</v>
      </c>
    </row>
    <row r="20" ht="15.75">
      <c r="A20" s="548" t="s">
        <v>699</v>
      </c>
    </row>
    <row r="21" ht="15.75">
      <c r="A21" s="548" t="s">
        <v>700</v>
      </c>
    </row>
    <row r="22" ht="15.75">
      <c r="A22" s="548" t="s">
        <v>701</v>
      </c>
    </row>
    <row r="23" ht="15.75">
      <c r="A23" s="548" t="s">
        <v>702</v>
      </c>
    </row>
    <row r="24" ht="15.75">
      <c r="A24" s="548" t="s">
        <v>703</v>
      </c>
    </row>
    <row r="25" ht="15.75">
      <c r="A25" s="547" t="s">
        <v>704</v>
      </c>
    </row>
    <row r="26" ht="15.75">
      <c r="A26" s="75" t="s">
        <v>705</v>
      </c>
    </row>
    <row r="32" ht="15.75">
      <c r="A32" s="428" t="s">
        <v>664</v>
      </c>
    </row>
    <row r="33" ht="15.75">
      <c r="A33" s="75" t="s">
        <v>665</v>
      </c>
    </row>
    <row r="35" ht="15.75">
      <c r="A35" s="428" t="s">
        <v>658</v>
      </c>
    </row>
    <row r="36" ht="15.75">
      <c r="A36" s="75" t="s">
        <v>659</v>
      </c>
    </row>
    <row r="37" ht="15.75">
      <c r="A37" s="75" t="s">
        <v>660</v>
      </c>
    </row>
    <row r="38" ht="15.75">
      <c r="A38" s="75" t="s">
        <v>661</v>
      </c>
    </row>
    <row r="40" ht="15.75">
      <c r="A40" s="441" t="s">
        <v>647</v>
      </c>
    </row>
    <row r="41" ht="15.75">
      <c r="A41" s="75" t="s">
        <v>657</v>
      </c>
    </row>
    <row r="43" ht="15.75">
      <c r="A43" s="428" t="s">
        <v>411</v>
      </c>
    </row>
    <row r="44" ht="15.75">
      <c r="A44" s="429" t="s">
        <v>412</v>
      </c>
    </row>
    <row r="45" ht="15.75">
      <c r="A45" s="429" t="s">
        <v>413</v>
      </c>
    </row>
    <row r="46" ht="15.75">
      <c r="A46" s="429" t="s">
        <v>414</v>
      </c>
    </row>
    <row r="47" ht="15.75">
      <c r="A47" s="75" t="s">
        <v>415</v>
      </c>
    </row>
    <row r="49" ht="15.75">
      <c r="A49" s="406" t="s">
        <v>345</v>
      </c>
    </row>
    <row r="50" ht="15.75">
      <c r="A50" s="75" t="s">
        <v>346</v>
      </c>
    </row>
    <row r="51" ht="15.75">
      <c r="A51" s="75" t="s">
        <v>347</v>
      </c>
    </row>
    <row r="52" ht="15.75">
      <c r="A52" s="75" t="s">
        <v>348</v>
      </c>
    </row>
    <row r="53" ht="15.75">
      <c r="A53" s="75" t="s">
        <v>380</v>
      </c>
    </row>
    <row r="54" ht="15.75">
      <c r="A54" s="75" t="s">
        <v>379</v>
      </c>
    </row>
    <row r="55" ht="15.75">
      <c r="A55" s="75" t="s">
        <v>381</v>
      </c>
    </row>
    <row r="56" ht="15.75">
      <c r="A56" s="75" t="s">
        <v>383</v>
      </c>
    </row>
    <row r="57" ht="22.5" customHeight="1">
      <c r="A57" s="78" t="s">
        <v>382</v>
      </c>
    </row>
    <row r="58" ht="22.5" customHeight="1">
      <c r="A58" s="78" t="s">
        <v>397</v>
      </c>
    </row>
    <row r="59" ht="22.5" customHeight="1">
      <c r="A59" s="416" t="s">
        <v>401</v>
      </c>
    </row>
    <row r="61" ht="15.75">
      <c r="A61" s="406" t="s">
        <v>338</v>
      </c>
    </row>
    <row r="62" ht="15.75">
      <c r="A62" s="75" t="s">
        <v>339</v>
      </c>
    </row>
    <row r="63" ht="15.75">
      <c r="A63" s="75" t="s">
        <v>340</v>
      </c>
    </row>
    <row r="65" ht="15.75">
      <c r="A65" s="406" t="s">
        <v>117</v>
      </c>
    </row>
    <row r="66" ht="15.75">
      <c r="A66" s="75" t="s">
        <v>97</v>
      </c>
    </row>
    <row r="67" ht="15.75">
      <c r="A67" s="75" t="s">
        <v>98</v>
      </c>
    </row>
    <row r="68" ht="15.75">
      <c r="A68" s="75" t="s">
        <v>99</v>
      </c>
    </row>
    <row r="69" ht="15.75">
      <c r="A69" s="75" t="s">
        <v>100</v>
      </c>
    </row>
    <row r="70" ht="15.75">
      <c r="A70" s="75" t="s">
        <v>101</v>
      </c>
    </row>
    <row r="71" ht="15.75">
      <c r="A71" s="75" t="s">
        <v>102</v>
      </c>
    </row>
    <row r="72" ht="31.5">
      <c r="A72" s="78" t="s">
        <v>103</v>
      </c>
    </row>
    <row r="73" ht="31.5">
      <c r="A73" s="78" t="s">
        <v>104</v>
      </c>
    </row>
    <row r="74" ht="15.75">
      <c r="A74" s="78" t="s">
        <v>105</v>
      </c>
    </row>
    <row r="75" ht="15.75">
      <c r="A75" s="78" t="s">
        <v>106</v>
      </c>
    </row>
    <row r="76" ht="31.5">
      <c r="A76" s="78" t="s">
        <v>107</v>
      </c>
    </row>
    <row r="77" ht="15.75">
      <c r="A77" s="75" t="s">
        <v>108</v>
      </c>
    </row>
    <row r="78" ht="31.5">
      <c r="A78" s="78" t="s">
        <v>109</v>
      </c>
    </row>
    <row r="79" ht="15.75">
      <c r="A79" s="75" t="s">
        <v>110</v>
      </c>
    </row>
    <row r="80" ht="15.75">
      <c r="A80" s="75" t="s">
        <v>111</v>
      </c>
    </row>
    <row r="81" ht="15.75">
      <c r="A81" s="75" t="s">
        <v>112</v>
      </c>
    </row>
    <row r="82" ht="15.75">
      <c r="A82" s="75" t="s">
        <v>113</v>
      </c>
    </row>
    <row r="83" ht="31.5">
      <c r="A83" s="78" t="s">
        <v>114</v>
      </c>
    </row>
    <row r="84" ht="15.75">
      <c r="A84" s="75" t="s">
        <v>115</v>
      </c>
    </row>
    <row r="87" ht="15.75">
      <c r="A87" s="406" t="s">
        <v>91</v>
      </c>
    </row>
    <row r="88" ht="15.75">
      <c r="A88" s="75" t="s">
        <v>94</v>
      </c>
    </row>
    <row r="89" ht="15.75">
      <c r="A89" s="75" t="s">
        <v>92</v>
      </c>
    </row>
    <row r="90" ht="15.75">
      <c r="A90" s="75" t="s">
        <v>93</v>
      </c>
    </row>
    <row r="91" ht="15.75">
      <c r="A91" s="75" t="s">
        <v>349</v>
      </c>
    </row>
    <row r="93" ht="15.75">
      <c r="A93" s="406" t="s">
        <v>87</v>
      </c>
    </row>
    <row r="94" ht="31.5">
      <c r="A94" s="78" t="s">
        <v>88</v>
      </c>
    </row>
    <row r="95" ht="15.75">
      <c r="A95" s="75" t="s">
        <v>89</v>
      </c>
    </row>
    <row r="96" ht="15.75">
      <c r="A96" s="75" t="s">
        <v>90</v>
      </c>
    </row>
    <row r="99" ht="15.75">
      <c r="A99" s="406" t="s">
        <v>29</v>
      </c>
    </row>
    <row r="100" ht="47.25">
      <c r="A100" s="78" t="s">
        <v>350</v>
      </c>
    </row>
    <row r="101" ht="15.75">
      <c r="A101" s="75" t="s">
        <v>30</v>
      </c>
    </row>
    <row r="102" ht="15.75">
      <c r="A102" s="75" t="s">
        <v>36</v>
      </c>
    </row>
    <row r="103" ht="15.75">
      <c r="A103" s="75" t="s">
        <v>351</v>
      </c>
    </row>
    <row r="104" ht="15.75">
      <c r="A104" s="75" t="s">
        <v>31</v>
      </c>
    </row>
    <row r="105" ht="15.75">
      <c r="A105" s="75" t="s">
        <v>32</v>
      </c>
    </row>
    <row r="106" ht="15.75">
      <c r="A106" s="75" t="s">
        <v>37</v>
      </c>
    </row>
    <row r="107" ht="15.75">
      <c r="A107" s="78" t="s">
        <v>53</v>
      </c>
    </row>
    <row r="108" ht="31.5">
      <c r="A108" s="78" t="s">
        <v>122</v>
      </c>
    </row>
    <row r="109" ht="15.75">
      <c r="A109" s="75" t="s">
        <v>38</v>
      </c>
    </row>
    <row r="110" ht="15.75">
      <c r="A110" s="75" t="s">
        <v>39</v>
      </c>
    </row>
    <row r="111" ht="15.75">
      <c r="A111" s="75" t="s">
        <v>352</v>
      </c>
    </row>
    <row r="112" ht="15.75">
      <c r="A112" s="75" t="s">
        <v>52</v>
      </c>
    </row>
    <row r="113" ht="15.75">
      <c r="A113" s="75" t="s">
        <v>353</v>
      </c>
    </row>
    <row r="114" ht="31.5">
      <c r="A114" s="78" t="s">
        <v>354</v>
      </c>
    </row>
    <row r="115" ht="15.75">
      <c r="A115" s="75" t="s">
        <v>40</v>
      </c>
    </row>
    <row r="116" ht="15.75">
      <c r="A116" s="75" t="s">
        <v>41</v>
      </c>
    </row>
    <row r="117" ht="31.5">
      <c r="A117" s="78" t="s">
        <v>42</v>
      </c>
    </row>
    <row r="118" ht="15.75">
      <c r="A118" s="75" t="s">
        <v>355</v>
      </c>
    </row>
    <row r="119" ht="15.75">
      <c r="A119" s="75" t="s">
        <v>44</v>
      </c>
    </row>
    <row r="120" ht="15.75">
      <c r="A120" s="75" t="s">
        <v>43</v>
      </c>
    </row>
    <row r="121" ht="15.75">
      <c r="A121" s="75" t="s">
        <v>49</v>
      </c>
    </row>
    <row r="122" ht="15.75">
      <c r="A122" s="75" t="s">
        <v>55</v>
      </c>
    </row>
    <row r="123" ht="15.75">
      <c r="A123" s="75" t="s">
        <v>56</v>
      </c>
    </row>
    <row r="124" ht="15.75">
      <c r="A124" s="75" t="s">
        <v>59</v>
      </c>
    </row>
    <row r="125" ht="15.75">
      <c r="A125" s="75" t="s">
        <v>356</v>
      </c>
    </row>
    <row r="126" ht="15.75">
      <c r="A126" s="75" t="s">
        <v>119</v>
      </c>
    </row>
    <row r="127" ht="15.75">
      <c r="A127" s="75" t="s">
        <v>357</v>
      </c>
    </row>
    <row r="128" ht="15.75">
      <c r="A128" s="75" t="s">
        <v>61</v>
      </c>
    </row>
    <row r="129" ht="15.75">
      <c r="A129" s="75" t="s">
        <v>66</v>
      </c>
    </row>
    <row r="130" ht="15.75">
      <c r="A130" s="75" t="s">
        <v>67</v>
      </c>
    </row>
    <row r="131" ht="15.75">
      <c r="A131" s="75" t="s">
        <v>120</v>
      </c>
    </row>
    <row r="132" ht="15.75">
      <c r="A132" s="75" t="s">
        <v>121</v>
      </c>
    </row>
    <row r="133" ht="15.75">
      <c r="A133" s="75" t="s">
        <v>86</v>
      </c>
    </row>
    <row r="134" ht="15.75">
      <c r="A134" s="75" t="s">
        <v>84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4" sqref="C14"/>
    </sheetView>
  </sheetViews>
  <sheetFormatPr defaultColWidth="8.796875" defaultRowHeight="15"/>
  <cols>
    <col min="1" max="1" width="13.796875" style="0" customWidth="1"/>
    <col min="2" max="2" width="16.09765625" style="0" customWidth="1"/>
  </cols>
  <sheetData>
    <row r="2" spans="1:6" ht="54" customHeight="1">
      <c r="A2" s="676" t="s">
        <v>402</v>
      </c>
      <c r="B2" s="677"/>
      <c r="C2" s="677"/>
      <c r="D2" s="677"/>
      <c r="E2" s="677"/>
      <c r="F2" s="677"/>
    </row>
    <row r="4" spans="1:6" ht="15.75">
      <c r="A4" s="418"/>
      <c r="B4" s="418"/>
      <c r="C4" s="418"/>
      <c r="D4" s="419"/>
      <c r="E4" s="418"/>
      <c r="F4" s="418"/>
    </row>
    <row r="5" spans="1:6" ht="15.75">
      <c r="A5" s="420" t="s">
        <v>403</v>
      </c>
      <c r="B5" s="421"/>
      <c r="C5" s="422"/>
      <c r="D5" s="420" t="s">
        <v>823</v>
      </c>
      <c r="E5" s="418"/>
      <c r="F5" s="418"/>
    </row>
    <row r="6" spans="1:6" ht="15.75">
      <c r="A6" s="420"/>
      <c r="B6" s="423"/>
      <c r="C6" s="424"/>
      <c r="D6" s="420" t="s">
        <v>822</v>
      </c>
      <c r="E6" s="418"/>
      <c r="F6" s="418"/>
    </row>
    <row r="7" spans="1:6" ht="15.75">
      <c r="A7" s="420" t="s">
        <v>404</v>
      </c>
      <c r="B7" s="421"/>
      <c r="C7" s="425"/>
      <c r="D7" s="420"/>
      <c r="E7" s="418"/>
      <c r="F7" s="418"/>
    </row>
    <row r="8" spans="1:6" ht="15.75">
      <c r="A8" s="420"/>
      <c r="B8" s="420"/>
      <c r="C8" s="420"/>
      <c r="D8" s="420"/>
      <c r="E8" s="418"/>
      <c r="F8" s="418"/>
    </row>
    <row r="9" spans="1:6" ht="15.75">
      <c r="A9" s="420" t="s">
        <v>405</v>
      </c>
      <c r="B9" s="426" t="s">
        <v>857</v>
      </c>
      <c r="C9" s="426"/>
      <c r="D9" s="426"/>
      <c r="E9" s="427"/>
      <c r="F9" s="418"/>
    </row>
    <row r="10" spans="1:6" ht="15.75">
      <c r="A10" s="420"/>
      <c r="B10" s="420"/>
      <c r="C10" s="420"/>
      <c r="D10" s="420"/>
      <c r="E10" s="418"/>
      <c r="F10" s="418"/>
    </row>
    <row r="11" spans="1:6" ht="15.75">
      <c r="A11" s="420"/>
      <c r="B11" s="420"/>
      <c r="C11" s="420"/>
      <c r="D11" s="420"/>
      <c r="E11" s="418"/>
      <c r="F11" s="418"/>
    </row>
    <row r="12" spans="1:6" ht="15.75">
      <c r="A12" s="420" t="s">
        <v>407</v>
      </c>
      <c r="B12" s="426" t="s">
        <v>858</v>
      </c>
      <c r="C12" s="426"/>
      <c r="D12" s="426"/>
      <c r="E12" s="427"/>
      <c r="F12" s="418"/>
    </row>
    <row r="15" spans="1:6" ht="15.75">
      <c r="A15" s="678" t="s">
        <v>408</v>
      </c>
      <c r="B15" s="678"/>
      <c r="C15" s="420"/>
      <c r="D15" s="420"/>
      <c r="E15" s="420"/>
      <c r="F15" s="418"/>
    </row>
    <row r="16" spans="1:6" ht="15.75">
      <c r="A16" s="420"/>
      <c r="B16" s="420"/>
      <c r="C16" s="420"/>
      <c r="D16" s="420"/>
      <c r="E16" s="420"/>
      <c r="F16" s="418"/>
    </row>
    <row r="17" spans="1:5" ht="15.75">
      <c r="A17" s="420" t="s">
        <v>403</v>
      </c>
      <c r="B17" s="423" t="s">
        <v>409</v>
      </c>
      <c r="C17" s="420"/>
      <c r="D17" s="420"/>
      <c r="E17" s="420"/>
    </row>
    <row r="18" spans="1:5" ht="15.75">
      <c r="A18" s="420"/>
      <c r="B18" s="420"/>
      <c r="C18" s="420"/>
      <c r="D18" s="420"/>
      <c r="E18" s="420"/>
    </row>
    <row r="19" spans="1:5" ht="15.75">
      <c r="A19" s="420" t="s">
        <v>404</v>
      </c>
      <c r="B19" s="420" t="s">
        <v>410</v>
      </c>
      <c r="C19" s="420"/>
      <c r="D19" s="420"/>
      <c r="E19" s="420"/>
    </row>
    <row r="20" spans="1:5" ht="15.75">
      <c r="A20" s="420"/>
      <c r="B20" s="420"/>
      <c r="C20" s="420"/>
      <c r="D20" s="420"/>
      <c r="E20" s="420"/>
    </row>
    <row r="21" spans="1:5" ht="15.75">
      <c r="A21" s="420" t="s">
        <v>405</v>
      </c>
      <c r="B21" s="420" t="s">
        <v>406</v>
      </c>
      <c r="C21" s="420"/>
      <c r="D21" s="420"/>
      <c r="E21" s="420"/>
    </row>
    <row r="22" spans="1:5" ht="15.75">
      <c r="A22" s="420"/>
      <c r="B22" s="420"/>
      <c r="C22" s="420"/>
      <c r="D22" s="420"/>
      <c r="E22" s="420"/>
    </row>
    <row r="23" spans="1:5" ht="15.75">
      <c r="A23" s="420" t="s">
        <v>407</v>
      </c>
      <c r="B23" s="420" t="s">
        <v>406</v>
      </c>
      <c r="C23" s="420"/>
      <c r="D23" s="420"/>
      <c r="E23" s="4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59"/>
  <sheetViews>
    <sheetView zoomScale="90" zoomScaleNormal="90" zoomScalePageLayoutView="0" workbookViewId="0" topLeftCell="A13">
      <selection activeCell="C47" sqref="C47"/>
    </sheetView>
  </sheetViews>
  <sheetFormatPr defaultColWidth="8.796875" defaultRowHeight="15"/>
  <cols>
    <col min="1" max="1" width="20.796875" style="166" customWidth="1"/>
    <col min="2" max="2" width="9.796875" style="166" customWidth="1"/>
    <col min="3" max="3" width="5.796875" style="166" customWidth="1"/>
    <col min="4" max="6" width="15.796875" style="166" customWidth="1"/>
    <col min="7" max="16384" width="8.8984375" style="166" customWidth="1"/>
  </cols>
  <sheetData>
    <row r="1" spans="1:6" ht="12.75">
      <c r="A1" s="165"/>
      <c r="B1" s="165"/>
      <c r="C1" s="165"/>
      <c r="D1" s="165"/>
      <c r="E1" s="165"/>
      <c r="F1" s="165"/>
    </row>
    <row r="2" spans="1:6" ht="12.75">
      <c r="A2" s="680" t="s">
        <v>224</v>
      </c>
      <c r="B2" s="680"/>
      <c r="C2" s="680"/>
      <c r="D2" s="680"/>
      <c r="E2" s="680"/>
      <c r="F2" s="680"/>
    </row>
    <row r="3" spans="1:6" ht="15" customHeight="1">
      <c r="A3" s="167"/>
      <c r="B3" s="167"/>
      <c r="C3" s="167"/>
      <c r="D3" s="167"/>
      <c r="E3" s="167"/>
      <c r="F3" s="165">
        <f>inputPrYr!C4</f>
        <v>2012</v>
      </c>
    </row>
    <row r="4" spans="1:6" ht="15">
      <c r="A4" s="685" t="str">
        <f>CONCATENATE("To the Clerk of ",inputPrYr!C2,", State of Kansas")</f>
        <v>To the Clerk of Sheridan County, State of Kansas</v>
      </c>
      <c r="B4" s="686"/>
      <c r="C4" s="686"/>
      <c r="D4" s="686"/>
      <c r="E4" s="686"/>
      <c r="F4" s="686"/>
    </row>
    <row r="5" spans="1:6" ht="15">
      <c r="A5" s="685" t="s">
        <v>5</v>
      </c>
      <c r="B5" s="687"/>
      <c r="C5" s="687"/>
      <c r="D5" s="687"/>
      <c r="E5" s="687"/>
      <c r="F5" s="687"/>
    </row>
    <row r="6" spans="1:6" ht="15">
      <c r="A6" s="683" t="str">
        <f>(inputPrYr!C2)</f>
        <v>Sheridan County</v>
      </c>
      <c r="B6" s="684"/>
      <c r="C6" s="684"/>
      <c r="D6" s="684"/>
      <c r="E6" s="684"/>
      <c r="F6" s="684"/>
    </row>
    <row r="7" spans="1:6" ht="12.75">
      <c r="A7" s="169" t="s">
        <v>131</v>
      </c>
      <c r="B7" s="170"/>
      <c r="C7" s="170"/>
      <c r="D7" s="170"/>
      <c r="E7" s="170"/>
      <c r="F7" s="170"/>
    </row>
    <row r="8" spans="1:6" ht="12.75">
      <c r="A8" s="169" t="s">
        <v>132</v>
      </c>
      <c r="B8" s="170"/>
      <c r="C8" s="170"/>
      <c r="D8" s="170"/>
      <c r="E8" s="170"/>
      <c r="F8" s="170"/>
    </row>
    <row r="9" spans="1:6" ht="12.75">
      <c r="A9" s="169" t="str">
        <f>CONCATENATE("maximum expenditure for the various funds for the year ",F3,"; and")</f>
        <v>maximum expenditure for the various funds for the year 2012; and</v>
      </c>
      <c r="B9" s="170"/>
      <c r="C9" s="170"/>
      <c r="D9" s="170"/>
      <c r="E9" s="170"/>
      <c r="F9" s="170"/>
    </row>
    <row r="10" spans="1:6" ht="12.75">
      <c r="A10" s="169" t="str">
        <f>CONCATENATE("(3) the Amount(s) of ",F3-1," Ad Valorem Tax are within statutory limitations.")</f>
        <v>(3) the Amount(s) of 2011 Ad Valorem Tax are within statutory limitations.</v>
      </c>
      <c r="B10" s="170"/>
      <c r="C10" s="170"/>
      <c r="D10" s="170"/>
      <c r="E10" s="170"/>
      <c r="F10" s="170"/>
    </row>
    <row r="11" spans="1:6" ht="8.25" customHeight="1">
      <c r="A11" s="171"/>
      <c r="B11" s="167"/>
      <c r="C11" s="167"/>
      <c r="D11" s="172"/>
      <c r="E11" s="172"/>
      <c r="F11" s="172"/>
    </row>
    <row r="12" spans="1:6" ht="12.75">
      <c r="A12" s="167"/>
      <c r="B12" s="167"/>
      <c r="C12" s="167"/>
      <c r="D12" s="173" t="str">
        <f>CONCATENATE("",F3," Adopted Budget")</f>
        <v>2012 Adopted Budget</v>
      </c>
      <c r="E12" s="174"/>
      <c r="F12" s="175"/>
    </row>
    <row r="13" spans="1:6" ht="13.5" customHeight="1">
      <c r="A13" s="167"/>
      <c r="B13" s="167"/>
      <c r="C13" s="176" t="s">
        <v>133</v>
      </c>
      <c r="D13" s="482" t="s">
        <v>666</v>
      </c>
      <c r="E13" s="681" t="str">
        <f>CONCATENATE("Amount of ",F3-1,"               Ad Valorem Tax")</f>
        <v>Amount of 2011               Ad Valorem Tax</v>
      </c>
      <c r="F13" s="176" t="s">
        <v>134</v>
      </c>
    </row>
    <row r="14" spans="1:6" ht="12.75" customHeight="1">
      <c r="A14" s="177" t="s">
        <v>135</v>
      </c>
      <c r="B14" s="178"/>
      <c r="C14" s="179" t="s">
        <v>136</v>
      </c>
      <c r="D14" s="481" t="s">
        <v>667</v>
      </c>
      <c r="E14" s="682"/>
      <c r="F14" s="179" t="s">
        <v>138</v>
      </c>
    </row>
    <row r="15" spans="1:6" ht="14.25" customHeight="1">
      <c r="A15" s="180" t="str">
        <f>CONCATENATE("Computation to Determine Limit for ",F3,"")</f>
        <v>Computation to Determine Limit for 2012</v>
      </c>
      <c r="B15" s="178"/>
      <c r="C15" s="179">
        <v>2</v>
      </c>
      <c r="D15" s="181"/>
      <c r="E15" s="181"/>
      <c r="F15" s="181"/>
    </row>
    <row r="16" spans="1:6" ht="14.25" customHeight="1">
      <c r="A16" s="182" t="s">
        <v>62</v>
      </c>
      <c r="B16" s="183"/>
      <c r="C16" s="179">
        <v>3</v>
      </c>
      <c r="D16" s="181"/>
      <c r="E16" s="181"/>
      <c r="F16" s="181"/>
    </row>
    <row r="17" spans="1:6" ht="14.25" customHeight="1">
      <c r="A17" s="184" t="s">
        <v>275</v>
      </c>
      <c r="B17" s="185"/>
      <c r="C17" s="186">
        <v>4</v>
      </c>
      <c r="D17" s="181"/>
      <c r="E17" s="181"/>
      <c r="F17" s="181"/>
    </row>
    <row r="18" spans="1:6" ht="14.25" customHeight="1">
      <c r="A18" s="184" t="s">
        <v>139</v>
      </c>
      <c r="B18" s="185"/>
      <c r="C18" s="187">
        <v>5</v>
      </c>
      <c r="D18" s="188"/>
      <c r="E18" s="188"/>
      <c r="F18" s="188"/>
    </row>
    <row r="19" spans="1:6" ht="14.25" customHeight="1">
      <c r="A19" s="184" t="s">
        <v>140</v>
      </c>
      <c r="B19" s="185"/>
      <c r="C19" s="189">
        <v>6</v>
      </c>
      <c r="D19" s="188"/>
      <c r="E19" s="188"/>
      <c r="F19" s="188"/>
    </row>
    <row r="20" spans="1:6" ht="12.75">
      <c r="A20" s="190" t="s">
        <v>141</v>
      </c>
      <c r="B20" s="191" t="s">
        <v>142</v>
      </c>
      <c r="C20" s="192"/>
      <c r="D20" s="193"/>
      <c r="E20" s="193"/>
      <c r="F20" s="193"/>
    </row>
    <row r="21" spans="1:6" ht="15.75">
      <c r="A21" s="180" t="str">
        <f>inputPrYr!B16</f>
        <v>General</v>
      </c>
      <c r="B21" s="194" t="str">
        <f>inputPrYr!C16</f>
        <v>79-1946</v>
      </c>
      <c r="C21" s="187">
        <v>7</v>
      </c>
      <c r="D21" s="195">
        <f>IF(general!$E$93&lt;&gt;0,general!$E$93,"  ")</f>
        <v>2650960</v>
      </c>
      <c r="E21" s="555">
        <f>IF(general!$E$100&lt;&gt;0,general!$E$100,0)</f>
        <v>1510150.9394999999</v>
      </c>
      <c r="F21" s="196" t="str">
        <f>IF(AND(general!E100=0,$F$46&gt;=0)," ",IF(AND(E21&gt;0,$F$46=0)," ",IF(AND(E21&gt;0,$F$46&gt;0),ROUND(E21/$F$46*1000,3))))</f>
        <v> </v>
      </c>
    </row>
    <row r="22" spans="1:6" ht="15.75">
      <c r="A22" s="180" t="str">
        <f>inputPrYr!B18</f>
        <v>Road &amp; Bridge</v>
      </c>
      <c r="B22" s="194" t="str">
        <f>inputPrYr!C18</f>
        <v>79-1946</v>
      </c>
      <c r="C22" s="187">
        <v>8</v>
      </c>
      <c r="D22" s="195">
        <f>IF(road!$E$41&lt;&gt;0,road!$E$41,"  ")</f>
        <v>2063694</v>
      </c>
      <c r="E22" s="555">
        <f>IF(road!$E$48&lt;&gt;0,road!$E$48,0)</f>
        <v>1485928.16</v>
      </c>
      <c r="F22" s="196" t="str">
        <f>IF(AND(road!E48=0,$F$46&gt;=0)," ",IF(AND(E22&gt;0,$F$46=0)," ",IF(AND(E22&gt;0,$F$46&gt;0),ROUND(E22/$F$46*1000,3))))</f>
        <v> </v>
      </c>
    </row>
    <row r="23" spans="1:6" ht="15.75">
      <c r="A23" s="195" t="str">
        <f>IF((inputPrYr!$B19&gt;"  "),(inputPrYr!$B19),"  ")</f>
        <v>Noxious Weed</v>
      </c>
      <c r="B23" s="194" t="str">
        <f>IF((inputPrYr!C19&gt;0),(inputPrYr!C19),"  ")</f>
        <v>2-1318</v>
      </c>
      <c r="C23" s="187">
        <v>9</v>
      </c>
      <c r="D23" s="195">
        <f>IF('levy page10'!$E$26&lt;&gt;0,'levy page10'!$E$26,"  ")</f>
        <v>149954</v>
      </c>
      <c r="E23" s="555">
        <f>IF('levy page10'!$E$33&lt;&gt;0,'levy page10'!$E$33,0)</f>
        <v>81510</v>
      </c>
      <c r="F23" s="196" t="str">
        <f>IF(AND('levy page10'!E33=0,$F$46&gt;=0)," ",IF(AND(E23&gt;0,$F$46=0)," ",IF(AND(E23&gt;0,$F$46&gt;0),ROUND(E23/$F$46*1000,3))))</f>
        <v> </v>
      </c>
    </row>
    <row r="24" spans="1:6" ht="15.75">
      <c r="A24" s="195" t="str">
        <f>IF((inputPrYr!$B20&gt;"  "),(inputPrYr!$B20),"  ")</f>
        <v>Mental Health</v>
      </c>
      <c r="B24" s="194" t="str">
        <f>IF((inputPrYr!C20&gt;0),(inputPrYr!C20),"  ")</f>
        <v>19-4011</v>
      </c>
      <c r="C24" s="187">
        <v>9</v>
      </c>
      <c r="D24" s="195">
        <f>IF('levy page10'!$E$53&lt;&gt;0,'levy page10'!$E$53,"  ")</f>
        <v>16512</v>
      </c>
      <c r="E24" s="555">
        <f>IF('levy page10'!$E$60&lt;&gt;0,'levy page10'!$E$60,0)</f>
        <v>14708</v>
      </c>
      <c r="F24" s="196" t="str">
        <f>IF(AND('levy page10'!E60=0,$F$46&gt;=0)," ",IF(AND(E24&gt;0,$F$46=0)," ",IF(AND(E24&gt;0,$F$46&gt;0),ROUND(E24/$F$46*1000,3))))</f>
        <v> </v>
      </c>
    </row>
    <row r="25" spans="1:6" ht="15.75">
      <c r="A25" s="195" t="str">
        <f>IF((inputPrYr!$B21&gt;"  "),(inputPrYr!$B21),"  ")</f>
        <v>Public Health</v>
      </c>
      <c r="B25" s="194" t="str">
        <f>IF((inputPrYr!C21&gt;0),(inputPrYr!C21),"  ")</f>
        <v>Sp. Elec.</v>
      </c>
      <c r="C25" s="187">
        <v>10</v>
      </c>
      <c r="D25" s="195">
        <f>IF('levy page11'!$E$30&lt;&gt;0,'levy page11'!$E$30,"  ")</f>
        <v>125825</v>
      </c>
      <c r="E25" s="555">
        <f>IF('levy page11'!$E$37&lt;&gt;0,'levy page11'!$E$37,0)</f>
        <v>22028</v>
      </c>
      <c r="F25" s="196" t="str">
        <f>IF(AND('levy page11'!E37=0,$F$46&gt;=0)," ",IF(AND(E25&gt;0,$F$46=0)," ",IF(AND(E25&gt;0,$F$46&gt;0),ROUND(E25/$F$46*1000,3))))</f>
        <v> </v>
      </c>
    </row>
    <row r="26" spans="1:6" ht="15.75">
      <c r="A26" s="195" t="str">
        <f>IF((inputPrYr!$B22&gt;"  "),(inputPrYr!$B22),"  ")</f>
        <v>Council on Aging</v>
      </c>
      <c r="B26" s="194" t="str">
        <f>IF((inputPrYr!C22&gt;0),(inputPrYr!C22),"  ")</f>
        <v>Sp. Elec.</v>
      </c>
      <c r="C26" s="187">
        <v>10</v>
      </c>
      <c r="D26" s="195">
        <f>IF('levy page11'!$E$57&lt;&gt;0,'levy page11'!$E$57,"  ")</f>
        <v>36890</v>
      </c>
      <c r="E26" s="555">
        <f>IF('levy page11'!$E$64&lt;&gt;0,'levy page11'!$E$64,0)</f>
        <v>33043</v>
      </c>
      <c r="F26" s="196" t="str">
        <f>IF(AND('levy page11'!E64=0,$F$46&gt;=0)," ",IF(AND(E26&gt;0,$F$46=0)," ",IF(AND(E26&gt;0,$F$46&gt;0),ROUND(E26/$F$46*1000,3))))</f>
        <v> </v>
      </c>
    </row>
    <row r="27" spans="1:6" ht="15.75">
      <c r="A27" s="195" t="str">
        <f>IF((inputPrYr!$B23&gt;"  "),(inputPrYr!$B23),"  ")</f>
        <v>Library Service Contract</v>
      </c>
      <c r="B27" s="194" t="str">
        <f>IF((inputPrYr!C23&gt;0),(inputPrYr!C23),"  ")</f>
        <v>12-1230</v>
      </c>
      <c r="C27" s="187">
        <v>11</v>
      </c>
      <c r="D27" s="195">
        <f>IF('levy page12'!$E$23&lt;&gt;0,'levy page12'!$E$23,"  ")</f>
        <v>17513</v>
      </c>
      <c r="E27" s="555">
        <f>IF('levy page12'!$E$30&lt;&gt;0,'levy page12'!$E$30,0)</f>
        <v>15560</v>
      </c>
      <c r="F27" s="196" t="str">
        <f>IF(AND('levy page12'!E30=0,$F$46&gt;=0)," ",IF(AND(E27&gt;0,$F$46=0)," ",IF(AND(E27&gt;0,$F$46&gt;0),ROUND(E27/$F$46*1000,3))))</f>
        <v> </v>
      </c>
    </row>
    <row r="28" spans="1:6" ht="15.75">
      <c r="A28" s="195" t="str">
        <f>IF((inputPrYr!$B24&gt;"  "),(inputPrYr!$B24),"  ")</f>
        <v>Hospital Maintenance</v>
      </c>
      <c r="B28" s="194" t="str">
        <f>IF((inputPrYr!C24&gt;0),(inputPrYr!C24),"  ")</f>
        <v>19-4606</v>
      </c>
      <c r="C28" s="187">
        <v>11</v>
      </c>
      <c r="D28" s="195">
        <f>IF('levy page12'!$E$51&lt;&gt;0,'levy page12'!$E$51,"  ")</f>
        <v>858892</v>
      </c>
      <c r="E28" s="555">
        <f>IF('levy page12'!$E$58&lt;&gt;0,'levy page12'!$E$58,0)</f>
        <v>440584</v>
      </c>
      <c r="F28" s="196" t="str">
        <f>IF(AND('levy page12'!E58=0,$F$46&gt;=0)," ",IF(AND(E28&gt;0,$F$46=0)," ",IF(AND(E28&gt;0,$F$46&gt;0),ROUND(E28/$F$46*1000,3))))</f>
        <v> </v>
      </c>
    </row>
    <row r="29" spans="1:6" ht="15.75">
      <c r="A29" s="195" t="str">
        <f>IF((inputPrYr!$B25&gt;"  "),(inputPrYr!$B25),"  ")</f>
        <v>Mental Retardation</v>
      </c>
      <c r="B29" s="194" t="str">
        <f>IF((inputPrYr!C25&gt;0),(inputPrYr!C25),"  ")</f>
        <v>19-4011</v>
      </c>
      <c r="C29" s="187">
        <v>12</v>
      </c>
      <c r="D29" s="195">
        <f>IF('levy page13'!$E$25&lt;&gt;0,'levy page13'!$E$25,"  ")</f>
        <v>46340</v>
      </c>
      <c r="E29" s="555">
        <f>IF('levy page13'!$E$32&lt;&gt;0,'levy page13'!$E$32,0)</f>
        <v>41635</v>
      </c>
      <c r="F29" s="196" t="str">
        <f>IF(AND('levy page13'!E32=0,$F$46&gt;=0)," ",IF(AND(E29&gt;0,$F$46=0)," ",IF(AND(E29&gt;0,$F$46&gt;0),ROUND(E29/$F$46*1000,3))))</f>
        <v> </v>
      </c>
    </row>
    <row r="30" spans="1:6" ht="15.75">
      <c r="A30" s="195"/>
      <c r="B30" s="194"/>
      <c r="C30" s="187"/>
      <c r="D30" s="195"/>
      <c r="E30" s="555"/>
      <c r="F30" s="196"/>
    </row>
    <row r="31" spans="1:6" ht="12.75">
      <c r="A31" s="195" t="str">
        <f>IF((inputPrYr!$B43&gt;"  "),(inputPrYr!$B43),"  ")</f>
        <v>Noxious Weed Capital Outlay</v>
      </c>
      <c r="B31" s="197"/>
      <c r="C31" s="187">
        <v>13</v>
      </c>
      <c r="D31" s="195">
        <f>IF('no levy page21'!$E$22&lt;&gt;0,'no levy page21'!$E$22,"  ")</f>
        <v>66088</v>
      </c>
      <c r="E31" s="192"/>
      <c r="F31" s="192"/>
    </row>
    <row r="32" spans="1:6" ht="12.75">
      <c r="A32" s="195" t="str">
        <f>IF((inputPrYr!$B44&gt;"  "),(inputPrYr!$B44),"  ")</f>
        <v>911 Emergency Tax</v>
      </c>
      <c r="B32" s="197"/>
      <c r="C32" s="187">
        <v>13</v>
      </c>
      <c r="D32" s="195">
        <f>IF('no levy page21'!$E$48&lt;&gt;0,'no levy page21'!$E$48,"  ")</f>
        <v>34024</v>
      </c>
      <c r="E32" s="192"/>
      <c r="F32" s="192"/>
    </row>
    <row r="33" spans="1:6" ht="12.75">
      <c r="A33" s="195" t="str">
        <f>IF((inputPrYr!$B45&gt;"  "),(inputPrYr!$B45),"  ")</f>
        <v>Parks &amp; Recreation</v>
      </c>
      <c r="B33" s="197"/>
      <c r="C33" s="187">
        <v>14</v>
      </c>
      <c r="D33" s="195">
        <f>IF('no levy page22'!$E$22&lt;&gt;0,'no levy page22'!$E$22,"  ")</f>
        <v>3800</v>
      </c>
      <c r="E33" s="192"/>
      <c r="F33" s="192"/>
    </row>
    <row r="34" spans="1:6" ht="12.75">
      <c r="A34" s="195" t="str">
        <f>IF((inputPrYr!$B46&gt;"  "),(inputPrYr!$B46),"  ")</f>
        <v>Solid Waste Disposal</v>
      </c>
      <c r="B34" s="197"/>
      <c r="C34" s="187">
        <v>14</v>
      </c>
      <c r="D34" s="195">
        <f>IF('no levy page22'!$E$48&lt;&gt;0,'no levy page22'!$E$48,"  ")</f>
        <v>136369</v>
      </c>
      <c r="E34" s="192"/>
      <c r="F34" s="192"/>
    </row>
    <row r="35" spans="1:6" ht="12.75">
      <c r="A35" s="195" t="str">
        <f>IF((inputPrYr!$B47&gt;"  "),(inputPrYr!$B47),"  ")</f>
        <v>Alcohol Program</v>
      </c>
      <c r="B35" s="197"/>
      <c r="C35" s="187">
        <v>15</v>
      </c>
      <c r="D35" s="195">
        <f>IF('no levy page23'!$E$23&lt;&gt;0,'no levy page23'!$E$23,"  ")</f>
        <v>34605</v>
      </c>
      <c r="E35" s="192"/>
      <c r="F35" s="192"/>
    </row>
    <row r="36" spans="1:6" ht="12.75">
      <c r="A36" s="195" t="str">
        <f>IF((inputPrYr!$B48&gt;"  "),(inputPrYr!$B48),"  ")</f>
        <v>Special Ambulance</v>
      </c>
      <c r="B36" s="197"/>
      <c r="C36" s="187">
        <v>15</v>
      </c>
      <c r="D36" s="195">
        <f>IF('no levy page23'!$E$48&lt;&gt;0,'no levy page23'!$E$48,"  ")</f>
        <v>230494</v>
      </c>
      <c r="E36" s="192"/>
      <c r="F36" s="192"/>
    </row>
    <row r="37" spans="1:6" ht="12.75">
      <c r="A37" s="195" t="str">
        <f>IF((inputPrYr!$B49&gt;"  "),(inputPrYr!$B49),"  ")</f>
        <v>911 Wireless</v>
      </c>
      <c r="B37" s="197"/>
      <c r="C37" s="187">
        <v>16</v>
      </c>
      <c r="D37" s="195">
        <f>IF('no levy page24'!$E$23&lt;&gt;0,'no levy page24'!$E$23,"  ")</f>
        <v>72741</v>
      </c>
      <c r="E37" s="192"/>
      <c r="F37" s="192"/>
    </row>
    <row r="38" spans="1:6" ht="12.75">
      <c r="A38" s="195"/>
      <c r="B38" s="192"/>
      <c r="C38" s="187"/>
      <c r="D38" s="195"/>
      <c r="E38" s="198"/>
      <c r="F38" s="198"/>
    </row>
    <row r="39" spans="1:6" ht="12.75">
      <c r="A39" s="195" t="str">
        <f>IF((inputPrYr!$B62&gt;"  "),(nonbudA!$A3),"  ")</f>
        <v>Non-Budgeted Funds-A</v>
      </c>
      <c r="B39" s="192"/>
      <c r="C39" s="187">
        <f>IF(nonbudA!$F$35&gt;0,nonbudA!$F$35,"  ")</f>
        <v>17</v>
      </c>
      <c r="D39" s="195"/>
      <c r="E39" s="198"/>
      <c r="F39" s="198"/>
    </row>
    <row r="40" spans="1:6" ht="12.75">
      <c r="A40" s="195" t="str">
        <f>IF((inputPrYr!$B68&gt;"  "),(nonbudB!$A3),"  ")</f>
        <v>Non-Budgeted Funds-B</v>
      </c>
      <c r="B40" s="192"/>
      <c r="C40" s="187">
        <f>IF(nonbudB!$F$36&gt;0,nonbudB!$F$36,"  ")</f>
        <v>18</v>
      </c>
      <c r="D40" s="195"/>
      <c r="E40" s="198"/>
      <c r="F40" s="198"/>
    </row>
    <row r="41" spans="1:6" ht="12.75">
      <c r="A41" s="195" t="str">
        <f>IF((inputPrYr!$B74&gt;"  "),(nonbudC!$A3),"  ")</f>
        <v>Non-Budgeted Funds-C</v>
      </c>
      <c r="B41" s="192"/>
      <c r="C41" s="187">
        <f>IF(nonbudC!$F$36&gt;0,nonbudC!$F$36,"  ")</f>
        <v>19</v>
      </c>
      <c r="D41" s="195"/>
      <c r="E41" s="198"/>
      <c r="F41" s="198"/>
    </row>
    <row r="42" spans="1:6" ht="12.75">
      <c r="A42" s="195" t="str">
        <f>IF((inputPrYr!$B80&gt;"  "),(#REF!),"  ")</f>
        <v>  </v>
      </c>
      <c r="B42" s="192"/>
      <c r="C42" s="187"/>
      <c r="D42" s="195"/>
      <c r="E42" s="198"/>
      <c r="F42" s="198"/>
    </row>
    <row r="43" spans="1:6" ht="14.25" customHeight="1" thickBot="1">
      <c r="A43" s="199" t="s">
        <v>155</v>
      </c>
      <c r="B43" s="198"/>
      <c r="C43" s="187" t="s">
        <v>46</v>
      </c>
      <c r="D43" s="200">
        <f>SUM(D21:D42)</f>
        <v>6544701</v>
      </c>
      <c r="E43" s="200">
        <f>SUM(E21:E30)</f>
        <v>3645147.0994999995</v>
      </c>
      <c r="F43" s="201">
        <f>IF(SUM(F21:F30)=0,"",SUM(F21:F30))</f>
      </c>
    </row>
    <row r="44" spans="1:6" ht="14.25" customHeight="1" thickTop="1">
      <c r="A44" s="202" t="s">
        <v>45</v>
      </c>
      <c r="B44" s="203"/>
      <c r="C44" s="187">
        <v>20</v>
      </c>
      <c r="D44" s="204"/>
      <c r="E44" s="204"/>
      <c r="F44" s="183"/>
    </row>
    <row r="45" spans="1:6" ht="12.75">
      <c r="A45" s="184" t="s">
        <v>83</v>
      </c>
      <c r="B45" s="185"/>
      <c r="C45" s="187">
        <v>21</v>
      </c>
      <c r="D45" s="205"/>
      <c r="E45" s="167"/>
      <c r="F45" s="461" t="s">
        <v>305</v>
      </c>
    </row>
    <row r="46" spans="1:6" ht="15.75">
      <c r="A46" s="688" t="s">
        <v>74</v>
      </c>
      <c r="B46" s="689"/>
      <c r="C46" s="187">
        <v>22</v>
      </c>
      <c r="D46" s="206" t="s">
        <v>48</v>
      </c>
      <c r="E46" s="207" t="str">
        <f>IF(E43&gt;computation!J35,"Yes","No")</f>
        <v>Yes</v>
      </c>
      <c r="F46" s="208"/>
    </row>
    <row r="47" spans="1:6" ht="14.25" customHeight="1">
      <c r="A47" s="184" t="s">
        <v>47</v>
      </c>
      <c r="B47" s="209"/>
      <c r="C47" s="661">
        <v>23</v>
      </c>
      <c r="D47" s="205"/>
      <c r="E47" s="183"/>
      <c r="F47" s="691" t="str">
        <f>CONCATENATE("Nov 1, ",F3-1," Total Assessed Valuation")</f>
        <v>Nov 1, 2011 Total Assessed Valuation</v>
      </c>
    </row>
    <row r="48" spans="1:6" ht="12.75">
      <c r="A48" s="165" t="s">
        <v>145</v>
      </c>
      <c r="B48" s="167"/>
      <c r="C48" s="171"/>
      <c r="D48" s="167"/>
      <c r="E48" s="167"/>
      <c r="F48" s="692"/>
    </row>
    <row r="49" spans="1:6" ht="12.75">
      <c r="A49" s="211" t="s">
        <v>859</v>
      </c>
      <c r="B49" s="167"/>
      <c r="C49" s="167"/>
      <c r="D49" s="167"/>
      <c r="E49" s="417"/>
      <c r="F49" s="417"/>
    </row>
    <row r="50" spans="1:6" ht="12.75">
      <c r="A50" s="213"/>
      <c r="B50" s="210"/>
      <c r="C50" s="167"/>
      <c r="D50" s="167"/>
      <c r="E50" s="212"/>
      <c r="F50" s="212"/>
    </row>
    <row r="51" spans="1:6" ht="12.75">
      <c r="A51" s="415" t="s">
        <v>307</v>
      </c>
      <c r="B51" s="210"/>
      <c r="C51" s="459"/>
      <c r="D51" s="459"/>
      <c r="E51" s="460"/>
      <c r="F51" s="460"/>
    </row>
    <row r="52" spans="1:6" ht="12.75">
      <c r="A52" s="211" t="s">
        <v>860</v>
      </c>
      <c r="B52" s="167"/>
      <c r="C52" s="178"/>
      <c r="D52" s="178"/>
      <c r="E52" s="214"/>
      <c r="F52" s="214"/>
    </row>
    <row r="53" spans="1:6" ht="12.75">
      <c r="A53" s="213" t="s">
        <v>861</v>
      </c>
      <c r="B53" s="215"/>
      <c r="C53" s="167"/>
      <c r="D53" s="167"/>
      <c r="E53" s="212"/>
      <c r="F53" s="216"/>
    </row>
    <row r="54" spans="1:6" ht="12.75">
      <c r="A54" s="213"/>
      <c r="B54" s="167"/>
      <c r="C54" s="178"/>
      <c r="D54" s="178"/>
      <c r="E54" s="214"/>
      <c r="F54" s="217"/>
    </row>
    <row r="55" spans="1:6" ht="12.75">
      <c r="A55" s="458" t="s">
        <v>6</v>
      </c>
      <c r="B55" s="218">
        <f>F3-1</f>
        <v>2011</v>
      </c>
      <c r="C55" s="167"/>
      <c r="D55" s="167"/>
      <c r="E55" s="169"/>
      <c r="F55" s="167"/>
    </row>
    <row r="56" spans="1:6" ht="12.75">
      <c r="A56" s="457"/>
      <c r="B56" s="167"/>
      <c r="C56" s="178"/>
      <c r="D56" s="178"/>
      <c r="E56" s="178"/>
      <c r="F56" s="178"/>
    </row>
    <row r="57" spans="1:6" ht="15">
      <c r="A57" s="462" t="s">
        <v>147</v>
      </c>
      <c r="B57" s="167"/>
      <c r="C57" s="690" t="s">
        <v>146</v>
      </c>
      <c r="D57" s="687"/>
      <c r="E57" s="687"/>
      <c r="F57" s="687"/>
    </row>
    <row r="58" spans="1:6" ht="12.75">
      <c r="A58" s="679"/>
      <c r="B58" s="679"/>
      <c r="C58" s="679"/>
      <c r="D58" s="679"/>
      <c r="E58" s="679"/>
      <c r="F58" s="679"/>
    </row>
    <row r="59" spans="3:6" ht="12.75">
      <c r="C59" s="219"/>
      <c r="E59" s="219"/>
      <c r="F59" s="219"/>
    </row>
  </sheetData>
  <sheetProtection/>
  <mergeCells count="9">
    <mergeCell ref="A58:F58"/>
    <mergeCell ref="A2:F2"/>
    <mergeCell ref="E13:E14"/>
    <mergeCell ref="A6:F6"/>
    <mergeCell ref="A4:F4"/>
    <mergeCell ref="A5:F5"/>
    <mergeCell ref="A46:B46"/>
    <mergeCell ref="C57:F57"/>
    <mergeCell ref="F47:F48"/>
  </mergeCells>
  <printOptions/>
  <pageMargins left="0.5" right="0.5" top="0" bottom="0.23" header="0" footer="0"/>
  <pageSetup blackAndWhite="1" fitToHeight="1" fitToWidth="1" horizontalDpi="120" verticalDpi="120" orientation="portrait" scale="95" r:id="rId1"/>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C47" sqref="C47"/>
    </sheetView>
  </sheetViews>
  <sheetFormatPr defaultColWidth="8.796875" defaultRowHeight="15"/>
  <cols>
    <col min="1" max="1" width="20.796875" style="75" customWidth="1"/>
    <col min="2" max="2" width="9.796875" style="75" customWidth="1"/>
    <col min="3" max="3" width="5.796875" style="75" customWidth="1"/>
    <col min="4" max="7" width="12.796875" style="75" customWidth="1"/>
    <col min="8" max="16384" width="8.8984375" style="75" customWidth="1"/>
  </cols>
  <sheetData>
    <row r="1" spans="1:7" ht="15.75">
      <c r="A1" s="128"/>
      <c r="B1" s="128"/>
      <c r="C1" s="128"/>
      <c r="D1" s="128"/>
      <c r="E1" s="128"/>
      <c r="F1" s="128"/>
      <c r="G1" s="128"/>
    </row>
    <row r="2" spans="1:7" ht="15.75">
      <c r="A2" s="128"/>
      <c r="B2" s="128"/>
      <c r="C2" s="128"/>
      <c r="D2" s="128"/>
      <c r="E2" s="128"/>
      <c r="F2" s="128"/>
      <c r="G2" s="128"/>
    </row>
    <row r="3" spans="1:7" ht="15.75">
      <c r="A3" s="147" t="str">
        <f>inputPrYr!C2</f>
        <v>Sheridan County</v>
      </c>
      <c r="B3" s="128"/>
      <c r="C3" s="128"/>
      <c r="D3" s="128"/>
      <c r="E3" s="128"/>
      <c r="F3" s="128"/>
      <c r="G3" s="128">
        <f>inputPrYr!C4</f>
        <v>2012</v>
      </c>
    </row>
    <row r="4" spans="1:7" ht="15.75">
      <c r="A4" s="667" t="s">
        <v>10</v>
      </c>
      <c r="B4" s="686"/>
      <c r="C4" s="686"/>
      <c r="D4" s="686"/>
      <c r="E4" s="686"/>
      <c r="F4" s="686"/>
      <c r="G4" s="686"/>
    </row>
    <row r="5" spans="1:7" ht="15.75">
      <c r="A5" s="220"/>
      <c r="B5" s="96"/>
      <c r="C5" s="96"/>
      <c r="D5" s="220"/>
      <c r="E5" s="220"/>
      <c r="F5" s="220"/>
      <c r="G5" s="220"/>
    </row>
    <row r="6" spans="1:7" ht="15.75">
      <c r="A6" s="88"/>
      <c r="B6" s="88"/>
      <c r="C6" s="88"/>
      <c r="D6" s="221" t="str">
        <f>CONCATENATE("",G3," Proposed Budget")</f>
        <v>2012 Proposed Budget</v>
      </c>
      <c r="E6" s="222"/>
      <c r="F6" s="222"/>
      <c r="G6" s="223"/>
    </row>
    <row r="7" spans="1:7" ht="21" customHeight="1">
      <c r="A7" s="88"/>
      <c r="B7" s="88"/>
      <c r="C7" s="224" t="s">
        <v>133</v>
      </c>
      <c r="D7" s="498" t="s">
        <v>666</v>
      </c>
      <c r="E7" s="693" t="str">
        <f>CONCATENATE("Amount of ",G3-1,"      Ad Valorem Tax")</f>
        <v>Amount of 2011      Ad Valorem Tax</v>
      </c>
      <c r="F7" s="693" t="s">
        <v>306</v>
      </c>
      <c r="G7" s="224" t="s">
        <v>134</v>
      </c>
    </row>
    <row r="8" spans="1:7" ht="15.75">
      <c r="A8" s="225" t="s">
        <v>9</v>
      </c>
      <c r="B8" s="117"/>
      <c r="C8" s="226" t="s">
        <v>136</v>
      </c>
      <c r="D8" s="499" t="s">
        <v>667</v>
      </c>
      <c r="E8" s="673"/>
      <c r="F8" s="673"/>
      <c r="G8" s="226" t="s">
        <v>138</v>
      </c>
    </row>
    <row r="9" spans="1:7" ht="15.75">
      <c r="A9" s="227" t="s">
        <v>8</v>
      </c>
      <c r="B9" s="228" t="s">
        <v>142</v>
      </c>
      <c r="C9" s="111"/>
      <c r="D9" s="111"/>
      <c r="E9" s="111"/>
      <c r="F9" s="111"/>
      <c r="G9" s="111"/>
    </row>
    <row r="10" spans="1:7" ht="15.75">
      <c r="A10" s="229" t="s">
        <v>862</v>
      </c>
      <c r="B10" s="150" t="s">
        <v>863</v>
      </c>
      <c r="C10" s="150"/>
      <c r="D10" s="150"/>
      <c r="E10" s="150"/>
      <c r="F10" s="150"/>
      <c r="G10" s="196" t="str">
        <f>IF(AND(D10=0,F10&gt;=0)," ",IF(AND(E10&gt;0,F10=0)," ",IF(AND(E10&gt;0,F10&gt;0),ROUND(E10/F10*1000,3))))</f>
        <v> </v>
      </c>
    </row>
    <row r="11" spans="1:7" ht="15.75">
      <c r="A11" s="150"/>
      <c r="B11" s="150"/>
      <c r="C11" s="150"/>
      <c r="D11" s="150"/>
      <c r="E11" s="150"/>
      <c r="F11" s="150"/>
      <c r="G11" s="196" t="str">
        <f aca="true" t="shared" si="0" ref="G11:G38">IF(AND(D11=0,F11&gt;=0)," ",IF(AND(E11&gt;0,F11=0)," ",IF(AND(E11&gt;0,F11&gt;0),ROUND(E11/F11*1000,3))))</f>
        <v> </v>
      </c>
    </row>
    <row r="12" spans="1:7" ht="15.75">
      <c r="A12" s="150"/>
      <c r="B12" s="150"/>
      <c r="C12" s="150"/>
      <c r="D12" s="150"/>
      <c r="E12" s="150"/>
      <c r="F12" s="150"/>
      <c r="G12" s="196" t="str">
        <f t="shared" si="0"/>
        <v> </v>
      </c>
    </row>
    <row r="13" spans="1:7" ht="15.75">
      <c r="A13" s="150"/>
      <c r="B13" s="150"/>
      <c r="C13" s="150"/>
      <c r="D13" s="150"/>
      <c r="E13" s="150"/>
      <c r="F13" s="150"/>
      <c r="G13" s="196" t="str">
        <f t="shared" si="0"/>
        <v> </v>
      </c>
    </row>
    <row r="14" spans="1:7" ht="15.75">
      <c r="A14" s="150"/>
      <c r="B14" s="150"/>
      <c r="C14" s="150"/>
      <c r="D14" s="150"/>
      <c r="E14" s="150"/>
      <c r="F14" s="150"/>
      <c r="G14" s="196" t="str">
        <f t="shared" si="0"/>
        <v> </v>
      </c>
    </row>
    <row r="15" spans="1:7" ht="15.75">
      <c r="A15" s="150"/>
      <c r="B15" s="150"/>
      <c r="C15" s="150"/>
      <c r="D15" s="150"/>
      <c r="E15" s="150"/>
      <c r="F15" s="150"/>
      <c r="G15" s="196" t="str">
        <f t="shared" si="0"/>
        <v> </v>
      </c>
    </row>
    <row r="16" spans="1:7" ht="15.75">
      <c r="A16" s="150"/>
      <c r="B16" s="150"/>
      <c r="C16" s="150"/>
      <c r="D16" s="150"/>
      <c r="E16" s="150"/>
      <c r="F16" s="150"/>
      <c r="G16" s="196" t="str">
        <f t="shared" si="0"/>
        <v> </v>
      </c>
    </row>
    <row r="17" spans="1:7" ht="15.75">
      <c r="A17" s="150"/>
      <c r="B17" s="150"/>
      <c r="C17" s="150"/>
      <c r="D17" s="150"/>
      <c r="E17" s="150"/>
      <c r="F17" s="150"/>
      <c r="G17" s="196" t="str">
        <f t="shared" si="0"/>
        <v> </v>
      </c>
    </row>
    <row r="18" spans="1:7" ht="15.75">
      <c r="A18" s="150"/>
      <c r="B18" s="150"/>
      <c r="C18" s="150"/>
      <c r="D18" s="150"/>
      <c r="E18" s="150"/>
      <c r="F18" s="150"/>
      <c r="G18" s="196" t="str">
        <f t="shared" si="0"/>
        <v> </v>
      </c>
    </row>
    <row r="19" spans="1:7" ht="15.75">
      <c r="A19" s="150"/>
      <c r="B19" s="150"/>
      <c r="C19" s="150"/>
      <c r="D19" s="150"/>
      <c r="E19" s="150"/>
      <c r="F19" s="150"/>
      <c r="G19" s="196" t="str">
        <f t="shared" si="0"/>
        <v> </v>
      </c>
    </row>
    <row r="20" spans="1:7" ht="15.75">
      <c r="A20" s="150"/>
      <c r="B20" s="150"/>
      <c r="C20" s="150"/>
      <c r="D20" s="150"/>
      <c r="E20" s="150"/>
      <c r="F20" s="150"/>
      <c r="G20" s="196" t="str">
        <f t="shared" si="0"/>
        <v> </v>
      </c>
    </row>
    <row r="21" spans="1:7" ht="15.75">
      <c r="A21" s="150"/>
      <c r="B21" s="150"/>
      <c r="C21" s="150"/>
      <c r="D21" s="150"/>
      <c r="E21" s="150"/>
      <c r="F21" s="150"/>
      <c r="G21" s="196" t="str">
        <f t="shared" si="0"/>
        <v> </v>
      </c>
    </row>
    <row r="22" spans="1:7" ht="15.75">
      <c r="A22" s="150"/>
      <c r="B22" s="150"/>
      <c r="C22" s="150"/>
      <c r="D22" s="150"/>
      <c r="E22" s="150"/>
      <c r="F22" s="150"/>
      <c r="G22" s="196" t="str">
        <f t="shared" si="0"/>
        <v> </v>
      </c>
    </row>
    <row r="23" spans="1:7" ht="15.75">
      <c r="A23" s="150"/>
      <c r="B23" s="150"/>
      <c r="C23" s="150"/>
      <c r="D23" s="150"/>
      <c r="E23" s="150"/>
      <c r="F23" s="150"/>
      <c r="G23" s="196" t="str">
        <f t="shared" si="0"/>
        <v> </v>
      </c>
    </row>
    <row r="24" spans="1:7" ht="15.75">
      <c r="A24" s="150"/>
      <c r="B24" s="150"/>
      <c r="C24" s="150"/>
      <c r="D24" s="150"/>
      <c r="E24" s="150"/>
      <c r="F24" s="150"/>
      <c r="G24" s="196" t="str">
        <f t="shared" si="0"/>
        <v> </v>
      </c>
    </row>
    <row r="25" spans="1:7" ht="15.75">
      <c r="A25" s="150"/>
      <c r="B25" s="150"/>
      <c r="C25" s="150"/>
      <c r="D25" s="150"/>
      <c r="E25" s="150"/>
      <c r="F25" s="150"/>
      <c r="G25" s="196" t="str">
        <f t="shared" si="0"/>
        <v> </v>
      </c>
    </row>
    <row r="26" spans="1:7" ht="15.75">
      <c r="A26" s="150"/>
      <c r="B26" s="150"/>
      <c r="C26" s="150"/>
      <c r="D26" s="150"/>
      <c r="E26" s="150"/>
      <c r="F26" s="150"/>
      <c r="G26" s="196" t="str">
        <f t="shared" si="0"/>
        <v> </v>
      </c>
    </row>
    <row r="27" spans="1:7" ht="15.75">
      <c r="A27" s="150"/>
      <c r="B27" s="150"/>
      <c r="C27" s="150"/>
      <c r="D27" s="150"/>
      <c r="E27" s="150"/>
      <c r="F27" s="150"/>
      <c r="G27" s="196" t="str">
        <f t="shared" si="0"/>
        <v> </v>
      </c>
    </row>
    <row r="28" spans="1:7" ht="15.75">
      <c r="A28" s="150"/>
      <c r="B28" s="150"/>
      <c r="C28" s="150"/>
      <c r="D28" s="150"/>
      <c r="E28" s="150"/>
      <c r="F28" s="150"/>
      <c r="G28" s="196" t="str">
        <f t="shared" si="0"/>
        <v> </v>
      </c>
    </row>
    <row r="29" spans="1:7" ht="15.75">
      <c r="A29" s="150"/>
      <c r="B29" s="114"/>
      <c r="C29" s="150"/>
      <c r="D29" s="150"/>
      <c r="E29" s="114"/>
      <c r="F29" s="114"/>
      <c r="G29" s="196" t="str">
        <f t="shared" si="0"/>
        <v> </v>
      </c>
    </row>
    <row r="30" spans="1:7" ht="15.75">
      <c r="A30" s="150"/>
      <c r="B30" s="114"/>
      <c r="C30" s="150"/>
      <c r="D30" s="150"/>
      <c r="E30" s="114"/>
      <c r="F30" s="114"/>
      <c r="G30" s="196" t="str">
        <f t="shared" si="0"/>
        <v> </v>
      </c>
    </row>
    <row r="31" spans="1:7" ht="15.75">
      <c r="A31" s="150"/>
      <c r="B31" s="114"/>
      <c r="C31" s="150"/>
      <c r="D31" s="150"/>
      <c r="E31" s="114"/>
      <c r="F31" s="114"/>
      <c r="G31" s="196" t="str">
        <f t="shared" si="0"/>
        <v> </v>
      </c>
    </row>
    <row r="32" spans="1:7" ht="15.75">
      <c r="A32" s="150"/>
      <c r="B32" s="114"/>
      <c r="C32" s="150"/>
      <c r="D32" s="150"/>
      <c r="E32" s="114"/>
      <c r="F32" s="114"/>
      <c r="G32" s="196" t="str">
        <f t="shared" si="0"/>
        <v> </v>
      </c>
    </row>
    <row r="33" spans="1:7" ht="15.75">
      <c r="A33" s="150"/>
      <c r="B33" s="114"/>
      <c r="C33" s="150"/>
      <c r="D33" s="150"/>
      <c r="E33" s="114"/>
      <c r="F33" s="114"/>
      <c r="G33" s="196" t="str">
        <f t="shared" si="0"/>
        <v> </v>
      </c>
    </row>
    <row r="34" spans="1:7" ht="15.75">
      <c r="A34" s="150"/>
      <c r="B34" s="114"/>
      <c r="C34" s="150"/>
      <c r="D34" s="150"/>
      <c r="E34" s="114"/>
      <c r="F34" s="114"/>
      <c r="G34" s="196" t="str">
        <f t="shared" si="0"/>
        <v> </v>
      </c>
    </row>
    <row r="35" spans="1:7" ht="15.75">
      <c r="A35" s="150"/>
      <c r="B35" s="114"/>
      <c r="C35" s="150"/>
      <c r="D35" s="150"/>
      <c r="E35" s="114"/>
      <c r="F35" s="114"/>
      <c r="G35" s="196" t="str">
        <f t="shared" si="0"/>
        <v> </v>
      </c>
    </row>
    <row r="36" spans="1:7" ht="15.75">
      <c r="A36" s="150"/>
      <c r="B36" s="114"/>
      <c r="C36" s="150"/>
      <c r="D36" s="150"/>
      <c r="E36" s="114"/>
      <c r="F36" s="114"/>
      <c r="G36" s="196" t="str">
        <f t="shared" si="0"/>
        <v> </v>
      </c>
    </row>
    <row r="37" spans="1:7" ht="15.75">
      <c r="A37" s="150"/>
      <c r="B37" s="114"/>
      <c r="C37" s="150"/>
      <c r="D37" s="150"/>
      <c r="E37" s="114"/>
      <c r="F37" s="114"/>
      <c r="G37" s="196" t="str">
        <f t="shared" si="0"/>
        <v> </v>
      </c>
    </row>
    <row r="38" spans="1:7" ht="15.75">
      <c r="A38" s="150"/>
      <c r="B38" s="114"/>
      <c r="C38" s="150"/>
      <c r="D38" s="150"/>
      <c r="E38" s="114"/>
      <c r="F38" s="114"/>
      <c r="G38" s="196" t="str">
        <f t="shared" si="0"/>
        <v> </v>
      </c>
    </row>
    <row r="39" spans="1:7" ht="16.5" thickBot="1">
      <c r="A39" s="151" t="s">
        <v>143</v>
      </c>
      <c r="B39" s="118"/>
      <c r="C39" s="230" t="s">
        <v>144</v>
      </c>
      <c r="D39" s="231">
        <f>SUM(D10:D38)</f>
        <v>0</v>
      </c>
      <c r="E39" s="231">
        <f>SUM(E10:E38)</f>
        <v>0</v>
      </c>
      <c r="F39" s="231"/>
      <c r="G39" s="232">
        <f>SUM(G10:G38)</f>
        <v>0</v>
      </c>
    </row>
    <row r="40" spans="1:7" ht="16.5" thickTop="1">
      <c r="A40" s="124"/>
      <c r="B40" s="91"/>
      <c r="C40" s="233"/>
      <c r="D40" s="88"/>
      <c r="E40" s="88"/>
      <c r="F40" s="88"/>
      <c r="G40" s="88"/>
    </row>
    <row r="41" spans="1:7" ht="15.75">
      <c r="A41" s="124"/>
      <c r="B41" s="88"/>
      <c r="C41" s="88"/>
      <c r="D41" s="88"/>
      <c r="E41" s="88"/>
      <c r="F41" s="88"/>
      <c r="G41" s="88"/>
    </row>
    <row r="42" spans="1:7" ht="15.75">
      <c r="A42" s="234"/>
      <c r="B42" s="146"/>
      <c r="C42" s="146"/>
      <c r="D42" s="146"/>
      <c r="E42" s="146"/>
      <c r="F42" s="146"/>
      <c r="G42" s="146"/>
    </row>
    <row r="43" spans="1:7" ht="15.75">
      <c r="A43" s="235"/>
      <c r="B43" s="235"/>
      <c r="C43" s="235"/>
      <c r="D43" s="235"/>
      <c r="E43" s="235"/>
      <c r="F43" s="235"/>
      <c r="G43" s="235"/>
    </row>
    <row r="44" spans="1:7" ht="15.75">
      <c r="A44" s="146"/>
      <c r="B44" s="146"/>
      <c r="C44" s="146"/>
      <c r="D44" s="146"/>
      <c r="E44" s="146"/>
      <c r="F44" s="146"/>
      <c r="G44" s="236"/>
    </row>
    <row r="54" spans="1:7" ht="15.75">
      <c r="A54" s="146"/>
      <c r="B54" s="146"/>
      <c r="C54" s="146"/>
      <c r="D54" s="146"/>
      <c r="E54" s="146"/>
      <c r="F54" s="146"/>
      <c r="G54" s="146"/>
    </row>
    <row r="58" spans="1:7" ht="15.75">
      <c r="A58" s="146"/>
      <c r="B58" s="146"/>
      <c r="C58" s="146"/>
      <c r="D58" s="234"/>
      <c r="E58" s="146"/>
      <c r="F58" s="146"/>
      <c r="G58" s="146"/>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25">
      <selection activeCell="C47" sqref="C47"/>
    </sheetView>
  </sheetViews>
  <sheetFormatPr defaultColWidth="8.796875" defaultRowHeight="15.75" customHeight="1"/>
  <cols>
    <col min="1" max="2" width="3.296875" style="75" customWidth="1"/>
    <col min="3" max="3" width="31.296875" style="75" customWidth="1"/>
    <col min="4" max="4" width="2.296875" style="75" customWidth="1"/>
    <col min="5" max="5" width="15.796875" style="75" customWidth="1"/>
    <col min="6" max="6" width="2" style="75" customWidth="1"/>
    <col min="7" max="7" width="15.796875" style="75" customWidth="1"/>
    <col min="8" max="8" width="1.8984375" style="75" customWidth="1"/>
    <col min="9" max="9" width="1.796875" style="75" customWidth="1"/>
    <col min="10" max="10" width="15.796875" style="75" customWidth="1"/>
    <col min="11" max="16384" width="8.8984375" style="75" customWidth="1"/>
  </cols>
  <sheetData>
    <row r="1" spans="1:10" ht="15.75" customHeight="1">
      <c r="A1" s="88"/>
      <c r="B1" s="88"/>
      <c r="C1" s="237" t="str">
        <f>inputPrYr!C2</f>
        <v>Sheridan County</v>
      </c>
      <c r="D1" s="88"/>
      <c r="E1" s="88"/>
      <c r="F1" s="88"/>
      <c r="G1" s="88"/>
      <c r="H1" s="88"/>
      <c r="I1" s="88"/>
      <c r="J1" s="88">
        <f>inputPrYr!C4</f>
        <v>2012</v>
      </c>
    </row>
    <row r="2" spans="1:10" ht="15.75" customHeight="1">
      <c r="A2" s="88"/>
      <c r="B2" s="88"/>
      <c r="C2" s="88"/>
      <c r="D2" s="88"/>
      <c r="E2" s="88"/>
      <c r="F2" s="88"/>
      <c r="G2" s="88"/>
      <c r="H2" s="88"/>
      <c r="I2" s="88"/>
      <c r="J2" s="88"/>
    </row>
    <row r="3" spans="1:10" ht="15.75">
      <c r="A3" s="667" t="str">
        <f>CONCATENATE("Computation to Determine Limit for ",J1,"")</f>
        <v>Computation to Determine Limit for 2012</v>
      </c>
      <c r="B3" s="695"/>
      <c r="C3" s="695"/>
      <c r="D3" s="695"/>
      <c r="E3" s="695"/>
      <c r="F3" s="695"/>
      <c r="G3" s="695"/>
      <c r="H3" s="695"/>
      <c r="I3" s="695"/>
      <c r="J3" s="695"/>
    </row>
    <row r="4" spans="1:10" ht="15.75">
      <c r="A4" s="88"/>
      <c r="B4" s="88"/>
      <c r="C4" s="88"/>
      <c r="D4" s="88"/>
      <c r="E4" s="695"/>
      <c r="F4" s="695"/>
      <c r="G4" s="695"/>
      <c r="H4" s="238"/>
      <c r="I4" s="88"/>
      <c r="J4" s="239" t="s">
        <v>236</v>
      </c>
    </row>
    <row r="5" spans="1:10" ht="15.75">
      <c r="A5" s="240" t="s">
        <v>237</v>
      </c>
      <c r="B5" s="88" t="str">
        <f>CONCATENATE("Total Tax Levy Amount in ",J1-1," Budget")</f>
        <v>Total Tax Levy Amount in 2011 Budget</v>
      </c>
      <c r="C5" s="88"/>
      <c r="D5" s="88"/>
      <c r="E5" s="148"/>
      <c r="F5" s="148"/>
      <c r="G5" s="148"/>
      <c r="H5" s="241" t="s">
        <v>238</v>
      </c>
      <c r="I5" s="148" t="s">
        <v>239</v>
      </c>
      <c r="J5" s="242">
        <f>inputPrYr!E41</f>
        <v>3149161</v>
      </c>
    </row>
    <row r="6" spans="1:10" ht="15.75">
      <c r="A6" s="240" t="s">
        <v>240</v>
      </c>
      <c r="B6" s="88" t="str">
        <f>CONCATENATE("Debt Service Levy in ",J1-1," Budget")</f>
        <v>Debt Service Levy in 2011 Budget</v>
      </c>
      <c r="C6" s="88"/>
      <c r="D6" s="88"/>
      <c r="E6" s="148"/>
      <c r="F6" s="148"/>
      <c r="G6" s="148"/>
      <c r="H6" s="241" t="s">
        <v>241</v>
      </c>
      <c r="I6" s="148" t="s">
        <v>239</v>
      </c>
      <c r="J6" s="154">
        <f>inputPrYr!E17</f>
        <v>0</v>
      </c>
    </row>
    <row r="7" spans="1:10" ht="15.75">
      <c r="A7" s="240" t="s">
        <v>242</v>
      </c>
      <c r="B7" s="155" t="s">
        <v>259</v>
      </c>
      <c r="C7" s="88"/>
      <c r="D7" s="88"/>
      <c r="E7" s="148"/>
      <c r="F7" s="148"/>
      <c r="G7" s="148"/>
      <c r="H7" s="148"/>
      <c r="I7" s="148" t="s">
        <v>239</v>
      </c>
      <c r="J7" s="154">
        <f>J5-J6</f>
        <v>3149161</v>
      </c>
    </row>
    <row r="8" spans="1:10" ht="15.75">
      <c r="A8" s="88"/>
      <c r="B8" s="88"/>
      <c r="C8" s="88"/>
      <c r="D8" s="88"/>
      <c r="E8" s="148"/>
      <c r="F8" s="148"/>
      <c r="G8" s="148"/>
      <c r="H8" s="148"/>
      <c r="I8" s="148"/>
      <c r="J8" s="148"/>
    </row>
    <row r="9" spans="1:10" ht="15.75">
      <c r="A9" s="88"/>
      <c r="B9" s="155" t="str">
        <f>CONCATENATE("",J1-1," Valuation Information for Valuation Adjustments:")</f>
        <v>2011 Valuation Information for Valuation Adjustments:</v>
      </c>
      <c r="C9" s="88"/>
      <c r="D9" s="88"/>
      <c r="E9" s="148"/>
      <c r="F9" s="148"/>
      <c r="G9" s="148"/>
      <c r="H9" s="148"/>
      <c r="I9" s="148"/>
      <c r="J9" s="148"/>
    </row>
    <row r="10" spans="1:10" ht="15.75">
      <c r="A10" s="88"/>
      <c r="B10" s="88"/>
      <c r="C10" s="155"/>
      <c r="D10" s="88"/>
      <c r="E10" s="148"/>
      <c r="F10" s="148"/>
      <c r="G10" s="148"/>
      <c r="H10" s="148"/>
      <c r="I10" s="148"/>
      <c r="J10" s="148"/>
    </row>
    <row r="11" spans="1:10" ht="15.75">
      <c r="A11" s="240" t="s">
        <v>243</v>
      </c>
      <c r="B11" s="155" t="str">
        <f>CONCATENATE("New Improvements for ",J1-1,":")</f>
        <v>New Improvements for 2011:</v>
      </c>
      <c r="C11" s="88"/>
      <c r="D11" s="88"/>
      <c r="E11" s="241"/>
      <c r="F11" s="241" t="s">
        <v>238</v>
      </c>
      <c r="G11" s="242">
        <f>inputOth!E7</f>
        <v>170231</v>
      </c>
      <c r="H11" s="126"/>
      <c r="I11" s="148"/>
      <c r="J11" s="148"/>
    </row>
    <row r="12" spans="1:10" ht="15.75">
      <c r="A12" s="240"/>
      <c r="B12" s="240"/>
      <c r="C12" s="88"/>
      <c r="D12" s="88"/>
      <c r="E12" s="241"/>
      <c r="F12" s="241"/>
      <c r="G12" s="126"/>
      <c r="H12" s="126"/>
      <c r="I12" s="148"/>
      <c r="J12" s="148"/>
    </row>
    <row r="13" spans="1:10" ht="15.75">
      <c r="A13" s="240" t="s">
        <v>244</v>
      </c>
      <c r="B13" s="155" t="str">
        <f>CONCATENATE("Increase in Personal Property for ",J1-1,":")</f>
        <v>Increase in Personal Property for 2011:</v>
      </c>
      <c r="C13" s="88"/>
      <c r="D13" s="88"/>
      <c r="E13" s="241"/>
      <c r="F13" s="241"/>
      <c r="G13" s="126"/>
      <c r="H13" s="126"/>
      <c r="I13" s="148"/>
      <c r="J13" s="148"/>
    </row>
    <row r="14" spans="1:10" ht="15.75">
      <c r="A14" s="88"/>
      <c r="B14" s="88" t="s">
        <v>245</v>
      </c>
      <c r="C14" s="88" t="str">
        <f>CONCATENATE("Personal Property ",J1-1,"")</f>
        <v>Personal Property 2011</v>
      </c>
      <c r="D14" s="240" t="s">
        <v>238</v>
      </c>
      <c r="E14" s="242">
        <f>inputOth!E8</f>
        <v>1636475</v>
      </c>
      <c r="F14" s="241"/>
      <c r="G14" s="148"/>
      <c r="H14" s="148"/>
      <c r="I14" s="126"/>
      <c r="J14" s="148"/>
    </row>
    <row r="15" spans="1:10" ht="15.75">
      <c r="A15" s="240"/>
      <c r="B15" s="88" t="s">
        <v>246</v>
      </c>
      <c r="C15" s="88" t="str">
        <f>CONCATENATE("Personal Property ",J1-2,"")</f>
        <v>Personal Property 2010</v>
      </c>
      <c r="D15" s="240" t="s">
        <v>241</v>
      </c>
      <c r="E15" s="154">
        <f>inputOth!E10</f>
        <v>1787036</v>
      </c>
      <c r="F15" s="241"/>
      <c r="G15" s="126"/>
      <c r="H15" s="126"/>
      <c r="I15" s="148"/>
      <c r="J15" s="148"/>
    </row>
    <row r="16" spans="1:10" ht="15.75">
      <c r="A16" s="240"/>
      <c r="B16" s="88" t="s">
        <v>247</v>
      </c>
      <c r="C16" s="88" t="s">
        <v>261</v>
      </c>
      <c r="D16" s="88"/>
      <c r="E16" s="148"/>
      <c r="F16" s="148" t="s">
        <v>238</v>
      </c>
      <c r="G16" s="242">
        <f>IF(E14&gt;E15,E14-E15,0)</f>
        <v>0</v>
      </c>
      <c r="H16" s="126"/>
      <c r="I16" s="148"/>
      <c r="J16" s="148"/>
    </row>
    <row r="17" spans="1:10" ht="15.75">
      <c r="A17" s="240"/>
      <c r="B17" s="240"/>
      <c r="C17" s="88"/>
      <c r="D17" s="88"/>
      <c r="E17" s="148"/>
      <c r="F17" s="148"/>
      <c r="G17" s="126" t="s">
        <v>253</v>
      </c>
      <c r="H17" s="126"/>
      <c r="I17" s="148"/>
      <c r="J17" s="148"/>
    </row>
    <row r="18" spans="1:10" ht="15.75">
      <c r="A18" s="240"/>
      <c r="B18" s="240"/>
      <c r="C18" s="88"/>
      <c r="D18" s="240"/>
      <c r="E18" s="126"/>
      <c r="F18" s="148"/>
      <c r="G18" s="126"/>
      <c r="H18" s="126"/>
      <c r="I18" s="148"/>
      <c r="J18" s="148"/>
    </row>
    <row r="19" spans="1:10" ht="15.75">
      <c r="A19" s="240" t="s">
        <v>248</v>
      </c>
      <c r="B19" s="155" t="str">
        <f>CONCATENATE("Valuation of Property that has Changed in Use during ",J1-1,":")</f>
        <v>Valuation of Property that has Changed in Use during 2011:</v>
      </c>
      <c r="C19" s="88"/>
      <c r="D19" s="88"/>
      <c r="E19" s="148"/>
      <c r="F19" s="148"/>
      <c r="G19" s="148">
        <f>inputOth!E9</f>
        <v>36734</v>
      </c>
      <c r="H19" s="148"/>
      <c r="I19" s="148"/>
      <c r="J19" s="148"/>
    </row>
    <row r="20" spans="1:10" ht="15.75">
      <c r="A20" s="240"/>
      <c r="B20" s="88"/>
      <c r="C20" s="88"/>
      <c r="D20" s="240"/>
      <c r="E20" s="126"/>
      <c r="F20" s="148"/>
      <c r="G20" s="243"/>
      <c r="H20" s="126"/>
      <c r="I20" s="148"/>
      <c r="J20" s="148"/>
    </row>
    <row r="21" spans="1:10" ht="15.75">
      <c r="A21" s="240" t="s">
        <v>255</v>
      </c>
      <c r="B21" s="155" t="s">
        <v>260</v>
      </c>
      <c r="C21" s="88"/>
      <c r="D21" s="88"/>
      <c r="E21" s="148"/>
      <c r="F21" s="148"/>
      <c r="G21" s="242">
        <f>G11+G16+G19</f>
        <v>206965</v>
      </c>
      <c r="H21" s="126"/>
      <c r="I21" s="148"/>
      <c r="J21" s="148"/>
    </row>
    <row r="22" spans="1:10" ht="15.75">
      <c r="A22" s="240"/>
      <c r="B22" s="240"/>
      <c r="C22" s="155"/>
      <c r="D22" s="88"/>
      <c r="E22" s="148"/>
      <c r="F22" s="148"/>
      <c r="G22" s="126"/>
      <c r="H22" s="126"/>
      <c r="I22" s="148"/>
      <c r="J22" s="148"/>
    </row>
    <row r="23" spans="1:10" ht="15.75">
      <c r="A23" s="240" t="s">
        <v>256</v>
      </c>
      <c r="B23" s="88" t="str">
        <f>CONCATENATE("Total Estimated Valuation July 1,",J1-1,"")</f>
        <v>Total Estimated Valuation July 1,2011</v>
      </c>
      <c r="C23" s="88"/>
      <c r="D23" s="88"/>
      <c r="E23" s="242">
        <f>inputOth!E6</f>
        <v>44021447</v>
      </c>
      <c r="F23" s="148"/>
      <c r="G23" s="148"/>
      <c r="H23" s="148"/>
      <c r="I23" s="241"/>
      <c r="J23" s="148"/>
    </row>
    <row r="24" spans="1:10" ht="15.75">
      <c r="A24" s="240"/>
      <c r="B24" s="240"/>
      <c r="C24" s="88"/>
      <c r="D24" s="88"/>
      <c r="E24" s="126"/>
      <c r="F24" s="148"/>
      <c r="G24" s="148"/>
      <c r="H24" s="148"/>
      <c r="I24" s="241"/>
      <c r="J24" s="148"/>
    </row>
    <row r="25" spans="1:10" ht="15.75">
      <c r="A25" s="240" t="s">
        <v>249</v>
      </c>
      <c r="B25" s="155" t="s">
        <v>264</v>
      </c>
      <c r="C25" s="88"/>
      <c r="D25" s="88"/>
      <c r="E25" s="148"/>
      <c r="F25" s="148"/>
      <c r="G25" s="242">
        <f>E23-G21</f>
        <v>43814482</v>
      </c>
      <c r="H25" s="126"/>
      <c r="I25" s="241"/>
      <c r="J25" s="148"/>
    </row>
    <row r="26" spans="1:10" ht="15.75">
      <c r="A26" s="240"/>
      <c r="B26" s="240"/>
      <c r="C26" s="155"/>
      <c r="D26" s="88"/>
      <c r="E26" s="88"/>
      <c r="F26" s="88"/>
      <c r="G26" s="244"/>
      <c r="H26" s="91"/>
      <c r="I26" s="240"/>
      <c r="J26" s="88"/>
    </row>
    <row r="27" spans="1:10" ht="15.75">
      <c r="A27" s="240" t="s">
        <v>250</v>
      </c>
      <c r="B27" s="88" t="s">
        <v>263</v>
      </c>
      <c r="C27" s="88"/>
      <c r="D27" s="88"/>
      <c r="E27" s="88"/>
      <c r="F27" s="88"/>
      <c r="G27" s="245">
        <f>IF(G21&gt;0,G21/G25,0)</f>
        <v>0.00472366648086813</v>
      </c>
      <c r="H27" s="91"/>
      <c r="I27" s="88"/>
      <c r="J27" s="88"/>
    </row>
    <row r="28" spans="1:10" ht="15.75">
      <c r="A28" s="240"/>
      <c r="B28" s="240"/>
      <c r="C28" s="88"/>
      <c r="D28" s="88"/>
      <c r="E28" s="88"/>
      <c r="F28" s="88"/>
      <c r="G28" s="91"/>
      <c r="H28" s="91"/>
      <c r="I28" s="88"/>
      <c r="J28" s="88"/>
    </row>
    <row r="29" spans="1:10" ht="15.75">
      <c r="A29" s="240" t="s">
        <v>251</v>
      </c>
      <c r="B29" s="88" t="s">
        <v>262</v>
      </c>
      <c r="C29" s="88"/>
      <c r="D29" s="88"/>
      <c r="E29" s="88"/>
      <c r="F29" s="88"/>
      <c r="G29" s="91"/>
      <c r="H29" s="246" t="s">
        <v>238</v>
      </c>
      <c r="I29" s="88" t="s">
        <v>239</v>
      </c>
      <c r="J29" s="242">
        <f>ROUND(G27*J7,0)</f>
        <v>14876</v>
      </c>
    </row>
    <row r="30" spans="1:10" ht="15.75">
      <c r="A30" s="240"/>
      <c r="B30" s="240"/>
      <c r="C30" s="88"/>
      <c r="D30" s="88"/>
      <c r="E30" s="88"/>
      <c r="F30" s="88"/>
      <c r="G30" s="91"/>
      <c r="H30" s="246"/>
      <c r="I30" s="88"/>
      <c r="J30" s="126"/>
    </row>
    <row r="31" spans="1:10" ht="16.5" thickBot="1">
      <c r="A31" s="240" t="s">
        <v>252</v>
      </c>
      <c r="B31" s="155" t="s">
        <v>268</v>
      </c>
      <c r="C31" s="88"/>
      <c r="D31" s="88"/>
      <c r="E31" s="88"/>
      <c r="F31" s="88"/>
      <c r="G31" s="88"/>
      <c r="H31" s="88"/>
      <c r="I31" s="88" t="s">
        <v>239</v>
      </c>
      <c r="J31" s="247">
        <f>J7+J29</f>
        <v>3164037</v>
      </c>
    </row>
    <row r="32" spans="1:10" ht="16.5" thickTop="1">
      <c r="A32" s="88"/>
      <c r="B32" s="88"/>
      <c r="C32" s="88"/>
      <c r="D32" s="88"/>
      <c r="E32" s="88"/>
      <c r="F32" s="88"/>
      <c r="G32" s="88"/>
      <c r="H32" s="88"/>
      <c r="I32" s="88"/>
      <c r="J32" s="88"/>
    </row>
    <row r="33" spans="1:10" ht="15.75">
      <c r="A33" s="240" t="s">
        <v>266</v>
      </c>
      <c r="B33" s="155" t="str">
        <f>CONCATENATE("Debt Service Levy in this ",J1," Budget")</f>
        <v>Debt Service Levy in this 2012 Budget</v>
      </c>
      <c r="C33" s="88"/>
      <c r="D33" s="88"/>
      <c r="E33" s="88"/>
      <c r="F33" s="88"/>
      <c r="G33" s="88"/>
      <c r="H33" s="88"/>
      <c r="I33" s="88"/>
      <c r="J33" s="242">
        <v>0</v>
      </c>
    </row>
    <row r="34" spans="1:10" ht="15.75">
      <c r="A34" s="240"/>
      <c r="B34" s="155"/>
      <c r="C34" s="88"/>
      <c r="D34" s="88"/>
      <c r="E34" s="88"/>
      <c r="F34" s="88"/>
      <c r="G34" s="88"/>
      <c r="H34" s="88"/>
      <c r="I34" s="88"/>
      <c r="J34" s="91"/>
    </row>
    <row r="35" spans="1:10" ht="16.5" thickBot="1">
      <c r="A35" s="240" t="s">
        <v>267</v>
      </c>
      <c r="B35" s="155" t="s">
        <v>269</v>
      </c>
      <c r="C35" s="88"/>
      <c r="D35" s="88"/>
      <c r="E35" s="88"/>
      <c r="F35" s="88"/>
      <c r="G35" s="88"/>
      <c r="H35" s="88"/>
      <c r="I35" s="88"/>
      <c r="J35" s="247">
        <f>J31+J33</f>
        <v>3164037</v>
      </c>
    </row>
    <row r="36" spans="1:10" ht="16.5" thickTop="1">
      <c r="A36" s="88"/>
      <c r="B36" s="88"/>
      <c r="C36" s="88"/>
      <c r="D36" s="88"/>
      <c r="E36" s="88"/>
      <c r="F36" s="88"/>
      <c r="G36" s="88"/>
      <c r="H36" s="88"/>
      <c r="I36" s="88"/>
      <c r="J36" s="88"/>
    </row>
    <row r="37" spans="1:10" s="248" customFormat="1" ht="18.75">
      <c r="A37" s="694" t="str">
        <f>CONCATENATE("If the ",J1," budget includes tax levies exceeding the total on line 14, you must")</f>
        <v>If the 2012 budget includes tax levies exceeding the total on line 14, you must</v>
      </c>
      <c r="B37" s="694"/>
      <c r="C37" s="694"/>
      <c r="D37" s="694"/>
      <c r="E37" s="694"/>
      <c r="F37" s="694"/>
      <c r="G37" s="694"/>
      <c r="H37" s="694"/>
      <c r="I37" s="694"/>
      <c r="J37" s="694"/>
    </row>
    <row r="38" spans="1:10" s="248" customFormat="1" ht="18.75">
      <c r="A38" s="694" t="s">
        <v>265</v>
      </c>
      <c r="B38" s="694"/>
      <c r="C38" s="694"/>
      <c r="D38" s="694"/>
      <c r="E38" s="694"/>
      <c r="F38" s="694"/>
      <c r="G38" s="694"/>
      <c r="H38" s="694"/>
      <c r="I38" s="694"/>
      <c r="J38" s="694"/>
    </row>
  </sheetData>
  <sheetProtection/>
  <mergeCells count="4">
    <mergeCell ref="A37:J37"/>
    <mergeCell ref="A38:J38"/>
    <mergeCell ref="A3:J3"/>
    <mergeCell ref="E4:G4"/>
  </mergeCells>
  <printOptions/>
  <pageMargins left="0.5" right="0.5" top="0.89" bottom="0.45" header="0.5" footer="0.43"/>
  <pageSetup blackAndWhite="1" fitToHeight="1" fitToWidth="1" horizontalDpi="600" verticalDpi="600" orientation="portrait" scale="85"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C47" sqref="C47"/>
    </sheetView>
  </sheetViews>
  <sheetFormatPr defaultColWidth="8.796875" defaultRowHeight="15"/>
  <cols>
    <col min="1" max="1" width="18.796875" style="2" customWidth="1"/>
    <col min="2" max="2" width="12.796875" style="2" customWidth="1"/>
    <col min="3" max="3" width="0.203125" style="2" customWidth="1"/>
    <col min="4" max="8" width="11.796875" style="2" customWidth="1"/>
    <col min="9" max="16384" width="8.8984375" style="2" customWidth="1"/>
  </cols>
  <sheetData>
    <row r="1" spans="1:7" ht="15.75">
      <c r="A1" s="28" t="str">
        <f>inputPrYr!C2</f>
        <v>Sheridan County</v>
      </c>
      <c r="B1" s="14"/>
      <c r="C1" s="14"/>
      <c r="D1" s="14"/>
      <c r="E1" s="14"/>
      <c r="F1" s="13"/>
      <c r="G1" s="13"/>
    </row>
    <row r="2" spans="1:10" ht="15.75">
      <c r="A2" s="14"/>
      <c r="B2" s="14"/>
      <c r="C2" s="14"/>
      <c r="D2" s="14"/>
      <c r="E2" s="14"/>
      <c r="F2" s="13"/>
      <c r="G2" s="13"/>
      <c r="J2" s="660">
        <f>inputPrYr!C4</f>
        <v>2012</v>
      </c>
    </row>
    <row r="3" spans="1:8" ht="15.75">
      <c r="A3" s="698" t="s">
        <v>72</v>
      </c>
      <c r="B3" s="698"/>
      <c r="C3" s="698"/>
      <c r="D3" s="698"/>
      <c r="E3" s="698"/>
      <c r="F3" s="698"/>
      <c r="G3" s="698"/>
      <c r="H3" s="699"/>
    </row>
    <row r="4" spans="1:8" ht="15.75">
      <c r="A4" s="70"/>
      <c r="B4" s="70"/>
      <c r="C4" s="70"/>
      <c r="D4" s="70"/>
      <c r="E4" s="70"/>
      <c r="F4" s="70"/>
      <c r="G4" s="70"/>
      <c r="H4" s="72"/>
    </row>
    <row r="5" spans="1:8" ht="15.75">
      <c r="A5" s="16"/>
      <c r="B5" s="17"/>
      <c r="C5" s="17"/>
      <c r="D5" s="17"/>
      <c r="E5" s="17"/>
      <c r="F5" s="14"/>
      <c r="G5" s="14"/>
      <c r="H5" s="29"/>
    </row>
    <row r="6" spans="1:8" ht="31.5" customHeight="1">
      <c r="A6" s="37"/>
      <c r="B6" s="696" t="str">
        <f>CONCATENATE("Budget Tax Levy Amount for ",J2-2,"")</f>
        <v>Budget Tax Levy Amount for 2010</v>
      </c>
      <c r="C6" s="696" t="str">
        <f>CONCATENATE("Budget Tax Levy Rate for ",J2-1,"")</f>
        <v>Budget Tax Levy Rate for 2011</v>
      </c>
      <c r="D6" s="700" t="str">
        <f>CONCATENATE("Allocation for Year ",J2,"")</f>
        <v>Allocation for Year 2012</v>
      </c>
      <c r="E6" s="701"/>
      <c r="F6" s="701"/>
      <c r="G6" s="702"/>
      <c r="H6" s="71"/>
    </row>
    <row r="7" spans="1:8" ht="15.75">
      <c r="A7" s="12" t="str">
        <f>CONCATENATE("",J2-1," Budgeted Funds")</f>
        <v>2011 Budgeted Funds</v>
      </c>
      <c r="B7" s="697"/>
      <c r="C7" s="697"/>
      <c r="D7" s="23" t="s">
        <v>154</v>
      </c>
      <c r="E7" s="23" t="s">
        <v>233</v>
      </c>
      <c r="F7" s="23" t="s">
        <v>258</v>
      </c>
      <c r="G7" s="23" t="s">
        <v>324</v>
      </c>
      <c r="H7" s="71"/>
    </row>
    <row r="8" spans="1:8" ht="15.75">
      <c r="A8" s="26" t="str">
        <f>(inputPrYr!B16)</f>
        <v>General</v>
      </c>
      <c r="B8" s="60">
        <f>(inputPrYr!E16)</f>
        <v>1765003</v>
      </c>
      <c r="C8" s="61">
        <f>IF(inputPrYr!F16&gt;0,(inputPrYr!F16),"  ")</f>
        <v>47.351</v>
      </c>
      <c r="D8" s="60">
        <f>IF(inputPrYr!E16&gt;0,D25-SUM(D9:D22),0)</f>
        <v>185361.84999999998</v>
      </c>
      <c r="E8" s="60">
        <f>IF(inputPrYr!E16=0,0,E27-SUM(E9:E22))</f>
        <v>3994.2799999999997</v>
      </c>
      <c r="F8" s="60">
        <f>IF(inputPrYr!E16=0,0,F29-SUM(F9:F22))</f>
        <v>26036.92</v>
      </c>
      <c r="G8" s="60">
        <f>IF(inputPrYr!E16=0,0,G31-SUM(G9:G22))</f>
        <v>0</v>
      </c>
      <c r="H8" s="71"/>
    </row>
    <row r="9" spans="1:8" ht="15.75">
      <c r="A9" s="26" t="str">
        <f>(inputPrYr!B17)</f>
        <v>Debt Service</v>
      </c>
      <c r="B9" s="60" t="str">
        <f>IF(inputPrYr!E17&gt;0,inputPrYr!E17," ")</f>
        <v> </v>
      </c>
      <c r="C9" s="61" t="str">
        <f>IF(inputPrYr!F17&gt;0,(inputPrYr!F17),"  ")</f>
        <v>  </v>
      </c>
      <c r="D9" s="60" t="str">
        <f>IF(inputPrYr!$E$17&gt;0,ROUND(+B9*D$33,0)," ")</f>
        <v> </v>
      </c>
      <c r="E9" s="60" t="str">
        <f>IF(inputPrYr!$E$17&gt;0,ROUND(+B9*E$35,0)," ")</f>
        <v> </v>
      </c>
      <c r="F9" s="60" t="str">
        <f>IF(inputPrYr!$E$17&gt;0,ROUND(+B9*F$37,0)," ")</f>
        <v> </v>
      </c>
      <c r="G9" s="60" t="str">
        <f>IF(inputPrYr!$E$17&gt;0,ROUND(+B9*G$39,0)," ")</f>
        <v> </v>
      </c>
      <c r="H9" s="71"/>
    </row>
    <row r="10" spans="1:8" ht="15.75">
      <c r="A10" s="26" t="str">
        <f>(inputPrYr!B18)</f>
        <v>Road &amp; Bridge</v>
      </c>
      <c r="B10" s="60">
        <f>IF(inputPrYr!E18&gt;0,inputPrYr!E18," ")</f>
        <v>825050</v>
      </c>
      <c r="C10" s="61">
        <f>IF(inputPrYr!F18&gt;0,(inputPrYr!F18),"  ")</f>
        <v>22.134</v>
      </c>
      <c r="D10" s="60">
        <f>IF(inputPrYr!$E$18&gt;0,ROUND(+B10*D$33,0)," ")</f>
        <v>86648</v>
      </c>
      <c r="E10" s="60">
        <f>IF(inputPrYr!$E$18&gt;0,ROUND(+B10*E$35,0)," ")</f>
        <v>1867</v>
      </c>
      <c r="F10" s="60">
        <f>IF(inputPrYr!$E$18&gt;0,ROUND(+B10*F$37,0)," ")</f>
        <v>12171</v>
      </c>
      <c r="G10" s="60">
        <f>IF(inputPrYr!$E$18&gt;0,ROUND(+B10*G$39,0)," ")</f>
        <v>0</v>
      </c>
      <c r="H10" s="71"/>
    </row>
    <row r="11" spans="1:8" ht="15.75">
      <c r="A11" s="26" t="str">
        <f>IF((inputPrYr!$B19&gt;" "),(inputPrYr!$B19),"  ")</f>
        <v>Noxious Weed</v>
      </c>
      <c r="B11" s="60">
        <f>IF(inputPrYr!E19&gt;0,inputPrYr!E19,"  ")</f>
        <v>70698</v>
      </c>
      <c r="C11" s="61">
        <f>IF(inputPrYr!F19&gt;0,(inputPrYr!F19),"  ")</f>
        <v>1.897</v>
      </c>
      <c r="D11" s="60">
        <f>IF(inputPrYr!$E$19&gt;0,ROUND(+B11*D$33,0)," ")</f>
        <v>7425</v>
      </c>
      <c r="E11" s="60">
        <f>IF(inputPrYr!$E$19&gt;0,ROUND(+B11*E$35,0)," ")</f>
        <v>160</v>
      </c>
      <c r="F11" s="60">
        <f>IF(inputPrYr!$E$19&gt;0,ROUND(+B11*F$37,0)," ")</f>
        <v>1043</v>
      </c>
      <c r="G11" s="60">
        <f>IF(inputPrYr!$E$19&gt;0,ROUND(+B11*G$39,0)," ")</f>
        <v>0</v>
      </c>
      <c r="H11" s="71"/>
    </row>
    <row r="12" spans="1:8" ht="15.75">
      <c r="A12" s="26" t="str">
        <f>IF((inputPrYr!$B20&gt;" "),(inputPrYr!$B20),"  ")</f>
        <v>Mental Health</v>
      </c>
      <c r="B12" s="60">
        <f>IF(inputPrYr!E20&gt;0,inputPrYr!E20,"  ")</f>
        <v>14506</v>
      </c>
      <c r="C12" s="61">
        <f>IF(inputPrYr!F20&gt;0,(inputPrYr!F20),"  ")</f>
        <v>0.389</v>
      </c>
      <c r="D12" s="60">
        <f>IF(inputPrYr!E20&gt;0,ROUND(+B12*D$33,0),"  ")</f>
        <v>1523</v>
      </c>
      <c r="E12" s="60">
        <f>IF(inputPrYr!E20&gt;0,ROUND(+B12*E$35,0),"  ")</f>
        <v>33</v>
      </c>
      <c r="F12" s="60">
        <f>IF(inputPrYr!E20&gt;0,ROUND(+B12*F$37,0),"  ")</f>
        <v>214</v>
      </c>
      <c r="G12" s="60">
        <f>IF(inputPrYr!$E$20&gt;0,ROUND(+B12*G$39,0)," ")</f>
        <v>0</v>
      </c>
      <c r="H12" s="71"/>
    </row>
    <row r="13" spans="1:8" ht="15.75">
      <c r="A13" s="26" t="str">
        <f>IF((inputPrYr!$B21&gt;" "),(inputPrYr!$B21),"  ")</f>
        <v>Public Health</v>
      </c>
      <c r="B13" s="60">
        <f>IF(inputPrYr!E21&gt;0,inputPrYr!E21,"  ")</f>
        <v>21195</v>
      </c>
      <c r="C13" s="61">
        <f>IF(inputPrYr!F21&gt;0,(inputPrYr!F21),"  ")</f>
        <v>0.569</v>
      </c>
      <c r="D13" s="60">
        <f>IF(inputPrYr!E21&gt;0,ROUND(+B13*D$33,0),"  ")</f>
        <v>2226</v>
      </c>
      <c r="E13" s="60">
        <f>IF(inputPrYr!E21&gt;0,ROUND(+B13*E$35,0),"  ")</f>
        <v>48</v>
      </c>
      <c r="F13" s="60">
        <f>IF(inputPrYr!E21&gt;0,ROUND(+B13*F$37,0),"  ")</f>
        <v>313</v>
      </c>
      <c r="G13" s="60">
        <f>IF(inputPrYr!$E$21&gt;0,ROUND(+B13*G$39,0)," ")</f>
        <v>0</v>
      </c>
      <c r="H13" s="71"/>
    </row>
    <row r="14" spans="1:8" ht="15.75">
      <c r="A14" s="26" t="str">
        <f>IF((inputPrYr!$B22&gt;" "),(inputPrYr!$B22),"  ")</f>
        <v>Council on Aging</v>
      </c>
      <c r="B14" s="60">
        <f>IF(inputPrYr!E22&gt;0,inputPrYr!E22,"  ")</f>
        <v>28000</v>
      </c>
      <c r="C14" s="61">
        <f>IF(inputPrYr!F22&gt;0,(inputPrYr!F22),"  ")</f>
        <v>0.751</v>
      </c>
      <c r="D14" s="60">
        <f>IF(inputPrYr!E22&gt;0,ROUND(+B14*D$33,0),"  ")</f>
        <v>2941</v>
      </c>
      <c r="E14" s="60">
        <f>IF(inputPrYr!E22&gt;0,ROUND(+B14*E$35,0),"  ")</f>
        <v>63</v>
      </c>
      <c r="F14" s="60">
        <f>IF(inputPrYr!E22&gt;0,ROUND(+B14*F$37,0),"  ")</f>
        <v>413</v>
      </c>
      <c r="G14" s="60">
        <f>IF(inputPrYr!$E$22&gt;0,ROUND(+B14*G$39,0)," ")</f>
        <v>0</v>
      </c>
      <c r="H14" s="71"/>
    </row>
    <row r="15" spans="1:8" ht="15.75">
      <c r="A15" s="26" t="str">
        <f>IF((inputPrYr!$B23&gt;" "),(inputPrYr!$B23),"  ")</f>
        <v>Library Service Contract</v>
      </c>
      <c r="B15" s="60">
        <f>IF(inputPrYr!E23&gt;0,inputPrYr!E23,"  ")</f>
        <v>15512</v>
      </c>
      <c r="C15" s="61">
        <f>IF(inputPrYr!F23&gt;0,(inputPrYr!F23),"  ")</f>
        <v>0.416</v>
      </c>
      <c r="D15" s="60">
        <f>IF(inputPrYr!E23&gt;0,ROUND(+B15*D$33,0),"  ")</f>
        <v>1629</v>
      </c>
      <c r="E15" s="60">
        <f>IF(inputPrYr!E23&gt;0,ROUND(+B15*E$35,0),"  ")</f>
        <v>35</v>
      </c>
      <c r="F15" s="60">
        <f>IF(inputPrYr!E23&gt;0,ROUND(+B15*F$37,0),"  ")</f>
        <v>229</v>
      </c>
      <c r="G15" s="60">
        <f>IF(inputPrYr!$E$23&gt;0,ROUND(+B15*G$39,0)," ")</f>
        <v>0</v>
      </c>
      <c r="H15" s="71"/>
    </row>
    <row r="16" spans="1:8" ht="15.75">
      <c r="A16" s="26" t="str">
        <f>IF((inputPrYr!$B24&gt;" "),(inputPrYr!$B24),"  ")</f>
        <v>Hospital Maintenance</v>
      </c>
      <c r="B16" s="60">
        <f>IF(inputPrYr!E24&gt;0,inputPrYr!E24,"  ")</f>
        <v>370133</v>
      </c>
      <c r="C16" s="61">
        <f>IF(inputPrYr!F24&gt;0,(inputPrYr!F24),"  ")</f>
        <v>9.93</v>
      </c>
      <c r="D16" s="60">
        <f>IF(inputPrYr!E24&gt;0,ROUND(+B16*D$33,0),"  ")</f>
        <v>38872</v>
      </c>
      <c r="E16" s="60">
        <f>IF(inputPrYr!E24&gt;0,ROUND(+B16*E$35,0),"  ")</f>
        <v>838</v>
      </c>
      <c r="F16" s="60">
        <f>IF(inputPrYr!E24&gt;0,ROUND(+B16*F$37,0),"  ")</f>
        <v>5460</v>
      </c>
      <c r="G16" s="60">
        <f>IF(inputPrYr!$E$24&gt;0,ROUND(+B16*G$39,0)," ")</f>
        <v>0</v>
      </c>
      <c r="H16" s="71"/>
    </row>
    <row r="17" spans="1:8" ht="15.75">
      <c r="A17" s="26" t="str">
        <f>IF((inputPrYr!$B25&gt;" "),(inputPrYr!$B25),"  ")</f>
        <v>Mental Retardation</v>
      </c>
      <c r="B17" s="60">
        <f>IF(inputPrYr!E25&gt;0,inputPrYr!E25,"  ")</f>
        <v>39064</v>
      </c>
      <c r="C17" s="61">
        <f>IF(inputPrYr!F25&gt;0,(inputPrYr!F25),"  ")</f>
        <v>1.048</v>
      </c>
      <c r="D17" s="60">
        <f>IF(inputPrYr!E25&gt;0,ROUND(+B17*D$33,0),"  ")</f>
        <v>4103</v>
      </c>
      <c r="E17" s="60">
        <f>IF(inputPrYr!E25&gt;0,ROUND(+B17*E$35,0),"  ")</f>
        <v>88</v>
      </c>
      <c r="F17" s="60">
        <f>IF(inputPrYr!E25&gt;0,ROUND(+B17*F$37,0),"  ")</f>
        <v>576</v>
      </c>
      <c r="G17" s="60">
        <f>IF(inputPrYr!$E$25&gt;0,ROUND(+B17*G$39,0)," ")</f>
        <v>0</v>
      </c>
      <c r="H17" s="71"/>
    </row>
    <row r="18" spans="1:8" ht="15.75">
      <c r="A18" s="26" t="str">
        <f>IF((inputPrYr!$B26&gt;" "),(inputPrYr!$B26),"  ")</f>
        <v>  </v>
      </c>
      <c r="B18" s="60" t="str">
        <f>IF(inputPrYr!E26&gt;0,inputPrYr!E26,"  ")</f>
        <v>  </v>
      </c>
      <c r="C18" s="61" t="str">
        <f>IF(inputPrYr!F26&gt;0,(inputPrYr!F26),"  ")</f>
        <v>  </v>
      </c>
      <c r="D18" s="60" t="str">
        <f>IF(inputPrYr!E26&gt;0,ROUND(+B18*D$33,0),"  ")</f>
        <v>  </v>
      </c>
      <c r="E18" s="60" t="str">
        <f>IF(inputPrYr!E26&gt;0,ROUND(+B18*E$35,0),"  ")</f>
        <v>  </v>
      </c>
      <c r="F18" s="60" t="str">
        <f>IF(inputPrYr!E26&gt;0,ROUND(+B18*F$37,0),"  ")</f>
        <v>  </v>
      </c>
      <c r="G18" s="60" t="str">
        <f>IF(inputPrYr!$E$26&gt;0,ROUND(+B18*G$39,0)," ")</f>
        <v> </v>
      </c>
      <c r="H18" s="71"/>
    </row>
    <row r="19" spans="1:8" ht="15.75">
      <c r="A19" s="26" t="str">
        <f>IF((inputPrYr!$B37&gt;" "),(inputPrYr!$B37),"  ")</f>
        <v>  </v>
      </c>
      <c r="B19" s="60" t="str">
        <f>IF(inputPrYr!E37&gt;0,inputPrYr!E37,"  ")</f>
        <v>  </v>
      </c>
      <c r="C19" s="61" t="str">
        <f>IF(inputPrYr!F37&gt;0,(inputPrYr!F37),"  ")</f>
        <v>  </v>
      </c>
      <c r="D19" s="60" t="str">
        <f>IF(inputPrYr!E37&gt;0,ROUND(+B19*D$33,0),"  ")</f>
        <v>  </v>
      </c>
      <c r="E19" s="60" t="str">
        <f>IF(inputPrYr!E37&gt;0,ROUND(+B19*E$35,0),"  ")</f>
        <v>  </v>
      </c>
      <c r="F19" s="60" t="str">
        <f>IF(inputPrYr!E37&gt;0,ROUND(+B19*F$37,0),"  ")</f>
        <v>  </v>
      </c>
      <c r="G19" s="60" t="str">
        <f>IF(inputPrYr!$E$37&gt;0,ROUND(+B19*G$39,0)," ")</f>
        <v> </v>
      </c>
      <c r="H19" s="71"/>
    </row>
    <row r="20" spans="1:8" ht="15.75">
      <c r="A20" s="26" t="str">
        <f>IF((inputPrYr!$B38&gt;" "),(inputPrYr!$B38),"  ")</f>
        <v>  </v>
      </c>
      <c r="B20" s="60" t="str">
        <f>IF(inputPrYr!E38&gt;0,inputPrYr!E38,"  ")</f>
        <v>  </v>
      </c>
      <c r="C20" s="61" t="str">
        <f>IF(inputPrYr!F38&gt;0,(inputPrYr!F38),"  ")</f>
        <v>  </v>
      </c>
      <c r="D20" s="60" t="str">
        <f>IF(inputPrYr!E38&gt;0,ROUND(+B20*D$33,0),"  ")</f>
        <v>  </v>
      </c>
      <c r="E20" s="60" t="str">
        <f>IF(inputPrYr!E38&gt;0,ROUND(+B20*E$35,0),"  ")</f>
        <v>  </v>
      </c>
      <c r="F20" s="60" t="str">
        <f>IF(inputPrYr!E38&gt;0,ROUND(+B20*F$37,0),"  ")</f>
        <v>  </v>
      </c>
      <c r="G20" s="60" t="str">
        <f>IF(inputPrYr!$E$38&gt;0,ROUND(+B20*G$39,0)," ")</f>
        <v> </v>
      </c>
      <c r="H20" s="71"/>
    </row>
    <row r="21" spans="1:8" ht="15.75">
      <c r="A21" s="26" t="str">
        <f>IF((inputPrYr!$B39&gt;" "),(inputPrYr!$B39),"  ")</f>
        <v>  </v>
      </c>
      <c r="B21" s="60" t="str">
        <f>IF(inputPrYr!E39&gt;0,inputPrYr!E39,"  ")</f>
        <v>  </v>
      </c>
      <c r="C21" s="61" t="str">
        <f>IF(inputPrYr!F39&gt;0,(inputPrYr!F39),"  ")</f>
        <v>  </v>
      </c>
      <c r="D21" s="60" t="str">
        <f>IF(inputPrYr!E39&gt;0,ROUND(+B21*D$33,0),"  ")</f>
        <v>  </v>
      </c>
      <c r="E21" s="60" t="str">
        <f>IF(inputPrYr!E39&gt;0,ROUND(+B21*E$35,0),"  ")</f>
        <v>  </v>
      </c>
      <c r="F21" s="60" t="str">
        <f>IF(inputPrYr!E39&gt;0,ROUND(+B21*F$37,0),"  ")</f>
        <v>  </v>
      </c>
      <c r="G21" s="60" t="str">
        <f>IF(inputPrYr!$E$39&gt;0,ROUND(+B21*G$39,0)," ")</f>
        <v> </v>
      </c>
      <c r="H21" s="71"/>
    </row>
    <row r="22" spans="1:8" ht="15.75">
      <c r="A22" s="26" t="str">
        <f>IF((inputPrYr!$B40&gt;" "),(inputPrYr!$B40),"  ")</f>
        <v>  </v>
      </c>
      <c r="B22" s="60" t="str">
        <f>IF(inputPrYr!E40&gt;0,inputPrYr!E40,"  ")</f>
        <v>  </v>
      </c>
      <c r="C22" s="61" t="str">
        <f>IF(inputPrYr!F40&gt;0,(inputPrYr!F40),"  ")</f>
        <v>  </v>
      </c>
      <c r="D22" s="60" t="str">
        <f>IF(inputPrYr!E40&gt;0,ROUND(+B22*D$33,0),"  ")</f>
        <v>  </v>
      </c>
      <c r="E22" s="60" t="str">
        <f>IF(inputPrYr!E40&gt;0,ROUND(+B22*E$35,0),"  ")</f>
        <v>  </v>
      </c>
      <c r="F22" s="60" t="str">
        <f>IF(inputPrYr!E40&gt;0,ROUND(+B22*F$37,0),"  ")</f>
        <v>  </v>
      </c>
      <c r="G22" s="60" t="str">
        <f>IF(inputPrYr!$E$40&gt;0,ROUND(+B22*G$39,0)," ")</f>
        <v> </v>
      </c>
      <c r="H22" s="71"/>
    </row>
    <row r="23" spans="1:8" ht="16.5" thickBot="1">
      <c r="A23" s="25" t="s">
        <v>150</v>
      </c>
      <c r="B23" s="62">
        <f aca="true" t="shared" si="0" ref="B23:G23">SUM(B8:B22)</f>
        <v>3149161</v>
      </c>
      <c r="C23" s="63">
        <f t="shared" si="0"/>
        <v>84.48500000000001</v>
      </c>
      <c r="D23" s="62">
        <f t="shared" si="0"/>
        <v>330728.85</v>
      </c>
      <c r="E23" s="62">
        <f t="shared" si="0"/>
        <v>7126.28</v>
      </c>
      <c r="F23" s="62">
        <f t="shared" si="0"/>
        <v>46455.92</v>
      </c>
      <c r="G23" s="62">
        <f t="shared" si="0"/>
        <v>0</v>
      </c>
      <c r="H23" s="71"/>
    </row>
    <row r="24" spans="1:8" ht="16.5" thickTop="1">
      <c r="A24" s="51"/>
      <c r="B24" s="66"/>
      <c r="C24" s="73"/>
      <c r="D24" s="66"/>
      <c r="E24" s="66"/>
      <c r="F24" s="66"/>
      <c r="G24" s="66"/>
      <c r="H24" s="71"/>
    </row>
    <row r="25" spans="1:8" ht="15.75">
      <c r="A25" s="15" t="s">
        <v>151</v>
      </c>
      <c r="B25" s="64"/>
      <c r="C25" s="64"/>
      <c r="D25" s="65">
        <f>(inputOth!E15)</f>
        <v>330728.85</v>
      </c>
      <c r="E25" s="64"/>
      <c r="F25" s="31"/>
      <c r="G25" s="31"/>
      <c r="H25" s="52"/>
    </row>
    <row r="26" spans="1:8" ht="15.75">
      <c r="A26" s="15"/>
      <c r="B26" s="64"/>
      <c r="C26" s="64"/>
      <c r="D26" s="66"/>
      <c r="E26" s="64"/>
      <c r="F26" s="31"/>
      <c r="G26" s="31"/>
      <c r="H26" s="52"/>
    </row>
    <row r="27" spans="1:8" ht="15.75">
      <c r="A27" s="15" t="s">
        <v>152</v>
      </c>
      <c r="B27" s="31"/>
      <c r="C27" s="31"/>
      <c r="D27" s="31"/>
      <c r="E27" s="65">
        <f>(inputOth!E16)</f>
        <v>7126.28</v>
      </c>
      <c r="F27" s="31"/>
      <c r="G27" s="31"/>
      <c r="H27" s="52"/>
    </row>
    <row r="28" spans="1:8" ht="15.75">
      <c r="A28" s="15"/>
      <c r="B28" s="31"/>
      <c r="C28" s="31"/>
      <c r="D28" s="31"/>
      <c r="E28" s="66"/>
      <c r="F28" s="31"/>
      <c r="G28" s="31"/>
      <c r="H28" s="52"/>
    </row>
    <row r="29" spans="1:8" ht="15.75">
      <c r="A29" s="15" t="s">
        <v>234</v>
      </c>
      <c r="B29" s="31"/>
      <c r="C29" s="31"/>
      <c r="D29" s="31"/>
      <c r="E29" s="31"/>
      <c r="F29" s="65">
        <f>inputOth!E17</f>
        <v>46455.92</v>
      </c>
      <c r="G29" s="66"/>
      <c r="H29" s="52"/>
    </row>
    <row r="30" spans="1:8" ht="15.75">
      <c r="A30" s="14"/>
      <c r="B30" s="31"/>
      <c r="C30" s="31"/>
      <c r="D30" s="31"/>
      <c r="E30" s="31"/>
      <c r="F30" s="31"/>
      <c r="G30" s="31"/>
      <c r="H30" s="52"/>
    </row>
    <row r="31" spans="1:8" ht="15.75">
      <c r="A31" s="14" t="s">
        <v>63</v>
      </c>
      <c r="B31" s="31"/>
      <c r="C31" s="31"/>
      <c r="D31" s="31"/>
      <c r="E31" s="31"/>
      <c r="F31" s="31"/>
      <c r="G31" s="69">
        <f>inputOth!E20</f>
        <v>0</v>
      </c>
      <c r="H31" s="52"/>
    </row>
    <row r="32" spans="1:8" ht="15.75">
      <c r="A32" s="14"/>
      <c r="B32" s="31"/>
      <c r="C32" s="31"/>
      <c r="D32" s="31"/>
      <c r="E32" s="31"/>
      <c r="F32" s="31"/>
      <c r="G32" s="31"/>
      <c r="H32" s="52"/>
    </row>
    <row r="33" spans="1:8" ht="15.75">
      <c r="A33" s="15" t="s">
        <v>153</v>
      </c>
      <c r="B33" s="31"/>
      <c r="C33" s="31"/>
      <c r="D33" s="67">
        <f>IF(B23=0,0,D25/B23)</f>
        <v>0.10502125804301526</v>
      </c>
      <c r="E33" s="31"/>
      <c r="F33" s="31"/>
      <c r="G33" s="31"/>
      <c r="H33" s="52"/>
    </row>
    <row r="34" spans="1:8" ht="15.75">
      <c r="A34" s="15"/>
      <c r="B34" s="31"/>
      <c r="C34" s="31"/>
      <c r="D34" s="68"/>
      <c r="E34" s="31"/>
      <c r="F34" s="31"/>
      <c r="G34" s="31"/>
      <c r="H34" s="52"/>
    </row>
    <row r="35" spans="1:8" ht="15.75">
      <c r="A35" s="15" t="s">
        <v>296</v>
      </c>
      <c r="B35" s="31"/>
      <c r="C35" s="31"/>
      <c r="D35" s="31"/>
      <c r="E35" s="67">
        <f>IF(B23=0,0,E27/B23)</f>
        <v>0.002262913836415477</v>
      </c>
      <c r="F35" s="31"/>
      <c r="G35" s="31"/>
      <c r="H35" s="52"/>
    </row>
    <row r="36" spans="1:8" ht="15.75">
      <c r="A36" s="15"/>
      <c r="B36" s="31"/>
      <c r="C36" s="31"/>
      <c r="D36" s="31"/>
      <c r="E36" s="68"/>
      <c r="F36" s="31"/>
      <c r="G36" s="31"/>
      <c r="H36" s="52"/>
    </row>
    <row r="37" spans="1:8" ht="15.75">
      <c r="A37" s="15" t="s">
        <v>295</v>
      </c>
      <c r="B37" s="31"/>
      <c r="C37" s="31"/>
      <c r="D37" s="31"/>
      <c r="E37" s="31"/>
      <c r="F37" s="67">
        <f>IF(B23=0,0,F29/B23)</f>
        <v>0.014751840252054435</v>
      </c>
      <c r="G37" s="68"/>
      <c r="H37" s="52"/>
    </row>
    <row r="38" spans="1:8" ht="15.75">
      <c r="A38" s="29"/>
      <c r="B38" s="52"/>
      <c r="C38" s="52"/>
      <c r="D38" s="52"/>
      <c r="E38" s="52"/>
      <c r="F38" s="52"/>
      <c r="G38" s="52"/>
      <c r="H38" s="52"/>
    </row>
    <row r="39" spans="1:8" ht="15.75">
      <c r="A39" s="29"/>
      <c r="B39" s="52"/>
      <c r="C39" s="52"/>
      <c r="D39" s="52"/>
      <c r="E39" s="52" t="s">
        <v>64</v>
      </c>
      <c r="F39" s="52"/>
      <c r="G39" s="67">
        <f>IF(B23=0,0,G31/B23)</f>
        <v>0</v>
      </c>
      <c r="H39" s="52"/>
    </row>
    <row r="40" spans="1:8" ht="15.75">
      <c r="A40" s="29"/>
      <c r="B40" s="52"/>
      <c r="C40" s="52"/>
      <c r="D40" s="52"/>
      <c r="E40" s="52"/>
      <c r="F40" s="52"/>
      <c r="G40" s="52"/>
      <c r="H40" s="52"/>
    </row>
  </sheetData>
  <sheetProtection/>
  <mergeCells count="4">
    <mergeCell ref="B6:B7"/>
    <mergeCell ref="C6:C7"/>
    <mergeCell ref="A3:H3"/>
    <mergeCell ref="D6:G6"/>
  </mergeCells>
  <printOptions/>
  <pageMargins left="1.5" right="0.75" top="0.33" bottom="0.18" header="0" footer="0"/>
  <pageSetup blackAndWhite="1" firstPageNumber="3" useFirstPageNumber="1" fitToHeight="1" fitToWidth="1" horizontalDpi="600" verticalDpi="600" orientation="landscape" scale="86"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7">
      <selection activeCell="C47" sqref="C47"/>
    </sheetView>
  </sheetViews>
  <sheetFormatPr defaultColWidth="8.796875" defaultRowHeight="15"/>
  <cols>
    <col min="1" max="1" width="18.59765625" style="146" customWidth="1"/>
    <col min="2" max="2" width="19.19921875" style="146" customWidth="1"/>
    <col min="3" max="6" width="12.796875" style="146" customWidth="1"/>
    <col min="7" max="16384" width="8.8984375" style="146" customWidth="1"/>
  </cols>
  <sheetData>
    <row r="1" spans="1:6" ht="15.75">
      <c r="A1" s="237"/>
      <c r="B1" s="88"/>
      <c r="C1" s="88"/>
      <c r="D1" s="88"/>
      <c r="E1" s="249"/>
      <c r="F1" s="88"/>
    </row>
    <row r="2" spans="1:6" ht="15.75">
      <c r="A2" s="147" t="str">
        <f>inputPrYr!C2</f>
        <v>Sheridan County</v>
      </c>
      <c r="B2" s="147"/>
      <c r="C2" s="88"/>
      <c r="D2" s="88"/>
      <c r="E2" s="249"/>
      <c r="F2" s="88">
        <f>inputPrYr!C4</f>
        <v>2012</v>
      </c>
    </row>
    <row r="3" spans="1:6" ht="15.75">
      <c r="A3" s="237"/>
      <c r="B3" s="147"/>
      <c r="C3" s="88"/>
      <c r="D3" s="88"/>
      <c r="E3" s="249"/>
      <c r="F3" s="88"/>
    </row>
    <row r="4" spans="1:6" ht="15.75">
      <c r="A4" s="237"/>
      <c r="B4" s="88"/>
      <c r="C4" s="88"/>
      <c r="D4" s="88"/>
      <c r="E4" s="249"/>
      <c r="F4" s="88"/>
    </row>
    <row r="5" spans="1:6" ht="15" customHeight="1">
      <c r="A5" s="695" t="s">
        <v>275</v>
      </c>
      <c r="B5" s="695"/>
      <c r="C5" s="695"/>
      <c r="D5" s="695"/>
      <c r="E5" s="695"/>
      <c r="F5" s="695"/>
    </row>
    <row r="6" spans="1:6" ht="14.25" customHeight="1">
      <c r="A6" s="238"/>
      <c r="B6" s="250"/>
      <c r="C6" s="250"/>
      <c r="D6" s="250"/>
      <c r="E6" s="250"/>
      <c r="F6" s="250"/>
    </row>
    <row r="7" spans="1:6" ht="15" customHeight="1">
      <c r="A7" s="251" t="s">
        <v>653</v>
      </c>
      <c r="B7" s="251" t="s">
        <v>654</v>
      </c>
      <c r="C7" s="252" t="s">
        <v>185</v>
      </c>
      <c r="D7" s="252" t="s">
        <v>297</v>
      </c>
      <c r="E7" s="252" t="s">
        <v>298</v>
      </c>
      <c r="F7" s="252" t="s">
        <v>331</v>
      </c>
    </row>
    <row r="8" spans="1:6" ht="15" customHeight="1">
      <c r="A8" s="253" t="s">
        <v>655</v>
      </c>
      <c r="B8" s="253" t="s">
        <v>656</v>
      </c>
      <c r="C8" s="254" t="s">
        <v>330</v>
      </c>
      <c r="D8" s="254" t="s">
        <v>330</v>
      </c>
      <c r="E8" s="254" t="s">
        <v>330</v>
      </c>
      <c r="F8" s="254" t="s">
        <v>332</v>
      </c>
    </row>
    <row r="9" spans="1:6" s="235" customFormat="1" ht="15" customHeight="1" thickBot="1">
      <c r="A9" s="255" t="s">
        <v>328</v>
      </c>
      <c r="B9" s="256" t="s">
        <v>329</v>
      </c>
      <c r="C9" s="257">
        <f>F2-2</f>
        <v>2010</v>
      </c>
      <c r="D9" s="257">
        <f>F2-1</f>
        <v>2011</v>
      </c>
      <c r="E9" s="257">
        <f>F2</f>
        <v>2012</v>
      </c>
      <c r="F9" s="256" t="s">
        <v>126</v>
      </c>
    </row>
    <row r="10" spans="1:6" ht="15" customHeight="1" thickTop="1">
      <c r="A10" s="258" t="s">
        <v>127</v>
      </c>
      <c r="B10" s="258" t="s">
        <v>842</v>
      </c>
      <c r="C10" s="259">
        <v>55000</v>
      </c>
      <c r="D10" s="259">
        <v>35000</v>
      </c>
      <c r="E10" s="259">
        <v>50000</v>
      </c>
      <c r="F10" s="258" t="s">
        <v>1000</v>
      </c>
    </row>
    <row r="11" spans="1:6" ht="15" customHeight="1">
      <c r="A11" s="114" t="s">
        <v>179</v>
      </c>
      <c r="B11" s="114" t="s">
        <v>852</v>
      </c>
      <c r="C11" s="260"/>
      <c r="D11" s="260"/>
      <c r="E11" s="260">
        <v>12500</v>
      </c>
      <c r="F11" s="114" t="s">
        <v>1001</v>
      </c>
    </row>
    <row r="12" spans="1:6" ht="15" customHeight="1">
      <c r="A12" s="114" t="s">
        <v>179</v>
      </c>
      <c r="B12" s="114" t="s">
        <v>845</v>
      </c>
      <c r="C12" s="260">
        <v>350000</v>
      </c>
      <c r="D12" s="260">
        <v>300000</v>
      </c>
      <c r="E12" s="260">
        <v>425000</v>
      </c>
      <c r="F12" s="114" t="s">
        <v>1002</v>
      </c>
    </row>
    <row r="13" spans="1:6" ht="15" customHeight="1">
      <c r="A13" s="114" t="s">
        <v>179</v>
      </c>
      <c r="B13" s="114" t="s">
        <v>998</v>
      </c>
      <c r="C13" s="260">
        <v>175000</v>
      </c>
      <c r="D13" s="260">
        <v>175000</v>
      </c>
      <c r="E13" s="260">
        <v>175000</v>
      </c>
      <c r="F13" s="114" t="s">
        <v>1003</v>
      </c>
    </row>
    <row r="14" spans="1:6" ht="15" customHeight="1">
      <c r="A14" s="114" t="s">
        <v>827</v>
      </c>
      <c r="B14" s="114" t="s">
        <v>999</v>
      </c>
      <c r="C14" s="260">
        <v>10000</v>
      </c>
      <c r="D14" s="260">
        <v>10000</v>
      </c>
      <c r="E14" s="260">
        <v>10000</v>
      </c>
      <c r="F14" s="114" t="s">
        <v>828</v>
      </c>
    </row>
    <row r="15" spans="1:6" ht="15" customHeight="1">
      <c r="A15" s="114" t="s">
        <v>848</v>
      </c>
      <c r="B15" s="114" t="s">
        <v>127</v>
      </c>
      <c r="C15" s="260">
        <v>15924</v>
      </c>
      <c r="D15" s="260">
        <v>15000</v>
      </c>
      <c r="E15" s="260">
        <v>16500</v>
      </c>
      <c r="F15" s="114" t="s">
        <v>1004</v>
      </c>
    </row>
    <row r="16" spans="1:6" ht="15" customHeight="1">
      <c r="A16" s="114"/>
      <c r="B16" s="114"/>
      <c r="C16" s="260"/>
      <c r="D16" s="260"/>
      <c r="E16" s="260"/>
      <c r="F16" s="114"/>
    </row>
    <row r="17" spans="1:6" ht="15" customHeight="1">
      <c r="A17" s="114"/>
      <c r="B17" s="114"/>
      <c r="C17" s="260"/>
      <c r="D17" s="260"/>
      <c r="E17" s="260"/>
      <c r="F17" s="114"/>
    </row>
    <row r="18" spans="1:6" ht="15" customHeight="1">
      <c r="A18" s="114"/>
      <c r="B18" s="114"/>
      <c r="C18" s="260"/>
      <c r="D18" s="260"/>
      <c r="E18" s="260"/>
      <c r="F18" s="114"/>
    </row>
    <row r="19" spans="1:6" ht="15" customHeight="1">
      <c r="A19" s="114"/>
      <c r="B19" s="261"/>
      <c r="C19" s="260"/>
      <c r="D19" s="260"/>
      <c r="E19" s="260"/>
      <c r="F19" s="114"/>
    </row>
    <row r="20" spans="1:6" ht="15" customHeight="1">
      <c r="A20" s="114"/>
      <c r="B20" s="114"/>
      <c r="C20" s="260"/>
      <c r="D20" s="260"/>
      <c r="E20" s="260"/>
      <c r="F20" s="114"/>
    </row>
    <row r="21" spans="1:6" ht="15" customHeight="1">
      <c r="A21" s="114"/>
      <c r="B21" s="114"/>
      <c r="C21" s="260"/>
      <c r="D21" s="260"/>
      <c r="E21" s="260"/>
      <c r="F21" s="114"/>
    </row>
    <row r="22" spans="1:6" ht="15" customHeight="1">
      <c r="A22" s="114"/>
      <c r="B22" s="114"/>
      <c r="C22" s="260"/>
      <c r="D22" s="260"/>
      <c r="E22" s="260"/>
      <c r="F22" s="114"/>
    </row>
    <row r="23" spans="1:6" ht="15" customHeight="1">
      <c r="A23" s="114"/>
      <c r="B23" s="114"/>
      <c r="C23" s="260"/>
      <c r="D23" s="260"/>
      <c r="E23" s="260"/>
      <c r="F23" s="114"/>
    </row>
    <row r="24" spans="1:6" ht="15" customHeight="1">
      <c r="A24" s="114"/>
      <c r="B24" s="114"/>
      <c r="C24" s="260"/>
      <c r="D24" s="260"/>
      <c r="E24" s="260"/>
      <c r="F24" s="114"/>
    </row>
    <row r="25" spans="1:6" ht="15" customHeight="1">
      <c r="A25" s="114"/>
      <c r="B25" s="114"/>
      <c r="C25" s="260"/>
      <c r="D25" s="260"/>
      <c r="E25" s="260"/>
      <c r="F25" s="114"/>
    </row>
    <row r="26" spans="1:6" ht="15" customHeight="1">
      <c r="A26" s="114"/>
      <c r="B26" s="114"/>
      <c r="C26" s="260"/>
      <c r="D26" s="260"/>
      <c r="E26" s="260"/>
      <c r="F26" s="114"/>
    </row>
    <row r="27" spans="1:6" ht="15.75">
      <c r="A27" s="140"/>
      <c r="B27" s="262" t="s">
        <v>128</v>
      </c>
      <c r="C27" s="123">
        <f>SUM(C10:C26)</f>
        <v>605924</v>
      </c>
      <c r="D27" s="123">
        <f>SUM(D10:D26)</f>
        <v>535000</v>
      </c>
      <c r="E27" s="123">
        <f>SUM(E10:E26)</f>
        <v>689000</v>
      </c>
      <c r="F27" s="140"/>
    </row>
    <row r="28" spans="1:6" ht="15.75">
      <c r="A28" s="140"/>
      <c r="B28" s="263" t="s">
        <v>651</v>
      </c>
      <c r="C28" s="107"/>
      <c r="D28" s="108">
        <f>D15</f>
        <v>15000</v>
      </c>
      <c r="E28" s="108">
        <f>E15</f>
        <v>16500</v>
      </c>
      <c r="F28" s="140"/>
    </row>
    <row r="29" spans="1:6" ht="15.75">
      <c r="A29" s="140"/>
      <c r="B29" s="262" t="s">
        <v>333</v>
      </c>
      <c r="C29" s="123">
        <f>C27</f>
        <v>605924</v>
      </c>
      <c r="D29" s="123">
        <f>SUM(D27-D28)</f>
        <v>520000</v>
      </c>
      <c r="E29" s="123">
        <f>SUM(E27-E28)</f>
        <v>672500</v>
      </c>
      <c r="F29" s="140"/>
    </row>
    <row r="30" spans="1:6" ht="15.75">
      <c r="A30" s="140"/>
      <c r="B30" s="140"/>
      <c r="C30" s="140"/>
      <c r="D30" s="140"/>
      <c r="E30" s="140"/>
      <c r="F30" s="140"/>
    </row>
    <row r="31" spans="1:6" ht="15.75">
      <c r="A31" s="140"/>
      <c r="B31" s="140"/>
      <c r="C31" s="140"/>
      <c r="D31" s="140"/>
      <c r="E31" s="140"/>
      <c r="F31" s="140"/>
    </row>
    <row r="32" spans="1:6" ht="15.75">
      <c r="A32" s="442" t="s">
        <v>652</v>
      </c>
      <c r="B32" s="443" t="str">
        <f>CONCATENATE("Adjustments are required only if the transfer is being made in ",D9," and/or ",E9," from a non-budgeted fund.")</f>
        <v>Adjustments are required only if the transfer is being made in 2011 and/or 2012 from a non-budgeted fund.</v>
      </c>
      <c r="C32" s="140"/>
      <c r="D32" s="140"/>
      <c r="E32" s="140"/>
      <c r="F32" s="140"/>
    </row>
  </sheetData>
  <sheetProtection/>
  <mergeCells count="1">
    <mergeCell ref="A5:F5"/>
  </mergeCells>
  <printOptions/>
  <pageMargins left="0.5" right="0.5" top="0.72" bottom="0.23" header="0.5" footer="0"/>
  <pageSetup blackAndWhite="1" fitToHeight="1" fitToWidth="1" horizontalDpi="120" verticalDpi="120" orientation="portrait" scale="82"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2011-07-27T20:50:09Z</cp:lastPrinted>
  <dcterms:created xsi:type="dcterms:W3CDTF">1998-08-26T13:26:11Z</dcterms:created>
  <dcterms:modified xsi:type="dcterms:W3CDTF">2014-01-19T23:03:31Z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