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5030" windowHeight="10980" firstSheet="41" activeTab="41"/>
  </bookViews>
  <sheets>
    <sheet name="instructions" sheetId="1" r:id="rId1"/>
    <sheet name="inputPrYr" sheetId="2" r:id="rId2"/>
    <sheet name="inputOth" sheetId="3" r:id="rId3"/>
    <sheet name="inputBudSum" sheetId="4" r:id="rId4"/>
    <sheet name="cert" sheetId="5" r:id="rId5"/>
    <sheet name="cert2" sheetId="6" r:id="rId6"/>
    <sheet name="computation" sheetId="7" r:id="rId7"/>
    <sheet name="mvalloc" sheetId="8" r:id="rId8"/>
    <sheet name="transfers" sheetId="9" r:id="rId9"/>
    <sheet name="TransfersStatutes" sheetId="10" r:id="rId10"/>
    <sheet name="debt" sheetId="11" r:id="rId11"/>
    <sheet name="lpform" sheetId="12" r:id="rId12"/>
    <sheet name="general" sheetId="13" r:id="rId13"/>
    <sheet name="gen-detail" sheetId="14" r:id="rId14"/>
    <sheet name="DebtService" sheetId="15" r:id="rId15"/>
    <sheet name="road" sheetId="16" r:id="rId16"/>
    <sheet name="levy page10" sheetId="17" r:id="rId17"/>
    <sheet name="levy page11" sheetId="18" r:id="rId18"/>
    <sheet name="levy page12" sheetId="19" r:id="rId19"/>
    <sheet name="levy page13" sheetId="20" r:id="rId20"/>
    <sheet name="levy page14" sheetId="21" r:id="rId21"/>
    <sheet name="levy page15" sheetId="22" r:id="rId22"/>
    <sheet name="levy page16" sheetId="23" r:id="rId23"/>
    <sheet name="levy page17" sheetId="24" r:id="rId24"/>
    <sheet name="levy page18" sheetId="25" r:id="rId25"/>
    <sheet name="levy page19" sheetId="26" r:id="rId26"/>
    <sheet name="levy page20" sheetId="27" r:id="rId27"/>
    <sheet name="levy page21" sheetId="28" r:id="rId28"/>
    <sheet name="no levy page22" sheetId="29" r:id="rId29"/>
    <sheet name="no levy page23" sheetId="30" r:id="rId30"/>
    <sheet name="no levy page24" sheetId="31" r:id="rId31"/>
    <sheet name="no levy page25" sheetId="32" r:id="rId32"/>
    <sheet name="no levy page26" sheetId="33" r:id="rId33"/>
    <sheet name="no levy page27" sheetId="34" r:id="rId34"/>
    <sheet name="no levy page28" sheetId="35" r:id="rId35"/>
    <sheet name="no levy page29" sheetId="36" r:id="rId36"/>
    <sheet name="nonbudA" sheetId="37" r:id="rId37"/>
    <sheet name="nonbudB" sheetId="38" r:id="rId38"/>
    <sheet name="nonbudC" sheetId="39" r:id="rId39"/>
    <sheet name="nonbudD" sheetId="40" r:id="rId40"/>
    <sheet name="NonBudFunds" sheetId="41" r:id="rId41"/>
    <sheet name="summ" sheetId="42" r:id="rId42"/>
    <sheet name="summ2" sheetId="43" r:id="rId43"/>
    <sheet name="Nhood" sheetId="44" r:id="rId44"/>
    <sheet name="Resolution" sheetId="45" r:id="rId45"/>
    <sheet name="Tab A" sheetId="46" r:id="rId46"/>
    <sheet name="Tab B" sheetId="47" r:id="rId47"/>
    <sheet name="Tab C" sheetId="48" r:id="rId48"/>
    <sheet name="Tab D" sheetId="49" r:id="rId49"/>
    <sheet name="Tab E" sheetId="50" r:id="rId50"/>
    <sheet name="Mill Rate Computation" sheetId="51" r:id="rId51"/>
    <sheet name="Helpful Links" sheetId="52" r:id="rId52"/>
    <sheet name="legend" sheetId="53" r:id="rId53"/>
  </sheets>
  <definedNames>
    <definedName name="_xlnm.Print_Area" localSheetId="14">'DebtService'!$B$1:$E$55</definedName>
    <definedName name="_xlnm.Print_Area" localSheetId="12">'general'!$B$1:$E$122</definedName>
    <definedName name="_xlnm.Print_Area" localSheetId="1">'inputPrYr'!$A$1:$F$129</definedName>
    <definedName name="_xlnm.Print_Area" localSheetId="0">'instructions'!$A$1:$A$104</definedName>
    <definedName name="_xlnm.Print_Area" localSheetId="15">'road'!$B$1:$E$61</definedName>
    <definedName name="_xlnm.Print_Area" localSheetId="41">'summ'!$A$1:$H$80</definedName>
    <definedName name="_xlnm.Print_Area" localSheetId="8">'transfers'!$A$1:$F$32</definedName>
  </definedNames>
  <calcPr fullCalcOnLoad="1"/>
</workbook>
</file>

<file path=xl/sharedStrings.xml><?xml version="1.0" encoding="utf-8"?>
<sst xmlns="http://schemas.openxmlformats.org/spreadsheetml/2006/main" count="2634" uniqueCount="1097">
  <si>
    <t>Outstanding Indebtness, January 1:</t>
  </si>
  <si>
    <t xml:space="preserve">  G.O. Bonds</t>
  </si>
  <si>
    <t xml:space="preserve">  Revenue Bonds</t>
  </si>
  <si>
    <t xml:space="preserve">  Other</t>
  </si>
  <si>
    <t xml:space="preserve">  Lease Purchase Principal</t>
  </si>
  <si>
    <t>We, the undersigned, officers of</t>
  </si>
  <si>
    <t>Attest: ______________________</t>
  </si>
  <si>
    <t>Special City &amp; County Highway</t>
  </si>
  <si>
    <t>County Equalization</t>
  </si>
  <si>
    <t>Other County</t>
  </si>
  <si>
    <t>Special District Funds</t>
  </si>
  <si>
    <t xml:space="preserve">Other County </t>
  </si>
  <si>
    <t>CERTIFICATE (2)</t>
  </si>
  <si>
    <t>NON-BUDGETED FUNDS (A)</t>
  </si>
  <si>
    <t>Non-Budgeted Funds-A</t>
  </si>
  <si>
    <t>(1) Fund Name:</t>
  </si>
  <si>
    <t>(2) Fund Name:</t>
  </si>
  <si>
    <t>(3) Fund Name:</t>
  </si>
  <si>
    <t>(4) Fund Name:</t>
  </si>
  <si>
    <t>(5) Fund Name:</t>
  </si>
  <si>
    <t xml:space="preserve">Unencumbered </t>
  </si>
  <si>
    <t>Cash Balance Dec 31</t>
  </si>
  <si>
    <t>NON-BUDGETED FUNDS (B)</t>
  </si>
  <si>
    <t>Non-Budgeted Funds-B</t>
  </si>
  <si>
    <t>NON-BUDGETED FUNDS (C)</t>
  </si>
  <si>
    <t>Non-Budgeted Funds-C</t>
  </si>
  <si>
    <t>NON-BUDGETED FUNDS (D)</t>
  </si>
  <si>
    <t>Non-Budgeted Funds-D</t>
  </si>
  <si>
    <t>Other non-tax levy fund names:</t>
  </si>
  <si>
    <t xml:space="preserve">  Subtotal</t>
  </si>
  <si>
    <r>
      <t>Total  Detail Expenditures</t>
    </r>
    <r>
      <rPr>
        <sz val="12"/>
        <color indexed="10"/>
        <rFont val="Times New Roman"/>
        <family val="1"/>
      </rPr>
      <t>**</t>
    </r>
  </si>
  <si>
    <r>
      <t>**</t>
    </r>
    <r>
      <rPr>
        <sz val="12"/>
        <rFont val="Times New Roman"/>
        <family val="1"/>
      </rPr>
      <t xml:space="preserve"> Note: The Total Detail Expenditures amount should agree to the General Subtotal amounts.</t>
    </r>
  </si>
  <si>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</si>
  <si>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</si>
  <si>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</si>
  <si>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</si>
  <si>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Read these instructions carefully.  If after reviewing them you still have questions, call Municipal Services at 785-296-2311 or e-mail : armunis@da.ks.gov</t>
  </si>
  <si>
    <t>All dollar amounts should be rounded to whole dollars (do not record cents).</t>
  </si>
  <si>
    <t>The blue areas indicated where the information comes from to complete the section input.</t>
  </si>
  <si>
    <t xml:space="preserve">3. Hard coded the Bond &amp; Interest, and Road &amp; Bridge on Certificate and Summary pages. </t>
  </si>
  <si>
    <t xml:space="preserve">7. Now have the indebtedness prior year added to the input page and link with the budget summary page. </t>
  </si>
  <si>
    <t>10. Changed the Budget Summary Heading to include Actual/Estimate/Proposed with the budget year.</t>
  </si>
  <si>
    <t>11. Changed the delinquency rate formula for all levy funds.</t>
  </si>
  <si>
    <t>16. Add total section for Schedule of Transfers and linked the total to the Budget Summary page.</t>
  </si>
  <si>
    <t>17. Added column to show when debt retired on the Indebtedness page.</t>
  </si>
  <si>
    <t>18. Certificate (2) added (2) after Certificate at top of page, removed the certification at the top, and added column for Nov 1 valuation.</t>
  </si>
  <si>
    <t>21. On the Budget Summary page (2) added column for July1 valuation and computation to compute mil rates.</t>
  </si>
  <si>
    <t>20. Added 4 non-budgeted pages for 20 non-budgeted funds.</t>
  </si>
  <si>
    <t>Budget Summary</t>
  </si>
  <si>
    <t>xxxxx</t>
  </si>
  <si>
    <t>Resolution</t>
  </si>
  <si>
    <t>Is a Resolution required?</t>
  </si>
  <si>
    <t>22. Added Resolution statement on Certificate page.</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</si>
  <si>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</si>
  <si>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</si>
  <si>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13. Added page number on the Resolution page.</t>
  </si>
  <si>
    <t>8. Added Resolution statement on Certificate page.</t>
  </si>
  <si>
    <t>Note:  All amounts are to be entered in as whole numbers only.</t>
  </si>
  <si>
    <t>23. Added computation to Certificate page 2 to comp mil rates.</t>
  </si>
  <si>
    <t>24. Added note on General and Road detail pages to ensure the General and Road subtotals are in agreement.</t>
  </si>
  <si>
    <t>**</t>
  </si>
  <si>
    <t>**Note: These two block figures should agree.</t>
  </si>
  <si>
    <t>25. Added to instructions about non-appropriated balance limited to 5%.</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</si>
  <si>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</si>
  <si>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29. Added Slider to the Vehicle Allocation table and linked to fund pages.</t>
  </si>
  <si>
    <t>Allocation Veh Taxes, Slider &amp; Neigh Revital</t>
  </si>
  <si>
    <t>County Treasurers Slider Estimate</t>
  </si>
  <si>
    <t>Slider Factor</t>
  </si>
  <si>
    <t>xxxxxxxxxxxxxxxxxxxx</t>
  </si>
  <si>
    <t>30. Added to all budgeted fund pages the budget authority for the actual year, budget violation, and cash violation.</t>
  </si>
  <si>
    <t>31. Added instruction on the addition for item 30.</t>
  </si>
  <si>
    <t>Funds</t>
  </si>
  <si>
    <t xml:space="preserve">expenditure amounts should reflect the amended </t>
  </si>
  <si>
    <t>expenditure amounts.</t>
  </si>
  <si>
    <t xml:space="preserve">Tax Levy Rate </t>
  </si>
  <si>
    <t>Allocation of Motor, Recreational, 16/20M Vehicle Taxes &amp; Slider</t>
  </si>
  <si>
    <t>Miscellaneous</t>
  </si>
  <si>
    <t>Does miscellaneous exceed 10% of Total Receipts</t>
  </si>
  <si>
    <t>Neighborhood Revitalization Rebate</t>
  </si>
  <si>
    <t>Does miscellaneous exceed 10% of Total Expenditure</t>
  </si>
  <si>
    <t xml:space="preserve">The worksheets are named (see the tab) in each budget workbook.  We will identify the worksheet by referencing the tab in parentheses (i.e. General Fund reference would be 'general'). </t>
  </si>
  <si>
    <r>
      <t xml:space="preserve">The General fund has a detail page (gen-detail) which can be used to disclose more insight of the General Fund expenditures by a department.  The detail page department name and total is linked to the General Fund page. You do not have to use the department names that are currently showing, as these can be changed to meet the need of the county. The last detail page contains all the total of the detail pages and this total amount should agree with the subtotal on the General page. If the totals do not agree, then change the figures on the detail page and </t>
    </r>
    <r>
      <rPr>
        <b/>
        <sz val="12"/>
        <rFont val="Times New Roman"/>
        <family val="1"/>
      </rPr>
      <t>not</t>
    </r>
    <r>
      <rPr>
        <sz val="12"/>
        <rFont val="Times New Roman"/>
        <family val="1"/>
      </rPr>
      <t xml:space="preserve"> on the General page.  If the detail page is used, please ensure to print the detail page and attach it to the budget.</t>
    </r>
  </si>
  <si>
    <t>The Road &amp; Bridge fund has a detail page (road-detail) which can be used to disclose more insight of the Road &amp; Bridge department expenditures.  The detail page department and total is linked to the Road fund page. You do not have to use the department names that are currently showing, as these can be changed to meet the need of the county. The detail totals should agree to the Road &amp; Bridge fund page subtotals and if they do not, then make corrections on the detail page only.  If the detail page is used, please remember to print the page.</t>
  </si>
  <si>
    <t>Red areas are for notes or indicate a problem area that will need possible corrective action taken.</t>
  </si>
  <si>
    <t>All of the county's budgets should be submitted to Municipal Services by December 1.</t>
  </si>
  <si>
    <r>
      <t xml:space="preserve">Completed budgets may be submitted to Municipal Services on 3.5 computer disk, CD, or as an attachment to an email.  If submitting by email, please mail to the following address: </t>
    </r>
    <r>
      <rPr>
        <u val="single"/>
        <sz val="12"/>
        <rFont val="Times New Roman"/>
        <family val="1"/>
      </rPr>
      <t>armunis@da.ks.gov</t>
    </r>
    <r>
      <rPr>
        <sz val="12"/>
        <rFont val="Times New Roman"/>
        <family val="1"/>
      </rPr>
      <t xml:space="preserve">. Naming the files should start with 'co' for county, 'ci' for cities, 'to' for townships, and 'sp' for special districts.  </t>
    </r>
  </si>
  <si>
    <t xml:space="preserve">Additional Certificate (cert2) and Budget Summary (summ2) pages are available for adding Special Districts. If Special Districts are submitted with the county's budget, please ensure to include the Special Districts' Computation to Determine Levy Limit computation page, and fund pages. </t>
  </si>
  <si>
    <t>Cash Balance Jan 1</t>
  </si>
  <si>
    <t>Budget Summary2</t>
  </si>
  <si>
    <t>35. Added 'excluding oil, gas, and mobile homes' to lines 7 and 9 on Clerks budget info on tab inputoth.</t>
  </si>
  <si>
    <t>***If you are merely leasing/renting with no intent to purchase, do not list--such transactions are not lease-purchases.</t>
  </si>
  <si>
    <t>34. Expanded on the preparation of budget note 11 for instructions for the Notice of Budget Hearing.</t>
  </si>
  <si>
    <t>The following were changed to this spreadsheet on 5/08/2008</t>
  </si>
  <si>
    <r>
      <t>1. Change all the Non-Budgeted Funds forms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</si>
  <si>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</si>
  <si>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3. The revision date was changed.</t>
  </si>
  <si>
    <t>The following were changed to this spreadsheet on 7/01/08</t>
  </si>
  <si>
    <t>2. Changed the formula for unencumbered cash balances for NonBudA to NonBudD to show a negative balance.</t>
  </si>
  <si>
    <t>3. Added box under unencumbered cash balance for NonBudA to NonBudD to reflect a negative ending cash balance.</t>
  </si>
  <si>
    <t>1. Added instructions to 9d for the NonBudA to NonBudD tabs explaining about negative cash balance.</t>
  </si>
  <si>
    <t xml:space="preserve">Ad Valorem Tax </t>
  </si>
  <si>
    <t xml:space="preserve">County.xls spreadsheet has General Fund, Debt Service, Road &amp; Bridge, 22 levy fund pages, 16 no levy fund pages, and 20 non-budgeted funds. </t>
  </si>
  <si>
    <t>1. Input tab (inputPrYr) added column for the current year expenditures.</t>
  </si>
  <si>
    <t>2. Statement of Indebtedness (debt) added lines to all categories.</t>
  </si>
  <si>
    <t xml:space="preserve">3. All tax levy funds and no tax levy funds fund pages made the following changes: </t>
  </si>
  <si>
    <r>
      <t>3a. Made the total expenditures block for the actual and current year to turn '</t>
    </r>
    <r>
      <rPr>
        <sz val="12"/>
        <color indexed="10"/>
        <rFont val="Times New Roman"/>
        <family val="1"/>
      </rPr>
      <t>Red</t>
    </r>
    <r>
      <rPr>
        <sz val="12"/>
        <rFont val="Times New Roman"/>
        <family val="1"/>
      </rPr>
      <t>' if violation occurs.</t>
    </r>
  </si>
  <si>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</si>
  <si>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</si>
  <si>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</si>
  <si>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</si>
  <si>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</si>
  <si>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</si>
  <si>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7a. Added instruction line 4a to explain about no-fund warrants and temporary notes can be added to the debt service on the Computation to Determine Levy Limit.</t>
  </si>
  <si>
    <t>7b. Added instruction line 9c to explain more about the debt service fund page can included for debts.</t>
  </si>
  <si>
    <t>8. Added to the instruction page lines 10a - 10c to provide a little more insight for the Neighborhood Revitalization rebate.</t>
  </si>
  <si>
    <t>9. Added 2b to explain how to delete delinquency rate from tax levy fund pages.</t>
  </si>
  <si>
    <t>10. Changed the Bond &amp; Interest tab (B&amp;I) to Debt Service tab (DebtService).</t>
  </si>
  <si>
    <t>11. Changed the revised date on all pages changed.</t>
  </si>
  <si>
    <t>12. Added instruction lines 9h to 9j for additional edits for budget authority.</t>
  </si>
  <si>
    <t>13. Added to instruction line 9c about the miscellaneous receipt for the proposed year takes into account the ad valorem taxes for the 10% Rule.</t>
  </si>
  <si>
    <t>14. Added to instruction line 6 for using chartered ordinance number in place of statute reference.</t>
  </si>
  <si>
    <t>2b. If the county chooses not to use the delinquency rate for all tax levy funds, then the county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</si>
  <si>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9/04/08</t>
  </si>
  <si>
    <t>Budget Summary Page</t>
  </si>
  <si>
    <t>27. Added Neighborhood Revitalization table and linked to the tax levy fund pages.</t>
  </si>
  <si>
    <t>32. Added 'miscellaneous' category to the receipt/expenditure for all fund pages and set error message.</t>
  </si>
  <si>
    <t>33. Added to the instruction about correct the error message for the miscellaneous.</t>
  </si>
  <si>
    <t>9. Added Neighborhood Revitalization, LAVTR, City and County Revenue Sharing, and Slider to the input page and to the General Fund page. Added NR to each tax levy fund page.</t>
  </si>
  <si>
    <t xml:space="preserve">General Instructions </t>
  </si>
  <si>
    <t>To print the spreadsheets, you can either print one sheet at a time or all of the sheets at once.</t>
  </si>
  <si>
    <t>Computer Spreadsheet Preparation</t>
  </si>
  <si>
    <t>Statute</t>
  </si>
  <si>
    <t>General</t>
  </si>
  <si>
    <t>Total</t>
  </si>
  <si>
    <t>Motor Vehicle Tax Estimate</t>
  </si>
  <si>
    <t>Recreational Vehicle Tax Estimate</t>
  </si>
  <si>
    <t>certify that: (1) the hearing mentioned in the attached publication was held;</t>
  </si>
  <si>
    <t>(2) after the Budget Hearing this budget was duly approved and adopted as the</t>
  </si>
  <si>
    <t>Page</t>
  </si>
  <si>
    <t>County Clerk's</t>
  </si>
  <si>
    <t>Table of Contents:</t>
  </si>
  <si>
    <t>No.</t>
  </si>
  <si>
    <t>Expenditures</t>
  </si>
  <si>
    <t>Use Only</t>
  </si>
  <si>
    <t>Statement of Indebtedness</t>
  </si>
  <si>
    <t>Statement of Lease-Purchases</t>
  </si>
  <si>
    <t>Fund</t>
  </si>
  <si>
    <t>K.S.A.</t>
  </si>
  <si>
    <t>TOTALS</t>
  </si>
  <si>
    <t>x</t>
  </si>
  <si>
    <t>Assisted by:</t>
  </si>
  <si>
    <t>Governing Body</t>
  </si>
  <si>
    <t>County Clerk</t>
  </si>
  <si>
    <t>Amount</t>
  </si>
  <si>
    <t>TOTAL</t>
  </si>
  <si>
    <t>County Treas Motor Vehicle Estimate</t>
  </si>
  <si>
    <t>County Treasurers Recreational Vehicle Estimate</t>
  </si>
  <si>
    <t>Motor Vehicle Factor</t>
  </si>
  <si>
    <t>MVT</t>
  </si>
  <si>
    <t>Totals</t>
  </si>
  <si>
    <t>District Court</t>
  </si>
  <si>
    <t>Juvenile Detention</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</si>
  <si>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</si>
  <si>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</si>
  <si>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</si>
  <si>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</si>
  <si>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</si>
  <si>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</si>
  <si>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</si>
  <si>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</si>
  <si>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</si>
  <si>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</si>
  <si>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</si>
  <si>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</si>
  <si>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 xml:space="preserve">General </t>
  </si>
  <si>
    <t>Expenditures:</t>
  </si>
  <si>
    <t>Total Expenditures</t>
  </si>
  <si>
    <t>Tax Required</t>
  </si>
  <si>
    <t>%</t>
  </si>
  <si>
    <t>General Fund - Detail Expend</t>
  </si>
  <si>
    <t xml:space="preserve">  Salaries</t>
  </si>
  <si>
    <t xml:space="preserve">  Contractual</t>
  </si>
  <si>
    <t xml:space="preserve">  Commodities</t>
  </si>
  <si>
    <t xml:space="preserve">  Capital Outlay</t>
  </si>
  <si>
    <t>County Commission</t>
  </si>
  <si>
    <t>County Treasurer</t>
  </si>
  <si>
    <t>Debt Service</t>
  </si>
  <si>
    <t>Register of Deeds</t>
  </si>
  <si>
    <t>Road &amp; Bridge</t>
  </si>
  <si>
    <t>Other</t>
  </si>
  <si>
    <t>Page No.</t>
  </si>
  <si>
    <t xml:space="preserve"> </t>
  </si>
  <si>
    <t>Prior Year Actual</t>
  </si>
  <si>
    <t>Actual</t>
  </si>
  <si>
    <t>Est.</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</si>
  <si>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</si>
  <si>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</si>
  <si>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</si>
  <si>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</si>
  <si>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</si>
  <si>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</si>
  <si>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</si>
  <si>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</si>
  <si>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</si>
  <si>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</si>
  <si>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</si>
  <si>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</si>
  <si>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</si>
  <si>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</si>
  <si>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</si>
  <si>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</si>
  <si>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</si>
  <si>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</si>
  <si>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</si>
  <si>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</si>
  <si>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</si>
  <si>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</si>
  <si>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</si>
  <si>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</si>
  <si>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</si>
  <si>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</si>
  <si>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</si>
  <si>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</si>
  <si>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</si>
  <si>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</si>
  <si>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</si>
  <si>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</si>
  <si>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</si>
  <si>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</si>
  <si>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</si>
  <si>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Item Purchased</t>
  </si>
  <si>
    <t>(Months)</t>
  </si>
  <si>
    <t>16/20 M Vehicle Tax</t>
  </si>
  <si>
    <t>CERTIFICATE</t>
  </si>
  <si>
    <t>STATEMENT OF CONDITIONAL LEASE-PURCHASE AND CERTIFICATE OF PARTICIPATION*</t>
  </si>
  <si>
    <t>NOTICE OF BUDGET HEARING</t>
  </si>
  <si>
    <t>BUDGET SUMMARY</t>
  </si>
  <si>
    <t>FUND PAGE - GENERAL</t>
  </si>
  <si>
    <t>FUND PAGE - GENERAL DETAIL</t>
  </si>
  <si>
    <t>FUND PAGE FOR FUNDS WITH A TAX LEVY</t>
  </si>
  <si>
    <t>FUND PAGE FOR FUNDS WITH NO TAX LEVY</t>
  </si>
  <si>
    <t>STATEMENT OF INDEBTEDNESS</t>
  </si>
  <si>
    <t>RVT</t>
  </si>
  <si>
    <t>County Treasurers 16/20M Vehicle Estimate</t>
  </si>
  <si>
    <t>16/20M Vehicle Tax Estimate</t>
  </si>
  <si>
    <t>Amount of Levy</t>
  </si>
  <si>
    <t xml:space="preserve"> 1.</t>
  </si>
  <si>
    <t>+</t>
  </si>
  <si>
    <t>$</t>
  </si>
  <si>
    <t xml:space="preserve"> 2.</t>
  </si>
  <si>
    <t>-</t>
  </si>
  <si>
    <t xml:space="preserve"> 3.</t>
  </si>
  <si>
    <t xml:space="preserve"> 4.</t>
  </si>
  <si>
    <t xml:space="preserve"> 5.</t>
  </si>
  <si>
    <t>5a.</t>
  </si>
  <si>
    <t>5b.</t>
  </si>
  <si>
    <t>5c.</t>
  </si>
  <si>
    <t>6.</t>
  </si>
  <si>
    <t>9.</t>
  </si>
  <si>
    <t>10.</t>
  </si>
  <si>
    <t>11.</t>
  </si>
  <si>
    <t>12.</t>
  </si>
  <si>
    <t>(Use Only if &gt; 0)</t>
  </si>
  <si>
    <t>16/20M Vehicle Tax</t>
  </si>
  <si>
    <t xml:space="preserve">The governing body of </t>
  </si>
  <si>
    <t>Gross Earnings (Intangible) Tax</t>
  </si>
  <si>
    <t>7.</t>
  </si>
  <si>
    <t>8.</t>
  </si>
  <si>
    <t>Balance On</t>
  </si>
  <si>
    <t>16/20M Veh</t>
  </si>
  <si>
    <t>Tax Levy Excluding Debt Service</t>
  </si>
  <si>
    <r>
      <t xml:space="preserve">Total Valuation Adjustment </t>
    </r>
    <r>
      <rPr>
        <sz val="12"/>
        <rFont val="Times New Roman"/>
        <family val="1"/>
      </rPr>
      <t>(Sum of 4, 5c, and 6)</t>
    </r>
  </si>
  <si>
    <t>Increase in Personal Property (5a minus 5b)</t>
  </si>
  <si>
    <t>Amount of Increase (10 times 3)</t>
  </si>
  <si>
    <t>Factor for Increase (7 divided by 9)</t>
  </si>
  <si>
    <t>Total Valuation less Valuation Adjustment (8 minus 7)</t>
  </si>
  <si>
    <t>adopt a resolution to exceed this limit and attach a copy to this budget.</t>
  </si>
  <si>
    <t>13.</t>
  </si>
  <si>
    <t>14.</t>
  </si>
  <si>
    <t>Maximum Tax Levy, excluding debt service, without a Resolution (3 plus 11)</t>
  </si>
  <si>
    <t>Maximum levy, including debt service, without a Resolution (12 plus 13)</t>
  </si>
  <si>
    <t>Unencumbered Cash Balance Jan 1</t>
  </si>
  <si>
    <t>Unencumbered Cash Balance Dec 31</t>
  </si>
  <si>
    <t>Receipts:</t>
  </si>
  <si>
    <t xml:space="preserve">Enter information  in all areas that are green if they apply to the budget you are preparing. </t>
  </si>
  <si>
    <t>79-1946</t>
  </si>
  <si>
    <t>Schedule of Transfers</t>
  </si>
  <si>
    <t>Outstanding</t>
  </si>
  <si>
    <t>(Beginning Principal)</t>
  </si>
  <si>
    <t>Estimated Tax Rate is subject to change depending on the final assessed valuation.</t>
  </si>
  <si>
    <t>Lease Pur. Princ.</t>
  </si>
  <si>
    <t>Page No. 7</t>
  </si>
  <si>
    <t>Page No. 7a</t>
  </si>
  <si>
    <t>Page 7b</t>
  </si>
  <si>
    <t>Page 7c</t>
  </si>
  <si>
    <t>COUNTY RESOLUTION</t>
  </si>
  <si>
    <t>RESOLUTION NO.__________________</t>
  </si>
  <si>
    <t>Whereas, budgeting, taxing and service level decisions for all county services are the responsibility of the board of county commissioners; and</t>
  </si>
  <si>
    <t>Whereas, the cost of provision of these services continues to increase; and</t>
  </si>
  <si>
    <t>BOARD OF COUNTY COMMISSIONERS</t>
  </si>
  <si>
    <t>___________________________________.</t>
  </si>
  <si>
    <t>ATTEST:</t>
  </si>
  <si>
    <t>________________________________.</t>
  </si>
  <si>
    <t>, County Clerk</t>
  </si>
  <si>
    <t>(Attach a signed copy to the budget)</t>
  </si>
  <si>
    <t xml:space="preserve">                                                                          16/20M Vehicle Factor</t>
  </si>
  <si>
    <t xml:space="preserve">                                         Recreational Vehicle Factor</t>
  </si>
  <si>
    <t>Current</t>
  </si>
  <si>
    <t>Proposed</t>
  </si>
  <si>
    <t>Total - Page 7b</t>
  </si>
  <si>
    <t>Total - Page7c</t>
  </si>
  <si>
    <t>Total - Page7b</t>
  </si>
  <si>
    <t>When the page numbers are changed on the fund pages, the Certificate page will also be changed.</t>
  </si>
  <si>
    <t>County Clerk's Use Only</t>
  </si>
  <si>
    <t>November 1st Valuation</t>
  </si>
  <si>
    <t>Address:</t>
  </si>
  <si>
    <t>County1 Spreadsheet Instructions</t>
  </si>
  <si>
    <t xml:space="preserve">Counties can use the county.xls or county1.xls files.   You must choose a form that meets the needs for the number of funds.  If you don't need all the funds, just leave the pages blank and number the completed pages sequentially. </t>
  </si>
  <si>
    <t>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</si>
  <si>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budget.</t>
  </si>
  <si>
    <t>Input sheet for County1 budget form</t>
  </si>
  <si>
    <t>Enter County Name followed by 'County'</t>
  </si>
  <si>
    <t>Enter year being budgeted (YYYY)</t>
  </si>
  <si>
    <t>Information comes from the Certificate, Page No. 1</t>
  </si>
  <si>
    <t>Fund Names for all funds with a tax levy:</t>
  </si>
  <si>
    <t>10-113</t>
  </si>
  <si>
    <t>Current Year Estimate</t>
  </si>
  <si>
    <t>Proposed Budget Year</t>
  </si>
  <si>
    <t>In Lieu of Tax (IRB)</t>
  </si>
  <si>
    <t xml:space="preserve"> Commissioners will be published in the _________ (newspaper).   Interested persons can also address questions concerning the budget to __________ (office) _______ by calling ___________ between the hours of ________ a.m. to ________ p.m., Monday through Fridays, excluding holidays.  </t>
  </si>
  <si>
    <t>Neighborhood Revitalization</t>
  </si>
  <si>
    <t>LAVTR</t>
  </si>
  <si>
    <t>City and County Revenue Sharing</t>
  </si>
  <si>
    <t>Slider</t>
  </si>
  <si>
    <t>Computation of Delinquency</t>
  </si>
  <si>
    <t>Rate used in this budget will be shown on all fund pages with a tax levy**</t>
  </si>
  <si>
    <r>
      <t>**</t>
    </r>
    <r>
      <rPr>
        <u val="single"/>
        <sz val="12"/>
        <rFont val="Times New Roman"/>
        <family val="1"/>
      </rPr>
      <t>Note</t>
    </r>
    <r>
      <rPr>
        <sz val="12"/>
        <rFont val="Times New Roman"/>
        <family val="1"/>
      </rPr>
      <t>: The delinquency rate can be up to 5% more than the actual delinquency rate from the preivous year.</t>
    </r>
  </si>
  <si>
    <t>From:</t>
  </si>
  <si>
    <t xml:space="preserve">  To:</t>
  </si>
  <si>
    <t>Amount for</t>
  </si>
  <si>
    <t>Transfers</t>
  </si>
  <si>
    <t>Authorized by</t>
  </si>
  <si>
    <t>Adjusted Totals</t>
  </si>
  <si>
    <t>Beginning Amount</t>
  </si>
  <si>
    <t xml:space="preserve">of </t>
  </si>
  <si>
    <t>Retirement</t>
  </si>
  <si>
    <t xml:space="preserve">Total Other </t>
  </si>
  <si>
    <t>The following were changed to this spreadsheet on 2/23/09</t>
  </si>
  <si>
    <t>1. Instruction under Submitting Budgets added 79-2926 requires electronic filing of the budget.</t>
  </si>
  <si>
    <t>2. Input other tab line 27 changed from Budget Summary to Budget Certificate.</t>
  </si>
  <si>
    <t xml:space="preserve">K.S.A. 79-2926 requires budgets be submitted by electronic means. </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</si>
  <si>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</si>
  <si>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</si>
  <si>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Counties</t>
  </si>
  <si>
    <t>The following were changed to this spreadsheet on 9/23/09</t>
  </si>
  <si>
    <t>1. InputPrYr tab added C13 'If amended….'</t>
  </si>
  <si>
    <t>2.No levypage21 tab add conditional statement to cells c29, c30, and d29</t>
  </si>
  <si>
    <t>3. Added tab 'TransfersStatutes'</t>
  </si>
  <si>
    <t>4. Changed foot note to reflect the changes made on 7/1/08 to the above tabs.</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</si>
  <si>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</si>
  <si>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</si>
  <si>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12. Changed the Certificate page so the county name flows instead of having unneeded spaces.</t>
  </si>
  <si>
    <t>14. Delinquency rate for actual for 3 decimal and note that rate can be up to 5% over the actual rate.</t>
  </si>
  <si>
    <t>15. Computation to Determine Limit changed the note on bottom to include publish ordinance and attach the published ordinance to the budget.</t>
  </si>
  <si>
    <t>19. Budget Summary changed the sentence "will meet…" so the year automatically changes.</t>
  </si>
  <si>
    <t>26. Added warning "Exceeds 5%" on all fund pages for the non-appropriated balance.</t>
  </si>
  <si>
    <t>28. Added Neighborhood Revitalization expenditure block to each tax levy fund pages.</t>
  </si>
  <si>
    <t>Non-Budgeted Funds - Counties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</si>
  <si>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</si>
  <si>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</si>
  <si>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</si>
  <si>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</si>
  <si>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sz val="12"/>
        <color indexed="8"/>
        <rFont val="Times New Roman"/>
        <family val="1"/>
      </rPr>
      <t xml:space="preserve">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</si>
  <si>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</si>
  <si>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19-119.</t>
    </r>
    <r>
      <rPr>
        <sz val="12"/>
        <color indexed="8"/>
        <rFont val="Times New Roman"/>
        <family val="1"/>
      </rPr>
      <t xml:space="preserve">  </t>
    </r>
    <r>
      <rPr>
        <b/>
        <sz val="12"/>
        <color indexed="8"/>
        <rFont val="Times New Roman"/>
        <family val="1"/>
      </rPr>
      <t xml:space="preserve">County equipment reserve fund. </t>
    </r>
    <r>
      <rPr>
        <sz val="12"/>
        <color indexed="8"/>
        <rFont val="Times New Roman"/>
        <family val="1"/>
      </rPr>
      <t xml:space="preserve"> Provides for the creation of a county equipment reserve fund to finance the acquisition of equipment.</t>
    </r>
  </si>
  <si>
    <r>
      <t xml:space="preserve">K.S.A. </t>
    </r>
    <r>
      <rPr>
        <b/>
        <sz val="12"/>
        <color indexed="8"/>
        <rFont val="Times New Roman"/>
        <family val="1"/>
      </rPr>
      <t>19-120.</t>
    </r>
    <r>
      <rPr>
        <sz val="12"/>
        <color indexed="8"/>
        <rFont val="Times New Roman"/>
        <family val="1"/>
      </rPr>
      <t xml:space="preserve">  </t>
    </r>
    <r>
      <rPr>
        <b/>
        <sz val="12"/>
        <color indexed="8"/>
        <rFont val="Times New Roman"/>
        <family val="1"/>
      </rPr>
      <t>Multi-year capital improvement fund.</t>
    </r>
    <r>
      <rPr>
        <sz val="12"/>
        <color indexed="8"/>
        <rFont val="Times New Roman"/>
        <family val="1"/>
      </rPr>
      <t xml:space="preserve">  (a)  The commissioners of any county with a multi-year capital improvement plan may establish a capital improvements fund.</t>
    </r>
  </si>
  <si>
    <r>
      <t xml:space="preserve">K.S.A. </t>
    </r>
    <r>
      <rPr>
        <b/>
        <sz val="12"/>
        <color indexed="8"/>
        <rFont val="Times New Roman"/>
        <family val="1"/>
      </rPr>
      <t>19-15,136.</t>
    </r>
    <r>
      <rPr>
        <sz val="12"/>
        <color indexed="8"/>
        <rFont val="Times New Roman"/>
        <family val="1"/>
      </rPr>
      <t xml:space="preserve">  </t>
    </r>
    <r>
      <rPr>
        <b/>
        <sz val="12"/>
        <color indexed="8"/>
        <rFont val="Times New Roman"/>
        <family val="1"/>
      </rPr>
      <t>Special building fund.</t>
    </r>
    <r>
      <rPr>
        <sz val="12"/>
        <color indexed="8"/>
        <rFont val="Times New Roman"/>
        <family val="1"/>
      </rPr>
      <t xml:space="preserve">  County commissioners may create a special building fund to act as the repository of proceeds from the sale of county home or farm property</t>
    </r>
  </si>
  <si>
    <r>
      <t xml:space="preserve">K.S.A. </t>
    </r>
    <r>
      <rPr>
        <b/>
        <sz val="12"/>
        <color indexed="8"/>
        <rFont val="Times New Roman"/>
        <family val="1"/>
      </rPr>
      <t>19-2120.</t>
    </r>
    <r>
      <rPr>
        <sz val="12"/>
        <color indexed="8"/>
        <rFont val="Times New Roman"/>
        <family val="1"/>
      </rPr>
      <t xml:space="preserve">  </t>
    </r>
    <r>
      <rPr>
        <b/>
        <sz val="12"/>
        <color indexed="8"/>
        <rFont val="Times New Roman"/>
        <family val="1"/>
      </rPr>
      <t>County home improvement fund in certain counties.</t>
    </r>
    <r>
      <rPr>
        <sz val="12"/>
        <color indexed="8"/>
        <rFont val="Times New Roman"/>
        <family val="1"/>
      </rPr>
      <t xml:space="preserve">  County commissioners in counties having a population of less than 3,000, or any county having a population of more than 5,400 and not more than 6,000 and an assessed tangible valuation of not less than $25,000,000 and not more than $35,000,000, owning a county home for the aged, shall place proceeds from its renting, leasing or letting into a county home improvement fund.</t>
    </r>
  </si>
  <si>
    <r>
      <t xml:space="preserve">[per </t>
    </r>
    <r>
      <rPr>
        <b/>
        <sz val="12"/>
        <rFont val="Times New Roman"/>
        <family val="1"/>
      </rPr>
      <t xml:space="preserve">K.S.A. </t>
    </r>
    <r>
      <rPr>
        <b/>
        <sz val="11"/>
        <color indexed="8"/>
        <rFont val="Arial"/>
        <family val="2"/>
      </rPr>
      <t>19-2121,</t>
    </r>
    <r>
      <rPr>
        <sz val="11"/>
        <color indexed="8"/>
        <rFont val="Arial"/>
        <family val="2"/>
      </rPr>
      <t xml:space="preserve"> such county home improvement fund shall not be subject to the provisions of K.S.A. 79-2925 to 79-2941 . . . .]</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</si>
  <si>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</si>
  <si>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</si>
  <si>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68-559a.</t>
    </r>
    <r>
      <rPr>
        <sz val="12"/>
        <color indexed="8"/>
        <rFont val="Times New Roman"/>
        <family val="1"/>
      </rPr>
      <t xml:space="preserve">   </t>
    </r>
    <r>
      <rPr>
        <b/>
        <sz val="12"/>
        <color indexed="8"/>
        <rFont val="Times New Roman"/>
        <family val="1"/>
      </rPr>
      <t>Special road and bridge fund.</t>
    </r>
    <r>
      <rPr>
        <sz val="12"/>
        <color indexed="8"/>
        <rFont val="Times New Roman"/>
        <family val="1"/>
      </rPr>
      <t xml:space="preserve">  Authorizes the creation of a special road and bridge fund and for funding of such through levy of an annual property tax of not to exceed two mills.</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</si>
  <si>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</si>
  <si>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</si>
  <si>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79-1482.</t>
    </r>
    <r>
      <rPr>
        <sz val="12"/>
        <color indexed="8"/>
        <rFont val="Times New Roman"/>
        <family val="1"/>
      </rPr>
      <t xml:space="preserve">  </t>
    </r>
    <r>
      <rPr>
        <b/>
        <sz val="12"/>
        <color indexed="8"/>
        <rFont val="Times New Roman"/>
        <family val="1"/>
      </rPr>
      <t>Special countywide reappraisal fund.</t>
    </r>
    <r>
      <rPr>
        <sz val="12"/>
        <color indexed="8"/>
        <rFont val="Times New Roman"/>
        <family val="1"/>
      </rPr>
      <t xml:space="preserve">  Counties may levy taxes and place the proceeds in a special countywide reappraisal fund to be used to pay costs associated with countywide reappraisal.</t>
    </r>
  </si>
  <si>
    <r>
      <t xml:space="preserve">K.S.A. </t>
    </r>
    <r>
      <rPr>
        <b/>
        <sz val="12"/>
        <color indexed="8"/>
        <rFont val="Times New Roman"/>
        <family val="1"/>
      </rPr>
      <t>79-1608.</t>
    </r>
    <r>
      <rPr>
        <sz val="12"/>
        <color indexed="8"/>
        <rFont val="Times New Roman"/>
        <family val="1"/>
      </rPr>
      <t xml:space="preserve">  </t>
    </r>
    <r>
      <rPr>
        <b/>
        <sz val="12"/>
        <color indexed="8"/>
        <rFont val="Times New Roman"/>
        <family val="1"/>
      </rPr>
      <t>Special appraisal fund.</t>
    </r>
    <r>
      <rPr>
        <sz val="12"/>
        <color indexed="8"/>
        <rFont val="Times New Roman"/>
        <family val="1"/>
      </rPr>
      <t xml:space="preserve">  Counties may create a special appraisal fund to be used for the purpose of assuring that all property in the county is classified and appraised according to law and for employment of or contracting for appraisal assistance, hearing officers or panels and arbitrators.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</si>
  <si>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</si>
  <si>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Counties may create non-budgeted funds for any gifts or bequests, and, for the operation of a county coliseum.</t>
    </r>
  </si>
  <si>
    <t>5. Added tab 'NonBudFunds'</t>
  </si>
  <si>
    <t>4. Added tabs A to E for possible violation</t>
  </si>
  <si>
    <t>6. Instructions tab changed cells 9g - j for changes for possible violations on fund pages</t>
  </si>
  <si>
    <t xml:space="preserve">8.  Instructions tab added line 6b to inform about TransferStatutes tab
</t>
  </si>
  <si>
    <t>7. Deleted on all fund pages the 'Yes' and 'No' and replace with see tab for possible violations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</si>
  <si>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</si>
  <si>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</si>
  <si>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12-196</t>
    </r>
    <r>
      <rPr>
        <sz val="12"/>
        <rFont val="Times New Roman"/>
        <family val="1"/>
      </rPr>
      <t xml:space="preserve">. </t>
    </r>
    <r>
      <rPr>
        <sz val="12"/>
        <color indexed="8"/>
        <rFont val="Times New Roman"/>
        <family val="1"/>
      </rPr>
      <t xml:space="preserve"> </t>
    </r>
    <r>
      <rPr>
        <b/>
        <sz val="12"/>
        <color indexed="8"/>
        <rFont val="Times New Roman"/>
        <family val="1"/>
      </rPr>
      <t>Transfer of sales tax proceeds.</t>
    </r>
    <r>
      <rPr>
        <sz val="12"/>
        <color indexed="8"/>
        <rFont val="Times New Roman"/>
        <family val="1"/>
      </rPr>
      <t xml:space="preserve">  The board of county commissioners may transfer any portion of the revenue received pursuant to K.S.A. 12-192 [countywide retailers sales tax] from the county general fund to the county road and bridge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</si>
  <si>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</si>
  <si>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</si>
  <si>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</si>
  <si>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 xml:space="preserve">.  </t>
    </r>
    <r>
      <rPr>
        <b/>
        <sz val="12"/>
        <color indexed="8"/>
        <rFont val="Times New Roman"/>
        <family val="1"/>
      </rPr>
      <t>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</si>
  <si>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K.S.A. 19-119</t>
    </r>
    <r>
      <rPr>
        <sz val="12"/>
        <rFont val="Times New Roman"/>
        <family val="1"/>
      </rPr>
      <t>.</t>
    </r>
    <r>
      <rPr>
        <b/>
        <sz val="12"/>
        <rFont val="Times New Roman"/>
        <family val="1"/>
      </rPr>
      <t xml:space="preserve">  Transfer to equipment reserve fund.</t>
    </r>
    <r>
      <rPr>
        <sz val="12"/>
        <rFont val="Times New Roman"/>
        <family val="1"/>
      </rPr>
      <t xml:space="preserve">  </t>
    </r>
    <r>
      <rPr>
        <sz val="12"/>
        <color indexed="8"/>
        <rFont val="Times New Roman"/>
        <family val="1"/>
      </rPr>
      <t>Moneys may be budgeted and transferred to an equipment reserve fund from any source which may be lawfully utilized for such purposes.</t>
    </r>
  </si>
  <si>
    <r>
      <t>K.S.A. 19-120</t>
    </r>
    <r>
      <rPr>
        <sz val="12"/>
        <color indexed="8"/>
        <rFont val="Times New Roman"/>
        <family val="1"/>
      </rPr>
      <t>.</t>
    </r>
    <r>
      <rPr>
        <b/>
        <sz val="12"/>
        <color indexed="8"/>
        <rFont val="Times New Roman"/>
        <family val="1"/>
      </rPr>
      <t xml:space="preserve">  Transfer to capital improvements fund.</t>
    </r>
    <r>
      <rPr>
        <sz val="12"/>
        <color indexed="8"/>
        <rFont val="Times New Roman"/>
        <family val="1"/>
      </rPr>
      <t xml:space="preserve">  Authorizes the budgeted transfer of moneys from other funds lawfully available for improvement purposes to the capital improvements fund, including moneys in the general fund.</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</si>
  <si>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Transfer to worker’s compensation reserve fund.</t>
    </r>
    <r>
      <rPr>
        <sz val="12"/>
        <color indexed="8"/>
        <rFont val="Times New Roman"/>
        <family val="1"/>
      </rPr>
      <t xml:space="preserve">  Where a county chooses to act as a self-insurer under the worker’s compensation act it is authorized it is authorized to make transfers to a worker’s compensation reserve fund at any time by transfer of money from the road and bridge fund of said county in such amount as the board deems necessary.</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</si>
  <si>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</si>
  <si>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</si>
  <si>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</si>
  <si>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NonBud tab changed Net valuation to July 1</t>
  </si>
  <si>
    <t>Valuation Factor:</t>
  </si>
  <si>
    <t>Neighborhood Revitalization Subj to Rebate:</t>
  </si>
  <si>
    <t>Neighborhood Revitalization factor:</t>
  </si>
  <si>
    <t>10.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</si>
  <si>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</si>
  <si>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</si>
  <si>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</si>
  <si>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</si>
  <si>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Shawnee County Clerk's Office</t>
  </si>
  <si>
    <t>Available at:</t>
  </si>
  <si>
    <t>Examples</t>
  </si>
  <si>
    <t>August 12, 2010</t>
  </si>
  <si>
    <t>7:00 PM or 7:00 AM</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</si>
  <si>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</si>
  <si>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</si>
  <si>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</si>
  <si>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</si>
  <si>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</si>
  <si>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</si>
  <si>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</si>
  <si>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</si>
  <si>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</si>
  <si>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</si>
  <si>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</si>
  <si>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</si>
  <si>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</si>
  <si>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</si>
  <si>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</si>
  <si>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</si>
  <si>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</si>
  <si>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</si>
  <si>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</si>
  <si>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</si>
  <si>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</si>
  <si>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</si>
  <si>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</si>
  <si>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</si>
  <si>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</si>
  <si>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 &amp; bridge</t>
  </si>
  <si>
    <t xml:space="preserve">and noxious weed funds may split contractual services between the two </t>
  </si>
  <si>
    <t xml:space="preserve">funds.  If one of those funds is in trouble, you might be able to </t>
  </si>
  <si>
    <t xml:space="preserve">allocate a little more in contractual services to the healthy fund in </t>
  </si>
  <si>
    <t>order to 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</si>
  <si>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</si>
  <si>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</si>
  <si>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</si>
  <si>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</si>
  <si>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</si>
  <si>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</si>
  <si>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</si>
  <si>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</si>
  <si>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</si>
  <si>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</si>
  <si>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</si>
  <si>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</si>
  <si>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</si>
  <si>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</si>
  <si>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</si>
  <si>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</si>
  <si>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</si>
  <si>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</si>
  <si>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</si>
  <si>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</si>
  <si>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</si>
  <si>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</si>
  <si>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</si>
  <si>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</si>
  <si>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</si>
  <si>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</si>
  <si>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</si>
  <si>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</si>
  <si>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</si>
  <si>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</si>
  <si>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</si>
  <si>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</si>
  <si>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</si>
  <si>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</si>
  <si>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</si>
  <si>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</si>
  <si>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</si>
  <si>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</si>
  <si>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</si>
  <si>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</si>
  <si>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</si>
  <si>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</si>
  <si>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</si>
  <si>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</si>
  <si>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</si>
  <si>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</si>
  <si>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</si>
  <si>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</si>
  <si>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</si>
  <si>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</si>
  <si>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</si>
  <si>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</si>
  <si>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</si>
  <si>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</si>
  <si>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</si>
  <si>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</si>
  <si>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</si>
  <si>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</si>
  <si>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</si>
  <si>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</si>
  <si>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</si>
  <si>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</si>
  <si>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</si>
  <si>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</si>
  <si>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</si>
  <si>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</si>
  <si>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</si>
  <si>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</si>
  <si>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</si>
  <si>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</si>
  <si>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</si>
  <si>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</si>
  <si>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</si>
  <si>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</si>
  <si>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</si>
  <si>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</si>
  <si>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</si>
  <si>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</si>
  <si>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</si>
  <si>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</si>
  <si>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</si>
  <si>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</si>
  <si>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</si>
  <si>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</si>
  <si>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</si>
  <si>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</si>
  <si>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</si>
  <si>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</si>
  <si>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</si>
  <si>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</si>
  <si>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</si>
  <si>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</si>
  <si>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</si>
  <si>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</si>
  <si>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</si>
  <si>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</si>
  <si>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</si>
  <si>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</si>
  <si>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</si>
  <si>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</si>
  <si>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</si>
  <si>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</si>
  <si>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</si>
  <si>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</si>
  <si>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</si>
  <si>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</si>
  <si>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</si>
  <si>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 xml:space="preserve">funds.  If one of those funds is in trouble you might be able to </t>
  </si>
  <si>
    <t>order to 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</si>
  <si>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</si>
  <si>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</si>
  <si>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</si>
  <si>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</si>
  <si>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</si>
  <si>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</si>
  <si>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</si>
  <si>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</si>
  <si>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</si>
  <si>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</si>
  <si>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</si>
  <si>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</si>
  <si>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</si>
  <si>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</si>
  <si>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</si>
  <si>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</si>
  <si>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</si>
  <si>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</si>
  <si>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</si>
  <si>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</si>
  <si>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</si>
  <si>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</si>
  <si>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</si>
  <si>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</si>
  <si>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</si>
  <si>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</si>
  <si>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</si>
  <si>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</si>
  <si>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</si>
  <si>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</si>
  <si>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</si>
  <si>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</si>
  <si>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</si>
  <si>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</si>
  <si>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</si>
  <si>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</si>
  <si>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</si>
  <si>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</si>
  <si>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</si>
  <si>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</si>
  <si>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</si>
  <si>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</si>
  <si>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</si>
  <si>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</si>
  <si>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</si>
  <si>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</si>
  <si>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</si>
  <si>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</si>
  <si>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</si>
  <si>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</si>
  <si>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</si>
  <si>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</si>
  <si>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</si>
  <si>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</si>
  <si>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</si>
  <si>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</si>
  <si>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</si>
  <si>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</si>
  <si>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</si>
  <si>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</si>
  <si>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</si>
  <si>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</si>
  <si>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</si>
  <si>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</si>
  <si>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</si>
  <si>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</si>
  <si>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</si>
  <si>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</si>
  <si>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</si>
  <si>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</si>
  <si>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</si>
  <si>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</si>
  <si>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</si>
  <si>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Submitting the Budget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</si>
  <si>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</si>
  <si>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</si>
  <si>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</si>
  <si>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</si>
  <si>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</si>
  <si>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4c. The Certificate(2) (cert2) and Budget Summary (summ2) are used when the County Clerk has special districts that are to be submitted along with the County's budget.</t>
  </si>
  <si>
    <t>5.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</si>
  <si>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</si>
  <si>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r>
      <t xml:space="preserve">5b. Print the Resolution page (resolution) if the max levy is exceeded.  Complete the printed resolution and ensure to attached it the budget. </t>
    </r>
    <r>
      <rPr>
        <b/>
        <sz val="12"/>
        <rFont val="Times New Roman"/>
        <family val="1"/>
      </rPr>
      <t>Ensure to number the page</t>
    </r>
    <r>
      <rPr>
        <sz val="12"/>
        <rFont val="Times New Roman"/>
        <family val="1"/>
      </rPr>
      <t>.</t>
    </r>
  </si>
  <si>
    <t>6.  Motor Vehicle Allocation and Slider (mvalloc) are completed from information entered on the input pages (inputpryr and inputoth).  Once calculated, the tables information are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</si>
  <si>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</si>
  <si>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on the Budget Summary. </t>
    </r>
    <r>
      <rPr>
        <b/>
        <sz val="12"/>
        <rFont val="Times New Roman"/>
        <family val="1"/>
      </rPr>
      <t>If the county does not have any debt, then on the first line enter 'none'.</t>
    </r>
  </si>
  <si>
    <r>
      <t xml:space="preserve">9.  Statement of Conditional Lease, Lease-Purchases and Certificate of Participation (lpform) must be completed for all transactions which at the end of the lease period the lease is owned by the county.  Principal Balance Due for the actual year is linked on the Budget Summary page. </t>
    </r>
    <r>
      <rPr>
        <b/>
        <sz val="12"/>
        <rFont val="Times New Roman"/>
        <family val="1"/>
      </rPr>
      <t>If the county does not have any leases, then on the first line enter 'none'.</t>
    </r>
  </si>
  <si>
    <t>10.  The spreadsheet has individual fund sheets for General Fund (general), Debt Service (DebtService), Road &amp; Bridge, 22 levy pages (levy page10 and levy page20), 10 no levy fund pages (nolevypage21 to nolevypage28), and 4 non-budgeted tab which allows for 20 non-budgeted funds.  Only complete the fund pages needed.  When the fund pages are completed, the totals will be linked to the Certificate and Budget Summary pages.</t>
  </si>
  <si>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</si>
  <si>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</si>
  <si>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</si>
  <si>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these steps are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</si>
  <si>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</si>
  <si>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The fourth green shaded area, enter the page number.</t>
  </si>
  <si>
    <t xml:space="preserve">13.  Before submission of the budget, please review the entire document and verify that all amounts are correct.  In addition, the Certificate Page needs to be signed by at least one member of the governing body (signatures of the entire governing body is preferred, but not mandatory). </t>
  </si>
  <si>
    <t>answering objections of taxpayers relating to the proposed use of all funds and the amount of ad valorem tax.</t>
  </si>
  <si>
    <t>the Neighborhood Revitalization Rebate table.</t>
  </si>
  <si>
    <t>The following were changed to this spreadsheet on 12/28/09</t>
  </si>
  <si>
    <t>7c.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</si>
  <si>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</si>
  <si>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</si>
  <si>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</si>
  <si>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</si>
  <si>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</si>
  <si>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</si>
  <si>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</si>
  <si>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</si>
  <si>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</si>
  <si>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</si>
  <si>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</si>
  <si>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</si>
  <si>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</si>
  <si>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in the appropriate locations.  If any of the numbers are wrong, change them on this input sheet.</t>
  </si>
  <si>
    <t xml:space="preserve">Enter the following information from the sources shown.  This information will be  entered on the budget forms </t>
  </si>
  <si>
    <t>The following were changed to this spreadsheet on 6/29/10</t>
  </si>
  <si>
    <t>1. Road tab, changed the delinquency % cell reference from E23 to E24</t>
  </si>
  <si>
    <t>Budget Authority</t>
  </si>
  <si>
    <t>for Expenditures</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</si>
  <si>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</si>
  <si>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 xml:space="preserve">K.S.A. 8-145.  </t>
    </r>
    <r>
      <rPr>
        <b/>
        <sz val="12"/>
        <color indexed="8"/>
        <rFont val="Times New Roman"/>
        <family val="1"/>
      </rPr>
      <t>Transfer to general fund from special motor vehicle fund.</t>
    </r>
    <r>
      <rPr>
        <sz val="12"/>
        <color indexed="8"/>
        <rFont val="Times New Roman"/>
        <family val="1"/>
      </rPr>
      <t xml:space="preserve">  Any balance remaining in the special motor vehicle fund at the close of any calendar year shall be withdrawn and credited to the general fund of the county prior to June 1 of the following calendar year.</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</si>
  <si>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</si>
  <si>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1"/>
        <color indexed="8"/>
        <rFont val="Times New Roman"/>
        <family val="1"/>
      </rPr>
      <t>19-2661.</t>
    </r>
    <r>
      <rPr>
        <sz val="11"/>
        <color indexed="8"/>
        <rFont val="Times New Roman"/>
        <family val="1"/>
      </rPr>
      <t xml:space="preserve">  </t>
    </r>
    <r>
      <rPr>
        <b/>
        <sz val="11"/>
        <color indexed="8"/>
        <rFont val="Times New Roman"/>
        <family val="1"/>
      </rPr>
      <t>Transfer to refuse disposal sinking (debt service) fund.</t>
    </r>
    <r>
      <rPr>
        <sz val="11"/>
        <color indexed="8"/>
        <rFont val="Times New Roman"/>
        <family val="1"/>
      </rPr>
      <t xml:space="preserve">  Authorizes the transfer of surplus money from the refuse disposal fund to a refuse disposal debt service fund.</t>
    </r>
  </si>
  <si>
    <t>Does miscellaneous exceed 10% of Total Exp</t>
  </si>
  <si>
    <t>Does miscellaneous exceed 10% of Total Rec</t>
  </si>
  <si>
    <t>General Fund - Detail Expenditures</t>
  </si>
  <si>
    <t>Non-Appropriated Balance</t>
  </si>
  <si>
    <t>Total Expenditure/Non-Appr Balance</t>
  </si>
  <si>
    <t>Delinquent Comp Rate:</t>
  </si>
  <si>
    <t>Desired Carryover Amount:</t>
  </si>
  <si>
    <t>Estimated Mill Rate Impact:</t>
  </si>
  <si>
    <t>The estimated value of one mill would be:</t>
  </si>
  <si>
    <t>Change in Ad Valorem Tax Revenue:</t>
  </si>
  <si>
    <t>What Mill Rate Would Be Desired?</t>
  </si>
  <si>
    <t>The following were changed to this spreadsheet on 9/23/10</t>
  </si>
  <si>
    <t>1. All pages removed the revision date</t>
  </si>
  <si>
    <t>2. All tax levy fund pages reduced the columns and revised the bottom of pages for see tabs</t>
  </si>
  <si>
    <t>3. Instruction tab added 10a,b and f, 12 b and c, and 14</t>
  </si>
  <si>
    <t>4. Certificate and Certificate2 tab change the 'Expenditure' heading by adding  'Budget Authority for Expenditures'</t>
  </si>
  <si>
    <t>5. Certificate tab add the year in the block for 'County Clerk Use Only'</t>
  </si>
  <si>
    <t>6. Gen tab added revenue line for 'Compensation Use'</t>
  </si>
  <si>
    <t>7. Gen tab added table for 'Projection of Cash Carryover'</t>
  </si>
  <si>
    <t>8. Gen tab added table for 'Desired Carryover'</t>
  </si>
  <si>
    <t>9. Gen tab redefine print que to not include tables</t>
  </si>
  <si>
    <t>10. Gen tab hid the comp for see tabs</t>
  </si>
  <si>
    <t>11. DebtService tab added table for 'Projected Carryover'</t>
  </si>
  <si>
    <t>12. Road tab added table for 'Projected Carryover'</t>
  </si>
  <si>
    <t>13. DebtService and Road tab redefine print que and hid comp for see tabs</t>
  </si>
  <si>
    <t>14. Levy page10 and page20 tab hid comp for see tabs</t>
  </si>
  <si>
    <t>15. Summ and Summ2 tab changed proposed year expenditure column to 'Budget Authority (Includes Carryover)</t>
  </si>
  <si>
    <t>16. Summ tab added four tables to the right of the form</t>
  </si>
  <si>
    <t>17. Revised TransferStatutes and NonBudFunds tabs</t>
  </si>
  <si>
    <t>18. Added Mill Rate Computation tab</t>
  </si>
  <si>
    <t>19. Add Helpful Links tab</t>
  </si>
  <si>
    <t>20. Inputoth tab changed Actual Delinquency tax from -2 to -3</t>
  </si>
  <si>
    <t>21. Summ2 added year to Estimate Valuation column</t>
  </si>
  <si>
    <t>22. Added page no. to all tabs at the bottom of each page</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</si>
  <si>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</si>
  <si>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</si>
  <si>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</si>
  <si>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</si>
  <si>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</si>
  <si>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</si>
  <si>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</si>
  <si>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</si>
  <si>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</si>
  <si>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</si>
  <si>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</si>
  <si>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</si>
  <si>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</si>
  <si>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</si>
  <si>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</si>
  <si>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</si>
  <si>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</si>
  <si>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</si>
  <si>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</si>
  <si>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</si>
  <si>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</si>
  <si>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</si>
  <si>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</si>
  <si>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</si>
  <si>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</si>
  <si>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</si>
  <si>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</si>
  <si>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</si>
  <si>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</si>
  <si>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</si>
  <si>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</si>
  <si>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</si>
  <si>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</si>
  <si>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</si>
  <si>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</si>
  <si>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</si>
  <si>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</si>
  <si>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</si>
  <si>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</si>
  <si>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</si>
  <si>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</si>
  <si>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</si>
  <si>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</si>
  <si>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</si>
  <si>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</si>
  <si>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</si>
  <si>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</si>
  <si>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</si>
  <si>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</si>
  <si>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</si>
  <si>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</si>
  <si>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</si>
  <si>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</si>
  <si>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</si>
  <si>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</si>
  <si>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</si>
  <si>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</si>
  <si>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</si>
  <si>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</si>
  <si>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</si>
  <si>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</si>
  <si>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</si>
  <si>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</si>
  <si>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</si>
  <si>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</si>
  <si>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</si>
  <si>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</si>
  <si>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</si>
  <si>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</si>
  <si>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</si>
  <si>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</si>
  <si>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</si>
  <si>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</si>
  <si>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</si>
  <si>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</si>
  <si>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</si>
  <si>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</si>
  <si>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</si>
  <si>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</si>
  <si>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</si>
  <si>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</si>
  <si>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</si>
  <si>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28-115a.</t>
    </r>
    <r>
      <rPr>
        <sz val="12"/>
        <color indexed="8"/>
        <rFont val="Times New Roman"/>
        <family val="1"/>
      </rPr>
      <t xml:space="preserve">  </t>
    </r>
    <r>
      <rPr>
        <b/>
        <sz val="12"/>
        <color indexed="8"/>
        <rFont val="Times New Roman"/>
        <family val="1"/>
      </rPr>
      <t>Register of deeds technology fund.</t>
    </r>
    <r>
      <rPr>
        <sz val="12"/>
        <color indexed="8"/>
        <rFont val="Times New Roman"/>
        <family val="1"/>
      </rPr>
      <t xml:space="preserve">  Moneys in the fund (certain additional recording fees collected pursuant to K.S.A. 28-115(b)) shall be used by the register of deeds to acquire equipment and technological services for the storing, recording, archiving, retrieving, maintaining, and handling of data recorded or stored in the office of the register of deeds.</t>
    </r>
  </si>
  <si>
    <r>
      <t xml:space="preserve">K.S.A. </t>
    </r>
    <r>
      <rPr>
        <b/>
        <sz val="12"/>
        <color indexed="8"/>
        <rFont val="Times New Roman"/>
        <family val="1"/>
      </rPr>
      <t>68-1135.</t>
    </r>
    <r>
      <rPr>
        <sz val="12"/>
        <color indexed="8"/>
        <rFont val="Times New Roman"/>
        <family val="1"/>
      </rPr>
      <t xml:space="preserve">  </t>
    </r>
    <r>
      <rPr>
        <b/>
        <sz val="12"/>
        <color indexed="8"/>
        <rFont val="Times New Roman"/>
        <family val="1"/>
      </rPr>
      <t>Special bridge and culvert fund.</t>
    </r>
    <r>
      <rPr>
        <sz val="12"/>
        <color indexed="8"/>
        <rFont val="Times New Roman"/>
        <family val="1"/>
      </rPr>
      <t xml:space="preserve">  Counties are authorized to levy taxes for the purpose of creating and providing a special fund to be used in building and reconstructing bridges and culverts and constructing the approaches thereto or to be used in repaying loans or advances received from the highway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</si>
  <si>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pages . </t>
    </r>
  </si>
  <si>
    <t xml:space="preserve">2. The information entered into the Input Other (inputOth) worksheet is obtained from the County Clerk, County Treasurer, and the budget from two years ago(the year for actual year column for the current budget).  After the information has been entered, please verify the data is correct. </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</si>
  <si>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</si>
  <si>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</si>
  <si>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</si>
  <si>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the proposed column miscellaneous receipt also takes into consideration the amount of ad valorem taxes in determining the 10% Rule.</t>
    </r>
  </si>
  <si>
    <r>
      <t xml:space="preserve">10e. The Debt Service fund page (DebtService) can contain all debts owe by the county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county has No Fund warrants, these can be included in the Debt Service fund page and levy taxes for this debt. </t>
    </r>
    <r>
      <rPr>
        <b/>
        <sz val="12"/>
        <rFont val="Times New Roman"/>
        <family val="1"/>
      </rPr>
      <t>Note</t>
    </r>
    <r>
      <rPr>
        <sz val="12"/>
        <rFont val="Times New Roman"/>
        <family val="1"/>
      </rPr>
      <t xml:space="preserve">, No Fund warrants </t>
    </r>
    <r>
      <rPr>
        <u val="single"/>
        <sz val="12"/>
        <rFont val="Times New Roman"/>
        <family val="1"/>
      </rPr>
      <t>are not required</t>
    </r>
    <r>
      <rPr>
        <sz val="12"/>
        <rFont val="Times New Roman"/>
        <family val="1"/>
      </rPr>
      <t xml:space="preserve"> to be included in the Debt Service and may still have a No Fund page to account for them if the county desires.  </t>
    </r>
  </si>
  <si>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</si>
  <si>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10g. The 4 non-budgeted pages (NonBudA to D) each are designed to hold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</si>
  <si>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10h. The non-budgeted pages in the last column, the last two boxes should have the same figures as the last box take totals from the right side with the next to last box takes totals from the bottom.</t>
  </si>
  <si>
    <r>
      <t xml:space="preserve">10i. All levy fund pages have a Non-Appropriated Balance block. K.S.A. 79-2927 allows the county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turns red.  In order to remove this warning message, you must reduce the non-appropriate figure.</t>
    </r>
  </si>
  <si>
    <t xml:space="preserve">10j. Each fund after the "unencumbered cash bal dec31", will show the budget authority expenditure amount for the actual and current year. </t>
  </si>
  <si>
    <r>
      <t>10k. For tax levy or no tax levy fund pages, a comparison is made between the budget authority for the actual year and the actual total expenditures for the actual year as shown in the budget. If the total expenditures exceed the budget authority amount, then a '</t>
    </r>
    <r>
      <rPr>
        <sz val="12"/>
        <color indexed="10"/>
        <rFont val="Times New Roman"/>
        <family val="1"/>
      </rPr>
      <t>See Tab A</t>
    </r>
    <r>
      <rPr>
        <sz val="12"/>
        <rFont val="Times New Roman"/>
        <family val="1"/>
      </rPr>
      <t>' appears to indicate a possible violation and the expenditure blocks turns red.  Another comparison is made for the unencumbered cash balance dec 31 to determine if the fund ended with a negative cash balance and if so, then a '</t>
    </r>
    <r>
      <rPr>
        <sz val="12"/>
        <color indexed="10"/>
        <rFont val="Times New Roman"/>
        <family val="1"/>
      </rPr>
      <t>See Tab B</t>
    </r>
    <r>
      <rPr>
        <sz val="12"/>
        <rFont val="Times New Roman"/>
        <family val="1"/>
      </rPr>
      <t xml:space="preserve">' will appear for the violation and the unencumbered cash block turns red. </t>
    </r>
  </si>
  <si>
    <r>
      <t>10l. For tax levy or no tax levy fund pages, a comparison is maybe between the budget authority for the current year and total expenditures for the current budget expenditures as shown in the budget. If the current year adjusted expenditures are more than the budget authority, then a possible violation has occurred and red '</t>
    </r>
    <r>
      <rPr>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sz val="12"/>
        <color indexed="10"/>
        <rFont val="Times New Roman"/>
        <family val="1"/>
      </rPr>
      <t>See Tab D</t>
    </r>
    <r>
      <rPr>
        <sz val="12"/>
        <rFont val="Times New Roman"/>
        <family val="1"/>
      </rPr>
      <t>' will appear for the possible violation and the unencumbered cash block turns red.</t>
    </r>
  </si>
  <si>
    <r>
      <t>10m.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</si>
  <si>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</si>
  <si>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</si>
  <si>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</si>
  <si>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t>
  </si>
  <si>
    <t>12f. If the Special District budgets are computed by the County Clerk, the Clerk could complete the County Spec District.xls spreadsheet and this spreadsheet would be included with the county's budget.  Both Budget Summary pages would be taken to the newspaper for publication.</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</si>
  <si>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</si>
  <si>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</si>
  <si>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</si>
  <si>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</si>
  <si>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</si>
  <si>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</si>
  <si>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</si>
  <si>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</si>
  <si>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</si>
  <si>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</si>
  <si>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</si>
  <si>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</si>
  <si>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</si>
  <si>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</si>
  <si>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The following were changed to this spreadsheet on 4/19/11</t>
  </si>
  <si>
    <t>1. Summ tabs changed proposed year expenditure column to 'Budget Authority for Expenditures'</t>
  </si>
  <si>
    <t>Geary County</t>
  </si>
  <si>
    <t>Noxious Weed (5)</t>
  </si>
  <si>
    <t>Health Fund (6)</t>
  </si>
  <si>
    <t>Special Bridge (4)</t>
  </si>
  <si>
    <t>Extension Council (7)</t>
  </si>
  <si>
    <t>Free Fair (60)</t>
  </si>
  <si>
    <t>Animal Shelter (29)</t>
  </si>
  <si>
    <t>Mental Health (10)</t>
  </si>
  <si>
    <t>Election (11)</t>
  </si>
  <si>
    <t>Special Assessments (20)</t>
  </si>
  <si>
    <t>Senior Citizens (22)</t>
  </si>
  <si>
    <t>Community College (15)</t>
  </si>
  <si>
    <t>Mental Retardation (19)</t>
  </si>
  <si>
    <t>Economic Development (18)</t>
  </si>
  <si>
    <t>Law Enforcement (17)</t>
  </si>
  <si>
    <t>Appraisers Cost (2)</t>
  </si>
  <si>
    <t>Employee Benefits (12)</t>
  </si>
  <si>
    <t>Historical (65)</t>
  </si>
  <si>
    <t>Hospital (33)</t>
  </si>
  <si>
    <t>Juvenile Detention (68)</t>
  </si>
  <si>
    <t>PBC - Cloud Co CC (25)</t>
  </si>
  <si>
    <t>Capital Improvements (44)</t>
  </si>
  <si>
    <t>Geary Comm Hosp B&amp;I (27)</t>
  </si>
  <si>
    <t>Co. Neighborhood Revital (35)</t>
  </si>
  <si>
    <t>Co. The Bluffs TIF District (36)</t>
  </si>
  <si>
    <t>2-1318</t>
  </si>
  <si>
    <t>65-204</t>
  </si>
  <si>
    <t>68-1103</t>
  </si>
  <si>
    <t>2-625</t>
  </si>
  <si>
    <t>19-1561</t>
  </si>
  <si>
    <t>19-4004</t>
  </si>
  <si>
    <t>19-3435a</t>
  </si>
  <si>
    <t>79-1808</t>
  </si>
  <si>
    <t>12-1680</t>
  </si>
  <si>
    <t>19-4102</t>
  </si>
  <si>
    <t>12-11a01</t>
  </si>
  <si>
    <t>19-436</t>
  </si>
  <si>
    <t>12-16,102</t>
  </si>
  <si>
    <t>19-2651</t>
  </si>
  <si>
    <t>19-4606</t>
  </si>
  <si>
    <t>38-507</t>
  </si>
  <si>
    <t>19-120</t>
  </si>
  <si>
    <t>Waste Disposal (21)</t>
  </si>
  <si>
    <t>Alcohol Program (16)</t>
  </si>
  <si>
    <t>Convention &amp; Tourism (32)</t>
  </si>
  <si>
    <t>Parks &amp; Recreation (24)</t>
  </si>
  <si>
    <t>911 System (56)</t>
  </si>
  <si>
    <t>Court Trustee (57)</t>
  </si>
  <si>
    <t>Hospital Improv-Old (13)</t>
  </si>
  <si>
    <t>PBC - Pennell/Court (485)</t>
  </si>
  <si>
    <t>Riley/Geary Mtg Bds (493)</t>
  </si>
  <si>
    <t>E911 Cell Phone (49)</t>
  </si>
  <si>
    <t>Sol Waste Environ Haz (30)</t>
  </si>
  <si>
    <t>Concealed Weapon/ KORA (48)</t>
  </si>
  <si>
    <t>Register of Deeds Tech (79)</t>
  </si>
  <si>
    <t>Equipment Reserve (41)</t>
  </si>
  <si>
    <t>Nox Weed Cap Outlay (9)</t>
  </si>
  <si>
    <t>the Geary County Office Building</t>
  </si>
  <si>
    <t>71-301</t>
  </si>
  <si>
    <t>19-15,124</t>
  </si>
  <si>
    <t>12-17,118</t>
  </si>
  <si>
    <t>12-1775</t>
  </si>
  <si>
    <t>Interest &amp; Fees on Delinquent Tax</t>
  </si>
  <si>
    <t>Mortgage Registration Fees</t>
  </si>
  <si>
    <t>Officers' Fees</t>
  </si>
  <si>
    <t>Law Enforcement Fees</t>
  </si>
  <si>
    <t>Civil Process Fees</t>
  </si>
  <si>
    <t>Diversion &amp; Attorney Fees</t>
  </si>
  <si>
    <t>Rental Vehicle Excise Tax</t>
  </si>
  <si>
    <t>Prisoner Board</t>
  </si>
  <si>
    <t>Flood Control Rentals</t>
  </si>
  <si>
    <t>District Court Income</t>
  </si>
  <si>
    <t>District Court Record Searches</t>
  </si>
  <si>
    <t>Grant Revenue</t>
  </si>
  <si>
    <t>Antique Tags</t>
  </si>
  <si>
    <t>Insurance Reimbursements</t>
  </si>
  <si>
    <t>State of Kansas - Coroner</t>
  </si>
  <si>
    <t>Website Access</t>
  </si>
  <si>
    <t>Convention &amp; Tourism Bldg Rent</t>
  </si>
  <si>
    <t>Sale of Assets</t>
  </si>
  <si>
    <t>Transfer from Debt Service</t>
  </si>
  <si>
    <t>Special Fish &amp; Game Fees</t>
  </si>
  <si>
    <t>Transfer from Auto Special</t>
  </si>
  <si>
    <t>Transfer from Riley/Geary Mtg Bonds</t>
  </si>
  <si>
    <t>Transfer from Special Assessments</t>
  </si>
  <si>
    <t>Transfer from Community College</t>
  </si>
  <si>
    <t xml:space="preserve">County Attorney </t>
  </si>
  <si>
    <t xml:space="preserve">  Diversion Funds Expenditures</t>
  </si>
  <si>
    <t>Sheriff</t>
  </si>
  <si>
    <t>Human Resources</t>
  </si>
  <si>
    <t>Courthouse General</t>
  </si>
  <si>
    <t xml:space="preserve">  Building Maintenance &amp; Repairs</t>
  </si>
  <si>
    <t xml:space="preserve">  Sundown Salute</t>
  </si>
  <si>
    <t>Emergency Management</t>
  </si>
  <si>
    <t>GIS Committee</t>
  </si>
  <si>
    <t>Appropriations/Other:</t>
  </si>
  <si>
    <t xml:space="preserve">  Inspections, Zoning &amp; Planning</t>
  </si>
  <si>
    <t xml:space="preserve">  Soil Conservation</t>
  </si>
  <si>
    <t xml:space="preserve">  Ambulance</t>
  </si>
  <si>
    <t xml:space="preserve">  Coroner &amp; Autopsies</t>
  </si>
  <si>
    <t xml:space="preserve">  Indigent Funerals</t>
  </si>
  <si>
    <t xml:space="preserve">  Area Agency on Aging</t>
  </si>
  <si>
    <t xml:space="preserve">  County Counselor</t>
  </si>
  <si>
    <t xml:space="preserve">  New Office Building Rent</t>
  </si>
  <si>
    <t xml:space="preserve">  Retirement Sick Leave &amp; Vacation</t>
  </si>
  <si>
    <t xml:space="preserve">  Jail Addition Rent to PBC</t>
  </si>
  <si>
    <t xml:space="preserve">  Community Corrections Insurance</t>
  </si>
  <si>
    <t xml:space="preserve">  Manatron</t>
  </si>
  <si>
    <t xml:space="preserve">  Silver Haired Legislature</t>
  </si>
  <si>
    <t xml:space="preserve">  Willhoite Bldg Lease Purchase</t>
  </si>
  <si>
    <t xml:space="preserve">  Flint Hills Regional Leadership Program</t>
  </si>
  <si>
    <t xml:space="preserve">  Flint Hills Resource Conserv. &amp; Devel.</t>
  </si>
  <si>
    <t xml:space="preserve">  Flint Hills Regional Council</t>
  </si>
  <si>
    <t xml:space="preserve">  Open Door Community House</t>
  </si>
  <si>
    <t xml:space="preserve">  Drug Testing/Background Checks</t>
  </si>
  <si>
    <t xml:space="preserve">  Longevity Payroll</t>
  </si>
  <si>
    <t xml:space="preserve">  Rural Lakes Region - LEPP</t>
  </si>
  <si>
    <t>Transfer to General Fund</t>
  </si>
  <si>
    <t>Solid Waste Fund Reimbursement</t>
  </si>
  <si>
    <t>Fuel Reimbursement</t>
  </si>
  <si>
    <t>State of Kansas</t>
  </si>
  <si>
    <t>Federal Grants</t>
  </si>
  <si>
    <t>Surcharge</t>
  </si>
  <si>
    <t>In Lieu of Tax</t>
  </si>
  <si>
    <t>Salaries</t>
  </si>
  <si>
    <t>Office Supplies</t>
  </si>
  <si>
    <t>Asphalt - Sealing</t>
  </si>
  <si>
    <t>Asphalt - Overlay</t>
  </si>
  <si>
    <t>Asphalt - Patching</t>
  </si>
  <si>
    <t>Rock - Sealing</t>
  </si>
  <si>
    <t>Rock - Patching</t>
  </si>
  <si>
    <t>Rock - Surfacing</t>
  </si>
  <si>
    <t>Signs/Traffic Control Devices</t>
  </si>
  <si>
    <t>General Commodities</t>
  </si>
  <si>
    <t>Parts &amp; Repairs</t>
  </si>
  <si>
    <t>Fuels, Lubricants, Etc.</t>
  </si>
  <si>
    <t>Utilities, Insurance, Etc.</t>
  </si>
  <si>
    <t>Capital Outlay</t>
  </si>
  <si>
    <t>Surcharge Expenditures</t>
  </si>
  <si>
    <t>Solid Waste Reimbursement</t>
  </si>
  <si>
    <t>Sales of Chemicals &amp; Labor</t>
  </si>
  <si>
    <t>In Lieu of Taxes</t>
  </si>
  <si>
    <t>Contractual</t>
  </si>
  <si>
    <t>Commodities</t>
  </si>
  <si>
    <t>Transfer to Capital Outlay</t>
  </si>
  <si>
    <t>Appropriation</t>
  </si>
  <si>
    <t>Construction/Maintenance</t>
  </si>
  <si>
    <t>Fees, Boarding, Donations, etc.</t>
  </si>
  <si>
    <t>Surgery Deposits</t>
  </si>
  <si>
    <t>City of Junction City Reimbursements</t>
  </si>
  <si>
    <t>Contractual Services</t>
  </si>
  <si>
    <t>Surgery Deposit Refunds</t>
  </si>
  <si>
    <t>Appropriations</t>
  </si>
  <si>
    <t>Appropriation to Big Lakes Dev. Center</t>
  </si>
  <si>
    <t>Convention Center</t>
  </si>
  <si>
    <t>Military Affairs</t>
  </si>
  <si>
    <t xml:space="preserve">Contractual </t>
  </si>
  <si>
    <t>Community Corrections Reimbursement</t>
  </si>
  <si>
    <t>Court Trustee Reimbursement</t>
  </si>
  <si>
    <t>Convention &amp; Tourism Reimbursement</t>
  </si>
  <si>
    <t>Fire District Reimbursement</t>
  </si>
  <si>
    <t>Training Reimbursement</t>
  </si>
  <si>
    <t>FICA &amp; Medicare</t>
  </si>
  <si>
    <t>Group Insurance</t>
  </si>
  <si>
    <t>Workers' Compensation</t>
  </si>
  <si>
    <t>Unemployment Tax</t>
  </si>
  <si>
    <t>Flex Account Fees</t>
  </si>
  <si>
    <t xml:space="preserve">Training  </t>
  </si>
  <si>
    <t>Appropriation to Center</t>
  </si>
  <si>
    <t>CCCC Rent</t>
  </si>
  <si>
    <t>Building Maintenance</t>
  </si>
  <si>
    <t>Konza Prairie</t>
  </si>
  <si>
    <t>Capital Improvements</t>
  </si>
  <si>
    <t>Quarter Percent Sales Tax</t>
  </si>
  <si>
    <t>Hospital Contribution</t>
  </si>
  <si>
    <t>Bond Principal</t>
  </si>
  <si>
    <t>Bond Interest</t>
  </si>
  <si>
    <t>Bond Commission</t>
  </si>
  <si>
    <t>To Maintain Account Balance</t>
  </si>
  <si>
    <t>Distribution of Tax Collected</t>
  </si>
  <si>
    <t>Landfill Receipts</t>
  </si>
  <si>
    <t>Freon Receipts</t>
  </si>
  <si>
    <t>Federal Reimbursement</t>
  </si>
  <si>
    <t>Road &amp; Bridge Reimbursement</t>
  </si>
  <si>
    <t>Noxious Weed Fund Reimbursement</t>
  </si>
  <si>
    <t>Household Hazardous Waste</t>
  </si>
  <si>
    <t>Employee Benefit Fund Reimb</t>
  </si>
  <si>
    <t>Local Alcohol Liquor Fund</t>
  </si>
  <si>
    <t>General Fund Allocation</t>
  </si>
  <si>
    <t>Parks &amp; Recreation Allocation</t>
  </si>
  <si>
    <t>Sheriff's Alcohol Equip.</t>
  </si>
  <si>
    <t>Circle A Club of Junction City</t>
  </si>
  <si>
    <t>Transient Guest Tax</t>
  </si>
  <si>
    <t>Marketing</t>
  </si>
  <si>
    <t>Office Expense</t>
  </si>
  <si>
    <t>Reimburse Employee Benefits</t>
  </si>
  <si>
    <t>911 Telephone Surcharge</t>
  </si>
  <si>
    <t>Court Trustee Fees</t>
  </si>
  <si>
    <t>Geary County:</t>
  </si>
  <si>
    <t xml:space="preserve">   County Attorney Rent</t>
  </si>
  <si>
    <t xml:space="preserve">   District Court Rent</t>
  </si>
  <si>
    <t xml:space="preserve">   Court Trustee Rent</t>
  </si>
  <si>
    <t xml:space="preserve">   Community Corrections Rent</t>
  </si>
  <si>
    <t>Rent Payments to PBC</t>
  </si>
  <si>
    <t>Collections</t>
  </si>
  <si>
    <t>Equipment Purchases</t>
  </si>
  <si>
    <t>KORA Registration Fees</t>
  </si>
  <si>
    <t>Law Enforcement Expenditures</t>
  </si>
  <si>
    <t>Tran from Nox Weed</t>
  </si>
  <si>
    <t>Library (8)</t>
  </si>
  <si>
    <t>Fire District #1 (730)</t>
  </si>
  <si>
    <t>Pottberg, Gassman &amp; Hoffman, Chtd.</t>
  </si>
  <si>
    <t>816 N. Washington  St.</t>
  </si>
  <si>
    <t>Junction City, KS 66441</t>
  </si>
  <si>
    <t>10-117a</t>
  </si>
  <si>
    <t>79-2958</t>
  </si>
  <si>
    <t>8-145</t>
  </si>
  <si>
    <t>Community College</t>
  </si>
  <si>
    <t>Riley/Geary Mtg Bds</t>
  </si>
  <si>
    <t>Special Auto</t>
  </si>
  <si>
    <t>Special Assessments</t>
  </si>
  <si>
    <t>Noxious Weed</t>
  </si>
  <si>
    <t>12-1247</t>
  </si>
  <si>
    <t>19-3610</t>
  </si>
  <si>
    <t>Rebecca Bossemeyer</t>
  </si>
  <si>
    <t xml:space="preserve">  Transfer to Equipment Reserve</t>
  </si>
  <si>
    <t xml:space="preserve">  Transfer to Hospital Construction 2006</t>
  </si>
  <si>
    <t>BCBS Premium Refund</t>
  </si>
  <si>
    <t>Protocal</t>
  </si>
  <si>
    <t>Building Improvements</t>
  </si>
  <si>
    <t>CCH Fees - Prior Years</t>
  </si>
  <si>
    <t>KORA Fees - Prior Years</t>
  </si>
  <si>
    <t>Weapon License Fees (CCH)</t>
  </si>
  <si>
    <t>Tran from General</t>
  </si>
  <si>
    <t>Hospital GO Bond-Debt Reserve</t>
  </si>
  <si>
    <t>Transfer from Willhoite Lease Purchase</t>
  </si>
  <si>
    <t xml:space="preserve">  Comprehensive Plan</t>
  </si>
  <si>
    <t xml:space="preserve">  ATA - Bus</t>
  </si>
  <si>
    <t>Transfer from Bluffs TIF</t>
  </si>
  <si>
    <t>Pawnee Mental Health</t>
  </si>
  <si>
    <t>Health Department Reimbursement-W/C</t>
  </si>
  <si>
    <t>Series 2006, Hospital Bonds</t>
  </si>
  <si>
    <t>3.5 - 6.5</t>
  </si>
  <si>
    <t>3/1, 9/1</t>
  </si>
  <si>
    <t>Willhoite Building</t>
  </si>
  <si>
    <t>Willhoite Lease Purchase</t>
  </si>
  <si>
    <t>Bluffs TIF</t>
  </si>
  <si>
    <t>Equipment Reserve</t>
  </si>
  <si>
    <t>19-119</t>
  </si>
  <si>
    <t>Hospital Construction</t>
  </si>
  <si>
    <t>Noxious Weed Cap Outlay</t>
  </si>
  <si>
    <t>Hospital Improve (Old)</t>
  </si>
  <si>
    <t>Transfer from Hospital Improve (Old)</t>
  </si>
  <si>
    <t xml:space="preserve">  Misc - Bluffs</t>
  </si>
  <si>
    <t>Transfer to Debt Service</t>
  </si>
  <si>
    <t>Reimbursement from Fire Grant</t>
  </si>
  <si>
    <t>10-1113</t>
  </si>
  <si>
    <t>Debt Service (14)</t>
  </si>
  <si>
    <t>August 22, 2011</t>
  </si>
  <si>
    <t>11:30 a.m.</t>
  </si>
  <si>
    <t>Other to Balance</t>
  </si>
  <si>
    <t>Local Sales &amp; Compensating UseTax</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</si>
</sst>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m/d/yy"/>
    <numFmt numFmtId="173" formatCode="m/d"/>
    <numFmt numFmtId="174" formatCode="_(* #,##0.0_);_(* \(#,##0.0\);_(* &quot;-&quot;??_);_(@_)"/>
    <numFmt numFmtId="175" formatCode="_(* #,##0_);_(* \(#,##0\);_(* &quot;-&quot;??_);_(@_)"/>
    <numFmt numFmtId="176" formatCode="#,##0.0_);\(#,##0.0\)"/>
    <numFmt numFmtId="177" formatCode="#,##0.000_);\(#,##0.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
    <numFmt numFmtId="184" formatCode="#,##0.000"/>
    <numFmt numFmtId="185" formatCode="[$-409]mmmm\ d\,\ yyyy;@"/>
    <numFmt numFmtId="186" formatCode="[$-409]h:mm\ AM/PM;@"/>
    <numFmt numFmtId="187" formatCode="\1\2\-\1\1\1\1"/>
    <numFmt numFmtId="188" formatCode="[$-409]dddd\,\ mmmm\ dd\,\ yyyy"/>
    <numFmt numFmtId="189" formatCode="m/d/yy;@"/>
    <numFmt numFmtId="190" formatCode="&quot;$&quot;#,##0"/>
    <numFmt numFmtId="191" formatCode="&quot;$&quot;#,##0.00"/>
    <numFmt numFmtId="192" formatCode="#,###"/>
  </numFmts>
  <fonts count="93">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4"/>
      <name val="Times New Roman"/>
      <family val="1"/>
    </font>
    <font>
      <sz val="11"/>
      <name val="Times New Roman"/>
      <family val="1"/>
    </font>
    <font>
      <sz val="8"/>
      <name val="Courier"/>
      <family val="3"/>
    </font>
    <font>
      <u val="single"/>
      <sz val="12"/>
      <color indexed="36"/>
      <name val="Courier New"/>
      <family val="3"/>
    </font>
    <font>
      <u val="single"/>
      <sz val="12"/>
      <color indexed="12"/>
      <name val="Courier New"/>
      <family val="3"/>
    </font>
    <font>
      <sz val="12"/>
      <name val="Courier New"/>
      <family val="3"/>
    </font>
    <font>
      <sz val="8"/>
      <name val="Courier New"/>
      <family val="3"/>
    </font>
    <font>
      <i/>
      <sz val="11"/>
      <name val="Times New Roman"/>
      <family val="1"/>
    </font>
    <font>
      <b/>
      <sz val="11"/>
      <name val="Times New Roman"/>
      <family val="1"/>
    </font>
    <font>
      <sz val="11"/>
      <color indexed="9"/>
      <name val="Times New Roman"/>
      <family val="1"/>
    </font>
    <font>
      <sz val="9"/>
      <name val="Times New Roman"/>
      <family val="1"/>
    </font>
    <font>
      <sz val="10"/>
      <name val="Times New Roman"/>
      <family val="1"/>
    </font>
    <font>
      <b/>
      <sz val="10"/>
      <name val="Times New Roman"/>
      <family val="1"/>
    </font>
    <font>
      <sz val="10"/>
      <name val="Courier"/>
      <family val="3"/>
    </font>
    <font>
      <sz val="12"/>
      <color indexed="9"/>
      <name val="Times New Roman"/>
      <family val="1"/>
    </font>
    <font>
      <sz val="8"/>
      <name val="Times New Roman"/>
      <family val="1"/>
    </font>
    <font>
      <b/>
      <u val="single"/>
      <sz val="12"/>
      <name val="Times New Roman"/>
      <family val="1"/>
    </font>
    <font>
      <sz val="12"/>
      <color indexed="10"/>
      <name val="Times New Roman"/>
      <family val="1"/>
    </font>
    <font>
      <b/>
      <u val="single"/>
      <sz val="12"/>
      <color indexed="10"/>
      <name val="Times New Roman"/>
      <family val="1"/>
    </font>
    <font>
      <b/>
      <u val="single"/>
      <sz val="12"/>
      <name val="Courier"/>
      <family val="3"/>
    </font>
    <font>
      <b/>
      <sz val="8"/>
      <name val="Times New Roman"/>
      <family val="1"/>
    </font>
    <font>
      <b/>
      <u val="single"/>
      <sz val="10"/>
      <name val="Times New Roman"/>
      <family val="1"/>
    </font>
    <font>
      <b/>
      <sz val="12"/>
      <color indexed="10"/>
      <name val="Times New Roman"/>
      <family val="1"/>
    </font>
    <font>
      <sz val="12"/>
      <color indexed="10"/>
      <name val="Courier"/>
      <family val="3"/>
    </font>
    <font>
      <i/>
      <sz val="12"/>
      <name val="Times New Roman"/>
      <family val="1"/>
    </font>
    <font>
      <b/>
      <u val="single"/>
      <sz val="14"/>
      <name val="Times New Roman"/>
      <family val="1"/>
    </font>
    <font>
      <b/>
      <sz val="12"/>
      <color indexed="8"/>
      <name val="Times New Roman"/>
      <family val="1"/>
    </font>
    <font>
      <sz val="12"/>
      <color indexed="8"/>
      <name val="Times New Roman"/>
      <family val="1"/>
    </font>
    <font>
      <b/>
      <sz val="11"/>
      <color indexed="8"/>
      <name val="Arial"/>
      <family val="2"/>
    </font>
    <font>
      <sz val="11"/>
      <color indexed="8"/>
      <name val="Arial"/>
      <family val="2"/>
    </font>
    <font>
      <b/>
      <u val="single"/>
      <sz val="8"/>
      <color indexed="10"/>
      <name val="Times New Roman"/>
      <family val="1"/>
    </font>
    <font>
      <sz val="14"/>
      <name val="Courier"/>
      <family val="3"/>
    </font>
    <font>
      <b/>
      <sz val="14"/>
      <name val="Times New Roman"/>
      <family val="1"/>
    </font>
    <font>
      <u val="single"/>
      <sz val="12"/>
      <color indexed="12"/>
      <name val="Courier"/>
      <family val="3"/>
    </font>
    <font>
      <i/>
      <u val="single"/>
      <sz val="12"/>
      <name val="Courier"/>
      <family val="3"/>
    </font>
    <font>
      <sz val="11"/>
      <color indexed="8"/>
      <name val="Times New Roman"/>
      <family val="1"/>
    </font>
    <font>
      <b/>
      <sz val="11"/>
      <color indexed="8"/>
      <name val="Times New Roman"/>
      <family val="1"/>
    </font>
    <font>
      <b/>
      <u val="single"/>
      <sz val="8"/>
      <name val="Times New Roman"/>
      <family val="1"/>
    </font>
    <font>
      <b/>
      <u val="single"/>
      <sz val="10"/>
      <name val="Courier"/>
      <family val="3"/>
    </font>
    <font>
      <sz val="10"/>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sz val="12"/>
      <color rgb="FFFF0000"/>
      <name val="Times New Roman"/>
      <family val="1"/>
    </font>
    <font>
      <sz val="12"/>
      <color rgb="FFFF0000"/>
      <name val="Courier"/>
      <family val="3"/>
    </font>
    <font>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0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indexed="27"/>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top style="medium"/>
      <bottom/>
    </border>
    <border>
      <left style="medium"/>
      <right/>
      <top/>
      <bottom/>
    </border>
    <border>
      <left/>
      <right style="medium"/>
      <top/>
      <bottom/>
    </border>
    <border>
      <left/>
      <right/>
      <top style="medium"/>
      <bottom/>
    </border>
    <border>
      <left/>
      <right style="medium"/>
      <top style="medium"/>
      <bottom/>
    </border>
    <border>
      <left style="medium"/>
      <right/>
      <top/>
      <bottom style="thin"/>
    </border>
    <border>
      <left style="medium"/>
      <right/>
      <top/>
      <bottom style="medium"/>
    </border>
    <border>
      <left/>
      <right/>
      <top/>
      <bottom style="medium"/>
    </border>
    <border>
      <left/>
      <right style="medium"/>
      <top/>
      <bottom style="medium"/>
    </border>
    <border>
      <left style="medium"/>
      <right/>
      <top style="thin"/>
      <bottom/>
    </border>
    <border>
      <left/>
      <right style="medium"/>
      <top style="thin"/>
      <bottom/>
    </border>
  </borders>
  <cellStyleXfs count="4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10"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1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837">
    <xf numFmtId="0" fontId="0" fillId="0" borderId="0" xfId="0" applyAlignment="1">
      <alignment/>
    </xf>
    <xf numFmtId="0" fontId="4" fillId="0" borderId="0" xfId="0" applyFont="1" applyAlignment="1" applyProtection="1">
      <alignment/>
      <protection locked="0"/>
    </xf>
    <xf numFmtId="0" fontId="4" fillId="0" borderId="0" xfId="0" applyFont="1" applyAlignment="1">
      <alignment/>
    </xf>
    <xf numFmtId="0" fontId="4" fillId="0" borderId="0" xfId="0" applyFont="1" applyAlignment="1">
      <alignment horizontal="centerContinuous"/>
    </xf>
    <xf numFmtId="37" fontId="4" fillId="0" borderId="0" xfId="0" applyNumberFormat="1" applyFont="1" applyAlignment="1" applyProtection="1">
      <alignment horizontal="left"/>
      <protection locked="0"/>
    </xf>
    <xf numFmtId="37" fontId="4" fillId="0" borderId="0" xfId="0" applyNumberFormat="1" applyFont="1" applyAlignment="1" applyProtection="1">
      <alignment horizontal="center"/>
      <protection locked="0"/>
    </xf>
    <xf numFmtId="0" fontId="4" fillId="0" borderId="0" xfId="0" applyFont="1" applyAlignment="1">
      <alignment/>
    </xf>
    <xf numFmtId="37" fontId="4" fillId="33" borderId="10" xfId="0" applyNumberFormat="1" applyFont="1" applyFill="1" applyBorder="1" applyAlignment="1" applyProtection="1">
      <alignment/>
      <protection locked="0"/>
    </xf>
    <xf numFmtId="0" fontId="4" fillId="33" borderId="0" xfId="0" applyFont="1" applyFill="1" applyAlignment="1" applyProtection="1">
      <alignment/>
      <protection locked="0"/>
    </xf>
    <xf numFmtId="164" fontId="4" fillId="33" borderId="10" xfId="0" applyNumberFormat="1" applyFont="1" applyFill="1" applyBorder="1" applyAlignment="1" applyProtection="1">
      <alignment/>
      <protection locked="0"/>
    </xf>
    <xf numFmtId="37" fontId="4" fillId="34" borderId="11" xfId="0" applyNumberFormat="1" applyFont="1" applyFill="1" applyBorder="1" applyAlignment="1" applyProtection="1">
      <alignment horizontal="center"/>
      <protection/>
    </xf>
    <xf numFmtId="37" fontId="4" fillId="34" borderId="0" xfId="0" applyNumberFormat="1" applyFont="1" applyFill="1" applyAlignment="1" applyProtection="1">
      <alignment horizontal="right"/>
      <protection/>
    </xf>
    <xf numFmtId="0" fontId="4" fillId="34" borderId="0" xfId="0" applyFont="1" applyFill="1" applyAlignment="1" applyProtection="1">
      <alignment/>
      <protection/>
    </xf>
    <xf numFmtId="37" fontId="4" fillId="34" borderId="0" xfId="0" applyNumberFormat="1" applyFont="1" applyFill="1" applyAlignment="1" applyProtection="1">
      <alignment horizontal="left"/>
      <protection/>
    </xf>
    <xf numFmtId="37" fontId="4" fillId="34" borderId="0" xfId="0" applyNumberFormat="1" applyFont="1" applyFill="1" applyAlignment="1" applyProtection="1">
      <alignment horizontal="centerContinuous"/>
      <protection/>
    </xf>
    <xf numFmtId="0" fontId="4" fillId="34" borderId="0" xfId="0" applyFont="1" applyFill="1" applyAlignment="1" applyProtection="1">
      <alignment horizontal="centerContinuous"/>
      <protection/>
    </xf>
    <xf numFmtId="37" fontId="4" fillId="34" borderId="0" xfId="0" applyNumberFormat="1" applyFont="1" applyFill="1" applyAlignment="1" applyProtection="1">
      <alignment horizontal="fill"/>
      <protection/>
    </xf>
    <xf numFmtId="37" fontId="4" fillId="34" borderId="12" xfId="0" applyNumberFormat="1" applyFont="1" applyFill="1" applyBorder="1" applyAlignment="1" applyProtection="1">
      <alignment horizontal="centerContinuous"/>
      <protection/>
    </xf>
    <xf numFmtId="0" fontId="4" fillId="34" borderId="13" xfId="0" applyFont="1" applyFill="1" applyBorder="1" applyAlignment="1" applyProtection="1">
      <alignment horizontal="centerContinuous"/>
      <protection/>
    </xf>
    <xf numFmtId="0" fontId="4" fillId="34" borderId="14" xfId="0" applyFont="1" applyFill="1" applyBorder="1" applyAlignment="1" applyProtection="1">
      <alignment horizontal="centerContinuous"/>
      <protection/>
    </xf>
    <xf numFmtId="37" fontId="4" fillId="34" borderId="15" xfId="0" applyNumberFormat="1" applyFont="1" applyFill="1" applyBorder="1" applyAlignment="1" applyProtection="1">
      <alignment horizontal="center"/>
      <protection/>
    </xf>
    <xf numFmtId="37" fontId="4" fillId="34" borderId="16" xfId="0" applyNumberFormat="1" applyFont="1" applyFill="1" applyBorder="1" applyAlignment="1" applyProtection="1">
      <alignment horizontal="center"/>
      <protection/>
    </xf>
    <xf numFmtId="37" fontId="4" fillId="34" borderId="17" xfId="0" applyNumberFormat="1" applyFont="1" applyFill="1" applyBorder="1" applyAlignment="1" applyProtection="1">
      <alignment horizontal="left"/>
      <protection/>
    </xf>
    <xf numFmtId="37" fontId="4" fillId="34" borderId="10" xfId="0" applyNumberFormat="1" applyFont="1" applyFill="1" applyBorder="1" applyAlignment="1" applyProtection="1">
      <alignment horizontal="left"/>
      <protection/>
    </xf>
    <xf numFmtId="37" fontId="4" fillId="34" borderId="10" xfId="0" applyNumberFormat="1" applyFont="1" applyFill="1" applyBorder="1" applyAlignment="1" applyProtection="1">
      <alignment/>
      <protection/>
    </xf>
    <xf numFmtId="37" fontId="4" fillId="34" borderId="17" xfId="0" applyNumberFormat="1" applyFont="1" applyFill="1" applyBorder="1" applyAlignment="1" applyProtection="1">
      <alignment horizontal="fill"/>
      <protection/>
    </xf>
    <xf numFmtId="37" fontId="4" fillId="34" borderId="0" xfId="0" applyNumberFormat="1" applyFont="1" applyFill="1" applyAlignment="1" applyProtection="1">
      <alignment/>
      <protection/>
    </xf>
    <xf numFmtId="0" fontId="4" fillId="34" borderId="0" xfId="0" applyFont="1" applyFill="1" applyAlignment="1">
      <alignment/>
    </xf>
    <xf numFmtId="0" fontId="4" fillId="34" borderId="16" xfId="0" applyFont="1" applyFill="1" applyBorder="1" applyAlignment="1" applyProtection="1">
      <alignment horizontal="center"/>
      <protection/>
    </xf>
    <xf numFmtId="0" fontId="4" fillId="34" borderId="0" xfId="0" applyFont="1" applyFill="1" applyAlignment="1" applyProtection="1">
      <alignment horizontal="center"/>
      <protection/>
    </xf>
    <xf numFmtId="37" fontId="4" fillId="34" borderId="0" xfId="0" applyNumberFormat="1" applyFont="1" applyFill="1" applyAlignment="1" applyProtection="1" quotePrefix="1">
      <alignment horizontal="right"/>
      <protection/>
    </xf>
    <xf numFmtId="37" fontId="5" fillId="34" borderId="0" xfId="0" applyNumberFormat="1" applyFont="1" applyFill="1" applyAlignment="1" applyProtection="1">
      <alignment horizontal="centerContinuous"/>
      <protection/>
    </xf>
    <xf numFmtId="0" fontId="4" fillId="34" borderId="15" xfId="0" applyFont="1" applyFill="1" applyBorder="1" applyAlignment="1" applyProtection="1">
      <alignment horizontal="centerContinuous"/>
      <protection/>
    </xf>
    <xf numFmtId="1" fontId="4" fillId="34" borderId="12" xfId="0" applyNumberFormat="1" applyFont="1" applyFill="1" applyBorder="1" applyAlignment="1" applyProtection="1">
      <alignment horizontal="centerContinuous"/>
      <protection/>
    </xf>
    <xf numFmtId="164" fontId="4" fillId="34" borderId="10" xfId="0" applyNumberFormat="1" applyFont="1" applyFill="1" applyBorder="1" applyAlignment="1" applyProtection="1">
      <alignment/>
      <protection/>
    </xf>
    <xf numFmtId="0" fontId="4" fillId="34" borderId="15" xfId="0" applyFont="1" applyFill="1" applyBorder="1" applyAlignment="1">
      <alignment/>
    </xf>
    <xf numFmtId="0" fontId="14" fillId="0" borderId="0" xfId="0" applyFont="1" applyAlignment="1">
      <alignment horizontal="center" vertical="top"/>
    </xf>
    <xf numFmtId="0" fontId="0" fillId="0" borderId="0" xfId="0" applyAlignment="1">
      <alignment vertical="top"/>
    </xf>
    <xf numFmtId="0" fontId="14" fillId="0" borderId="0" xfId="0" applyFont="1" applyAlignment="1">
      <alignment vertical="top"/>
    </xf>
    <xf numFmtId="0" fontId="12" fillId="0" borderId="0" xfId="438" applyAlignment="1">
      <alignment vertical="top"/>
      <protection/>
    </xf>
    <xf numFmtId="0" fontId="12" fillId="0" borderId="0" xfId="438">
      <alignment/>
      <protection/>
    </xf>
    <xf numFmtId="0" fontId="15" fillId="0" borderId="0" xfId="0" applyFont="1" applyAlignment="1">
      <alignment vertical="top"/>
    </xf>
    <xf numFmtId="0" fontId="8" fillId="0" borderId="0" xfId="0" applyFont="1" applyAlignment="1">
      <alignment horizontal="center" vertical="top"/>
    </xf>
    <xf numFmtId="0" fontId="14" fillId="0" borderId="0" xfId="0" applyFont="1" applyAlignment="1">
      <alignment horizontal="left" vertical="top"/>
    </xf>
    <xf numFmtId="0" fontId="8" fillId="0" borderId="0" xfId="0" applyFont="1" applyAlignment="1">
      <alignment horizontal="left" vertical="top"/>
    </xf>
    <xf numFmtId="0" fontId="8" fillId="0" borderId="0" xfId="0" applyFont="1" applyAlignment="1">
      <alignment vertical="top"/>
    </xf>
    <xf numFmtId="0" fontId="16" fillId="0" borderId="0" xfId="0" applyFont="1" applyAlignment="1">
      <alignment/>
    </xf>
    <xf numFmtId="0" fontId="16" fillId="0" borderId="0" xfId="0" applyNumberFormat="1" applyFont="1" applyAlignment="1">
      <alignment/>
    </xf>
    <xf numFmtId="0" fontId="8" fillId="0" borderId="0" xfId="0" applyFont="1" applyAlignment="1">
      <alignment/>
    </xf>
    <xf numFmtId="0" fontId="8" fillId="0" borderId="0" xfId="0" applyFont="1" applyAlignment="1">
      <alignment/>
    </xf>
    <xf numFmtId="0" fontId="17" fillId="0" borderId="0" xfId="0" applyFont="1" applyAlignment="1">
      <alignment/>
    </xf>
    <xf numFmtId="0" fontId="4" fillId="34" borderId="0" xfId="0" applyNumberFormat="1" applyFont="1" applyFill="1" applyAlignment="1" applyProtection="1">
      <alignment horizontal="right"/>
      <protection/>
    </xf>
    <xf numFmtId="37" fontId="4" fillId="34" borderId="0" xfId="0" applyNumberFormat="1" applyFont="1" applyFill="1" applyBorder="1" applyAlignment="1" applyProtection="1">
      <alignment horizontal="left"/>
      <protection/>
    </xf>
    <xf numFmtId="0" fontId="4" fillId="34" borderId="0" xfId="0" applyFont="1" applyFill="1" applyAlignment="1">
      <alignment horizontal="center"/>
    </xf>
    <xf numFmtId="0" fontId="4" fillId="0" borderId="0" xfId="0" applyFont="1" applyAlignment="1">
      <alignment vertical="top"/>
    </xf>
    <xf numFmtId="0" fontId="4" fillId="0" borderId="0" xfId="438" applyFont="1" applyAlignment="1">
      <alignment vertical="top"/>
      <protection/>
    </xf>
    <xf numFmtId="0" fontId="21" fillId="0" borderId="0" xfId="0" applyNumberFormat="1" applyFont="1" applyAlignment="1">
      <alignment vertical="top"/>
    </xf>
    <xf numFmtId="0" fontId="21" fillId="0" borderId="0" xfId="0" applyFont="1" applyAlignment="1">
      <alignment/>
    </xf>
    <xf numFmtId="0" fontId="4" fillId="0" borderId="0" xfId="438" applyFont="1">
      <alignment/>
      <protection/>
    </xf>
    <xf numFmtId="164" fontId="4" fillId="34" borderId="10" xfId="0" applyNumberFormat="1" applyFont="1" applyFill="1" applyBorder="1" applyAlignment="1" applyProtection="1">
      <alignment/>
      <protection locked="0"/>
    </xf>
    <xf numFmtId="0" fontId="4" fillId="0" borderId="0" xfId="0" applyFont="1" applyAlignment="1">
      <alignment horizontal="right"/>
    </xf>
    <xf numFmtId="37" fontId="4" fillId="34" borderId="10" xfId="0" applyNumberFormat="1" applyFont="1" applyFill="1" applyBorder="1" applyAlignment="1" applyProtection="1">
      <alignment horizontal="center"/>
      <protection/>
    </xf>
    <xf numFmtId="177" fontId="4" fillId="34" borderId="10" xfId="0" applyNumberFormat="1" applyFont="1" applyFill="1" applyBorder="1" applyAlignment="1" applyProtection="1">
      <alignment horizontal="center"/>
      <protection/>
    </xf>
    <xf numFmtId="37" fontId="4" fillId="35" borderId="18" xfId="0" applyNumberFormat="1" applyFont="1" applyFill="1" applyBorder="1" applyAlignment="1" applyProtection="1">
      <alignment horizontal="center"/>
      <protection/>
    </xf>
    <xf numFmtId="177" fontId="4" fillId="35" borderId="18" xfId="0" applyNumberFormat="1" applyFont="1" applyFill="1" applyBorder="1" applyAlignment="1" applyProtection="1">
      <alignment horizontal="center"/>
      <protection/>
    </xf>
    <xf numFmtId="166" fontId="4" fillId="34" borderId="0" xfId="0" applyNumberFormat="1" applyFont="1" applyFill="1" applyAlignment="1" applyProtection="1">
      <alignment horizontal="center"/>
      <protection/>
    </xf>
    <xf numFmtId="37" fontId="4" fillId="34" borderId="17" xfId="0" applyNumberFormat="1" applyFont="1" applyFill="1" applyBorder="1" applyAlignment="1" applyProtection="1">
      <alignment horizontal="center"/>
      <protection/>
    </xf>
    <xf numFmtId="37" fontId="4" fillId="34" borderId="0" xfId="0" applyNumberFormat="1" applyFont="1" applyFill="1" applyBorder="1" applyAlignment="1" applyProtection="1">
      <alignment horizontal="center"/>
      <protection/>
    </xf>
    <xf numFmtId="165" fontId="4" fillId="35" borderId="17" xfId="0" applyNumberFormat="1" applyFont="1" applyFill="1" applyBorder="1" applyAlignment="1" applyProtection="1">
      <alignment horizontal="center"/>
      <protection/>
    </xf>
    <xf numFmtId="165" fontId="4" fillId="34" borderId="0" xfId="0" applyNumberFormat="1" applyFont="1" applyFill="1" applyBorder="1" applyAlignment="1" applyProtection="1">
      <alignment horizontal="center"/>
      <protection/>
    </xf>
    <xf numFmtId="3" fontId="4" fillId="34" borderId="17" xfId="0" applyNumberFormat="1" applyFont="1" applyFill="1" applyBorder="1" applyAlignment="1" applyProtection="1">
      <alignment horizontal="center"/>
      <protection/>
    </xf>
    <xf numFmtId="0" fontId="4" fillId="34" borderId="0" xfId="0" applyFont="1" applyFill="1" applyAlignment="1">
      <alignment horizontal="left"/>
    </xf>
    <xf numFmtId="37" fontId="5" fillId="34" borderId="0" xfId="0" applyNumberFormat="1" applyFont="1" applyFill="1" applyAlignment="1" applyProtection="1">
      <alignment horizontal="center"/>
      <protection/>
    </xf>
    <xf numFmtId="0" fontId="0" fillId="34" borderId="0" xfId="0" applyFill="1" applyAlignment="1">
      <alignment/>
    </xf>
    <xf numFmtId="0" fontId="0" fillId="34" borderId="0" xfId="0" applyFill="1" applyAlignment="1">
      <alignment/>
    </xf>
    <xf numFmtId="177" fontId="4" fillId="34" borderId="0" xfId="0" applyNumberFormat="1" applyFont="1" applyFill="1" applyBorder="1" applyAlignment="1" applyProtection="1">
      <alignment horizontal="center"/>
      <protection/>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protection/>
    </xf>
    <xf numFmtId="0" fontId="29" fillId="0" borderId="0" xfId="0" applyFont="1" applyAlignment="1">
      <alignment vertical="center" wrapText="1"/>
    </xf>
    <xf numFmtId="0" fontId="4" fillId="33" borderId="0" xfId="0" applyFont="1" applyFill="1" applyAlignment="1" applyProtection="1">
      <alignment vertical="center" wrapText="1"/>
      <protection/>
    </xf>
    <xf numFmtId="0" fontId="4" fillId="0" borderId="0" xfId="0" applyFont="1" applyFill="1" applyAlignment="1" applyProtection="1">
      <alignment vertical="center" wrapText="1"/>
      <protection/>
    </xf>
    <xf numFmtId="0" fontId="4" fillId="34" borderId="0" xfId="0" applyFont="1" applyFill="1" applyAlignment="1">
      <alignment vertical="center" wrapText="1"/>
    </xf>
    <xf numFmtId="0" fontId="4" fillId="36" borderId="0" xfId="0" applyFont="1" applyFill="1" applyAlignment="1">
      <alignment vertical="center" wrapText="1"/>
    </xf>
    <xf numFmtId="0" fontId="4" fillId="37" borderId="0" xfId="0" applyFont="1" applyFill="1" applyAlignment="1">
      <alignment vertical="center"/>
    </xf>
    <xf numFmtId="37" fontId="4" fillId="0" borderId="0" xfId="0" applyNumberFormat="1" applyFont="1" applyFill="1" applyAlignment="1" applyProtection="1">
      <alignment horizontal="left" vertical="center" wrapText="1"/>
      <protection/>
    </xf>
    <xf numFmtId="37" fontId="4" fillId="34" borderId="0" xfId="0" applyNumberFormat="1" applyFont="1" applyFill="1" applyAlignment="1" applyProtection="1">
      <alignment horizontal="left" vertical="center"/>
      <protection/>
    </xf>
    <xf numFmtId="0" fontId="4" fillId="34" borderId="0" xfId="0" applyFont="1" applyFill="1" applyAlignment="1" applyProtection="1">
      <alignment vertical="center"/>
      <protection/>
    </xf>
    <xf numFmtId="0" fontId="4" fillId="33" borderId="17" xfId="0" applyFont="1" applyFill="1" applyBorder="1" applyAlignment="1" applyProtection="1">
      <alignment vertical="center"/>
      <protection/>
    </xf>
    <xf numFmtId="37" fontId="4" fillId="33" borderId="17" xfId="0" applyNumberFormat="1" applyFont="1" applyFill="1" applyBorder="1" applyAlignment="1" applyProtection="1">
      <alignment horizontal="lef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horizontal="center" vertical="center"/>
      <protection locked="0"/>
    </xf>
    <xf numFmtId="0" fontId="5" fillId="34" borderId="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4" borderId="0" xfId="0" applyFont="1" applyFill="1" applyAlignment="1" applyProtection="1">
      <alignment horizontal="center" vertical="center"/>
      <protection/>
    </xf>
    <xf numFmtId="0" fontId="4" fillId="36" borderId="15" xfId="0" applyFont="1" applyFill="1" applyBorder="1" applyAlignment="1" applyProtection="1">
      <alignment horizontal="center" vertical="center"/>
      <protection/>
    </xf>
    <xf numFmtId="37" fontId="4" fillId="36" borderId="15" xfId="0" applyNumberFormat="1" applyFont="1" applyFill="1" applyBorder="1" applyAlignment="1" applyProtection="1">
      <alignment horizontal="center" vertical="center"/>
      <protection/>
    </xf>
    <xf numFmtId="0" fontId="4" fillId="36" borderId="15"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horizontal="center" vertical="center"/>
      <protection/>
    </xf>
    <xf numFmtId="37" fontId="4" fillId="36" borderId="16"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0" fontId="4" fillId="34" borderId="10" xfId="0" applyFont="1" applyFill="1" applyBorder="1" applyAlignment="1" applyProtection="1">
      <alignment vertical="center"/>
      <protection locked="0"/>
    </xf>
    <xf numFmtId="3" fontId="4" fillId="33" borderId="10" xfId="0" applyNumberFormat="1" applyFont="1" applyFill="1" applyBorder="1" applyAlignment="1" applyProtection="1">
      <alignment vertical="center"/>
      <protection locked="0"/>
    </xf>
    <xf numFmtId="164" fontId="4" fillId="33" borderId="10" xfId="0" applyNumberFormat="1" applyFont="1" applyFill="1" applyBorder="1" applyAlignment="1" applyProtection="1">
      <alignment vertical="center"/>
      <protection locked="0"/>
    </xf>
    <xf numFmtId="0" fontId="4" fillId="34" borderId="10" xfId="0" applyFont="1" applyFill="1" applyBorder="1" applyAlignment="1" applyProtection="1">
      <alignment vertical="center"/>
      <protection/>
    </xf>
    <xf numFmtId="164" fontId="4" fillId="33" borderId="10" xfId="0" applyNumberFormat="1" applyFont="1" applyFill="1" applyBorder="1" applyAlignment="1" applyProtection="1">
      <alignment vertical="center"/>
      <protection locked="0"/>
    </xf>
    <xf numFmtId="0" fontId="4" fillId="33" borderId="10" xfId="0" applyFont="1" applyFill="1" applyBorder="1" applyAlignment="1" applyProtection="1">
      <alignment horizontal="left" vertical="center"/>
      <protection locked="0"/>
    </xf>
    <xf numFmtId="0" fontId="4" fillId="33" borderId="10" xfId="0" applyFont="1" applyFill="1" applyBorder="1" applyAlignment="1" applyProtection="1">
      <alignment vertical="center"/>
      <protection locked="0"/>
    </xf>
    <xf numFmtId="3" fontId="4" fillId="33" borderId="10" xfId="0" applyNumberFormat="1" applyFont="1" applyFill="1" applyBorder="1" applyAlignment="1" applyProtection="1">
      <alignment vertical="center"/>
      <protection locked="0"/>
    </xf>
    <xf numFmtId="37" fontId="4" fillId="34" borderId="17" xfId="0" applyNumberFormat="1"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4" fillId="34" borderId="14" xfId="0" applyFont="1" applyFill="1" applyBorder="1" applyAlignment="1" applyProtection="1">
      <alignment vertical="center"/>
      <protection/>
    </xf>
    <xf numFmtId="164" fontId="4" fillId="35" borderId="10"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locked="0"/>
    </xf>
    <xf numFmtId="0" fontId="4" fillId="34" borderId="19" xfId="0"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horizontal="left" vertical="center"/>
      <protection/>
    </xf>
    <xf numFmtId="164" fontId="4" fillId="34" borderId="0" xfId="0" applyNumberFormat="1" applyFont="1" applyFill="1" applyBorder="1" applyAlignment="1" applyProtection="1">
      <alignment vertical="center"/>
      <protection locked="0"/>
    </xf>
    <xf numFmtId="3" fontId="4" fillId="34" borderId="0" xfId="0" applyNumberFormat="1" applyFont="1" applyFill="1" applyBorder="1" applyAlignment="1" applyProtection="1">
      <alignment vertical="center"/>
      <protection/>
    </xf>
    <xf numFmtId="37" fontId="5" fillId="38" borderId="0" xfId="0" applyNumberFormat="1" applyFont="1" applyFill="1" applyAlignment="1" applyProtection="1">
      <alignment horizontal="left" vertical="center"/>
      <protection/>
    </xf>
    <xf numFmtId="0" fontId="4" fillId="34" borderId="0" xfId="0" applyFont="1" applyFill="1" applyAlignment="1">
      <alignment vertical="center"/>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vertical="center"/>
      <protection/>
    </xf>
    <xf numFmtId="37" fontId="4" fillId="36" borderId="17" xfId="0" applyNumberFormat="1" applyFont="1" applyFill="1" applyBorder="1" applyAlignment="1" applyProtection="1">
      <alignment horizontal="left" vertical="center"/>
      <protection/>
    </xf>
    <xf numFmtId="0" fontId="4" fillId="36" borderId="17" xfId="0" applyFont="1" applyFill="1" applyBorder="1" applyAlignment="1" applyProtection="1">
      <alignment vertical="center"/>
      <protection/>
    </xf>
    <xf numFmtId="37" fontId="4" fillId="36" borderId="13" xfId="0" applyNumberFormat="1" applyFont="1" applyFill="1" applyBorder="1" applyAlignment="1" applyProtection="1">
      <alignment horizontal="left" vertical="center"/>
      <protection/>
    </xf>
    <xf numFmtId="0" fontId="4" fillId="36" borderId="13" xfId="0" applyFont="1" applyFill="1" applyBorder="1" applyAlignment="1" applyProtection="1">
      <alignment vertical="center"/>
      <protection/>
    </xf>
    <xf numFmtId="0" fontId="4" fillId="34" borderId="13" xfId="0"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23" fillId="38" borderId="0" xfId="0" applyNumberFormat="1" applyFont="1" applyFill="1" applyAlignment="1" applyProtection="1">
      <alignment horizontal="left" vertical="center"/>
      <protection/>
    </xf>
    <xf numFmtId="0" fontId="6" fillId="36" borderId="0" xfId="0" applyFont="1" applyFill="1" applyAlignment="1">
      <alignment vertical="center"/>
    </xf>
    <xf numFmtId="0" fontId="4" fillId="38" borderId="0" xfId="0" applyFont="1" applyFill="1" applyAlignment="1" applyProtection="1">
      <alignment vertical="center"/>
      <protection locked="0"/>
    </xf>
    <xf numFmtId="0" fontId="4" fillId="34" borderId="0" xfId="0" applyFont="1" applyFill="1" applyAlignment="1" applyProtection="1">
      <alignment vertical="center"/>
      <protection locked="0"/>
    </xf>
    <xf numFmtId="0" fontId="4" fillId="34" borderId="17" xfId="0" applyFont="1" applyFill="1" applyBorder="1" applyAlignment="1" applyProtection="1">
      <alignment horizontal="center" vertical="center"/>
      <protection/>
    </xf>
    <xf numFmtId="0" fontId="4" fillId="34" borderId="17" xfId="0" applyFont="1" applyFill="1" applyBorder="1" applyAlignment="1" applyProtection="1">
      <alignment horizontal="center" vertical="center"/>
      <protection locked="0"/>
    </xf>
    <xf numFmtId="0" fontId="4" fillId="38" borderId="17" xfId="0" applyFont="1" applyFill="1" applyBorder="1" applyAlignment="1" applyProtection="1">
      <alignment vertical="center"/>
      <protection locked="0"/>
    </xf>
    <xf numFmtId="0" fontId="4" fillId="34" borderId="0" xfId="0" applyFont="1" applyFill="1" applyBorder="1" applyAlignment="1" applyProtection="1">
      <alignment vertical="center"/>
      <protection locked="0"/>
    </xf>
    <xf numFmtId="0" fontId="4" fillId="38" borderId="13" xfId="0" applyFont="1" applyFill="1" applyBorder="1" applyAlignment="1" applyProtection="1">
      <alignment vertical="center"/>
      <protection locked="0"/>
    </xf>
    <xf numFmtId="0" fontId="4" fillId="0" borderId="0" xfId="0" applyFont="1" applyAlignment="1" applyProtection="1">
      <alignment vertical="center"/>
      <protection locked="0"/>
    </xf>
    <xf numFmtId="37" fontId="4" fillId="34" borderId="0" xfId="0" applyNumberFormat="1" applyFont="1" applyFill="1" applyAlignment="1">
      <alignment vertical="center"/>
    </xf>
    <xf numFmtId="3" fontId="4" fillId="34" borderId="0" xfId="0" applyNumberFormat="1" applyFont="1" applyFill="1" applyAlignment="1" applyProtection="1">
      <alignment vertical="center"/>
      <protection/>
    </xf>
    <xf numFmtId="37" fontId="4" fillId="34" borderId="13" xfId="0" applyNumberFormat="1" applyFont="1" applyFill="1" applyBorder="1" applyAlignment="1" applyProtection="1">
      <alignment horizontal="left" vertical="center"/>
      <protection/>
    </xf>
    <xf numFmtId="37" fontId="4" fillId="33" borderId="10" xfId="0" applyNumberFormat="1" applyFont="1" applyFill="1" applyBorder="1" applyAlignment="1" applyProtection="1">
      <alignment vertical="center"/>
      <protection locked="0"/>
    </xf>
    <xf numFmtId="37" fontId="4" fillId="34" borderId="12" xfId="0" applyNumberFormat="1" applyFont="1" applyFill="1" applyBorder="1" applyAlignment="1" applyProtection="1">
      <alignment horizontal="left" vertical="center"/>
      <protection/>
    </xf>
    <xf numFmtId="3" fontId="4" fillId="34" borderId="19" xfId="0" applyNumberFormat="1" applyFont="1" applyFill="1" applyBorder="1" applyAlignment="1" applyProtection="1">
      <alignment vertical="center"/>
      <protection/>
    </xf>
    <xf numFmtId="3" fontId="4" fillId="34" borderId="14" xfId="0" applyNumberFormat="1"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7" fontId="4" fillId="34" borderId="17" xfId="0" applyNumberFormat="1" applyFont="1" applyFill="1" applyBorder="1" applyAlignment="1" applyProtection="1">
      <alignment vertical="center"/>
      <protection/>
    </xf>
    <xf numFmtId="0" fontId="0" fillId="34" borderId="0" xfId="0" applyFill="1" applyAlignment="1">
      <alignment vertical="center"/>
    </xf>
    <xf numFmtId="0" fontId="4" fillId="36" borderId="15" xfId="0" applyFont="1" applyFill="1" applyBorder="1" applyAlignment="1">
      <alignment horizontal="center" vertical="center"/>
    </xf>
    <xf numFmtId="0" fontId="4" fillId="36" borderId="11" xfId="0" applyFont="1" applyFill="1" applyBorder="1" applyAlignment="1">
      <alignment horizontal="center" vertical="center"/>
    </xf>
    <xf numFmtId="0" fontId="24" fillId="34" borderId="0" xfId="0" applyFont="1" applyFill="1" applyAlignment="1">
      <alignment vertical="center"/>
    </xf>
    <xf numFmtId="0" fontId="30" fillId="34" borderId="0" xfId="0" applyFont="1" applyFill="1" applyAlignment="1">
      <alignment vertical="center"/>
    </xf>
    <xf numFmtId="0" fontId="4" fillId="36" borderId="16" xfId="0" applyFont="1" applyFill="1" applyBorder="1" applyAlignment="1">
      <alignment horizontal="center" vertical="center"/>
    </xf>
    <xf numFmtId="37" fontId="4" fillId="34" borderId="16" xfId="0" applyNumberFormat="1" applyFont="1" applyFill="1" applyBorder="1" applyAlignment="1">
      <alignment vertical="center"/>
    </xf>
    <xf numFmtId="3" fontId="4" fillId="33" borderId="16" xfId="0" applyNumberFormat="1" applyFont="1" applyFill="1" applyBorder="1" applyAlignment="1" applyProtection="1">
      <alignment vertical="center"/>
      <protection locked="0"/>
    </xf>
    <xf numFmtId="0" fontId="18" fillId="34" borderId="0" xfId="0" applyFont="1" applyFill="1" applyAlignment="1">
      <alignment vertical="center"/>
    </xf>
    <xf numFmtId="0" fontId="18" fillId="0" borderId="0" xfId="0" applyFont="1" applyAlignment="1">
      <alignment vertical="center"/>
    </xf>
    <xf numFmtId="0" fontId="18" fillId="34" borderId="0" xfId="0" applyFont="1" applyFill="1" applyAlignment="1" applyProtection="1">
      <alignment vertical="center"/>
      <protection/>
    </xf>
    <xf numFmtId="0" fontId="0" fillId="0" borderId="0" xfId="0" applyAlignment="1">
      <alignment vertical="center"/>
    </xf>
    <xf numFmtId="37" fontId="18" fillId="34" borderId="0" xfId="0" applyNumberFormat="1" applyFont="1" applyFill="1" applyAlignment="1" applyProtection="1">
      <alignment horizontal="centerContinuous" vertical="center"/>
      <protection/>
    </xf>
    <xf numFmtId="0" fontId="18" fillId="34" borderId="0" xfId="0" applyFont="1" applyFill="1" applyAlignment="1" applyProtection="1">
      <alignment horizontal="centerContinuous" vertical="center"/>
      <protection/>
    </xf>
    <xf numFmtId="37" fontId="18" fillId="34" borderId="0" xfId="0" applyNumberFormat="1" applyFont="1" applyFill="1" applyAlignment="1" applyProtection="1">
      <alignment horizontal="left" vertical="center"/>
      <protection/>
    </xf>
    <xf numFmtId="37" fontId="18" fillId="34" borderId="0" xfId="0" applyNumberFormat="1" applyFont="1" applyFill="1" applyAlignment="1" applyProtection="1">
      <alignment horizontal="fill" vertical="center"/>
      <protection/>
    </xf>
    <xf numFmtId="37" fontId="18" fillId="34" borderId="12" xfId="0" applyNumberFormat="1" applyFont="1" applyFill="1" applyBorder="1" applyAlignment="1" applyProtection="1">
      <alignment horizontal="centerContinuous" vertical="center"/>
      <protection/>
    </xf>
    <xf numFmtId="0" fontId="18" fillId="34" borderId="13" xfId="0" applyFont="1" applyFill="1" applyBorder="1" applyAlignment="1" applyProtection="1">
      <alignment horizontal="centerContinuous" vertical="center"/>
      <protection/>
    </xf>
    <xf numFmtId="0" fontId="18" fillId="34" borderId="14" xfId="0" applyFont="1" applyFill="1" applyBorder="1" applyAlignment="1" applyProtection="1">
      <alignment horizontal="centerContinuous" vertical="center"/>
      <protection/>
    </xf>
    <xf numFmtId="37" fontId="18" fillId="34" borderId="15" xfId="0" applyNumberFormat="1" applyFont="1" applyFill="1" applyBorder="1" applyAlignment="1" applyProtection="1">
      <alignment horizontal="center" vertical="center"/>
      <protection/>
    </xf>
    <xf numFmtId="37" fontId="19" fillId="34" borderId="17" xfId="0" applyNumberFormat="1" applyFont="1" applyFill="1" applyBorder="1" applyAlignment="1" applyProtection="1">
      <alignment horizontal="left" vertical="center"/>
      <protection/>
    </xf>
    <xf numFmtId="0" fontId="18" fillId="34" borderId="17" xfId="0" applyFont="1" applyFill="1" applyBorder="1" applyAlignment="1" applyProtection="1">
      <alignment vertical="center"/>
      <protection/>
    </xf>
    <xf numFmtId="37" fontId="18" fillId="34" borderId="16" xfId="0" applyNumberFormat="1" applyFont="1" applyFill="1" applyBorder="1" applyAlignment="1" applyProtection="1">
      <alignment horizontal="center" vertical="center"/>
      <protection/>
    </xf>
    <xf numFmtId="37" fontId="18" fillId="34" borderId="10" xfId="0" applyNumberFormat="1" applyFont="1" applyFill="1" applyBorder="1" applyAlignment="1" applyProtection="1">
      <alignment horizontal="left" vertical="center"/>
      <protection/>
    </xf>
    <xf numFmtId="37" fontId="18" fillId="34" borderId="11" xfId="0" applyNumberFormat="1" applyFont="1" applyFill="1" applyBorder="1" applyAlignment="1" applyProtection="1">
      <alignment horizontal="center" vertical="center"/>
      <protection/>
    </xf>
    <xf numFmtId="37" fontId="18" fillId="34" borderId="15" xfId="0" applyNumberFormat="1" applyFont="1" applyFill="1" applyBorder="1" applyAlignment="1" applyProtection="1">
      <alignment horizontal="left" vertical="center"/>
      <protection/>
    </xf>
    <xf numFmtId="0" fontId="18" fillId="34" borderId="0" xfId="0" applyFont="1" applyFill="1" applyBorder="1" applyAlignment="1" applyProtection="1">
      <alignment vertical="center"/>
      <protection/>
    </xf>
    <xf numFmtId="37" fontId="18" fillId="34" borderId="12" xfId="0" applyNumberFormat="1" applyFont="1" applyFill="1" applyBorder="1" applyAlignment="1" applyProtection="1">
      <alignment horizontal="left" vertical="center"/>
      <protection/>
    </xf>
    <xf numFmtId="0" fontId="18" fillId="34" borderId="14" xfId="0" applyFont="1" applyFill="1" applyBorder="1" applyAlignment="1" applyProtection="1">
      <alignment vertical="center"/>
      <protection/>
    </xf>
    <xf numFmtId="37" fontId="18" fillId="34" borderId="19" xfId="0" applyNumberFormat="1" applyFont="1" applyFill="1" applyBorder="1" applyAlignment="1" applyProtection="1">
      <alignment horizontal="center" vertical="center"/>
      <protection/>
    </xf>
    <xf numFmtId="37" fontId="18" fillId="34" borderId="10" xfId="0" applyNumberFormat="1" applyFont="1" applyFill="1" applyBorder="1" applyAlignment="1" applyProtection="1">
      <alignment horizontal="center" vertical="center"/>
      <protection/>
    </xf>
    <xf numFmtId="0" fontId="18" fillId="34" borderId="11" xfId="0" applyFont="1" applyFill="1" applyBorder="1" applyAlignment="1" applyProtection="1">
      <alignment vertical="center"/>
      <protection/>
    </xf>
    <xf numFmtId="37" fontId="18" fillId="34" borderId="14" xfId="0" applyNumberFormat="1" applyFont="1" applyFill="1" applyBorder="1" applyAlignment="1" applyProtection="1">
      <alignment horizontal="center" vertical="center"/>
      <protection/>
    </xf>
    <xf numFmtId="37" fontId="28" fillId="34" borderId="16" xfId="0" applyNumberFormat="1" applyFont="1" applyFill="1" applyBorder="1" applyAlignment="1" applyProtection="1">
      <alignment horizontal="left" vertical="center"/>
      <protection/>
    </xf>
    <xf numFmtId="37" fontId="28" fillId="34" borderId="16" xfId="0" applyNumberFormat="1" applyFont="1" applyFill="1" applyBorder="1" applyAlignment="1" applyProtection="1">
      <alignment horizontal="center" vertical="center"/>
      <protection/>
    </xf>
    <xf numFmtId="0" fontId="18" fillId="34" borderId="10" xfId="0" applyFont="1" applyFill="1" applyBorder="1" applyAlignment="1" applyProtection="1">
      <alignment vertical="center"/>
      <protection/>
    </xf>
    <xf numFmtId="0" fontId="18" fillId="34" borderId="16" xfId="0" applyFont="1" applyFill="1" applyBorder="1" applyAlignment="1" applyProtection="1">
      <alignment vertical="center"/>
      <protection/>
    </xf>
    <xf numFmtId="37" fontId="18" fillId="34" borderId="12" xfId="0" applyNumberFormat="1" applyFont="1" applyFill="1" applyBorder="1" applyAlignment="1" applyProtection="1">
      <alignment horizontal="center" vertical="center"/>
      <protection/>
    </xf>
    <xf numFmtId="37" fontId="18" fillId="34" borderId="10" xfId="0" applyNumberFormat="1" applyFont="1" applyFill="1" applyBorder="1" applyAlignment="1" applyProtection="1">
      <alignment vertical="center"/>
      <protection/>
    </xf>
    <xf numFmtId="183" fontId="4" fillId="34" borderId="10" xfId="0" applyNumberFormat="1" applyFont="1" applyFill="1" applyBorder="1" applyAlignment="1" applyProtection="1">
      <alignment vertical="center"/>
      <protection/>
    </xf>
    <xf numFmtId="37" fontId="4" fillId="34" borderId="10" xfId="0" applyNumberFormat="1" applyFont="1" applyFill="1" applyBorder="1" applyAlignment="1" applyProtection="1">
      <alignment horizontal="center" vertical="center"/>
      <protection/>
    </xf>
    <xf numFmtId="0" fontId="18" fillId="34" borderId="10" xfId="0" applyFont="1" applyFill="1" applyBorder="1" applyAlignment="1" applyProtection="1">
      <alignment horizontal="center" vertical="center"/>
      <protection/>
    </xf>
    <xf numFmtId="0" fontId="18" fillId="34" borderId="15" xfId="0" applyFont="1" applyFill="1" applyBorder="1" applyAlignment="1" applyProtection="1">
      <alignment vertical="center"/>
      <protection/>
    </xf>
    <xf numFmtId="37" fontId="19" fillId="34" borderId="15" xfId="0" applyNumberFormat="1" applyFont="1" applyFill="1" applyBorder="1" applyAlignment="1" applyProtection="1">
      <alignment horizontal="left" vertical="center"/>
      <protection/>
    </xf>
    <xf numFmtId="37" fontId="18" fillId="34" borderId="18" xfId="0" applyNumberFormat="1" applyFont="1" applyFill="1" applyBorder="1" applyAlignment="1" applyProtection="1">
      <alignment vertical="center"/>
      <protection/>
    </xf>
    <xf numFmtId="183" fontId="18" fillId="34" borderId="18" xfId="0" applyNumberFormat="1" applyFont="1" applyFill="1" applyBorder="1" applyAlignment="1" applyProtection="1">
      <alignment vertical="center"/>
      <protection/>
    </xf>
    <xf numFmtId="37" fontId="18" fillId="34" borderId="20" xfId="0" applyNumberFormat="1" applyFont="1" applyFill="1" applyBorder="1" applyAlignment="1" applyProtection="1">
      <alignment horizontal="left" vertical="center"/>
      <protection/>
    </xf>
    <xf numFmtId="0" fontId="18" fillId="34" borderId="21" xfId="0" applyFont="1" applyFill="1" applyBorder="1" applyAlignment="1" applyProtection="1">
      <alignment vertical="center"/>
      <protection/>
    </xf>
    <xf numFmtId="37" fontId="18" fillId="34" borderId="0"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0" fontId="4" fillId="39" borderId="10" xfId="0" applyFont="1" applyFill="1" applyBorder="1" applyAlignment="1">
      <alignment horizontal="center" vertical="center" shrinkToFit="1"/>
    </xf>
    <xf numFmtId="0" fontId="24" fillId="39" borderId="14" xfId="0" applyFont="1" applyFill="1" applyBorder="1" applyAlignment="1" applyProtection="1">
      <alignment horizontal="center" vertical="center"/>
      <protection/>
    </xf>
    <xf numFmtId="3" fontId="18" fillId="33" borderId="10" xfId="0" applyNumberFormat="1" applyFont="1" applyFill="1" applyBorder="1" applyAlignment="1" applyProtection="1">
      <alignment vertical="center"/>
      <protection locked="0"/>
    </xf>
    <xf numFmtId="37" fontId="18" fillId="34" borderId="14" xfId="0" applyNumberFormat="1" applyFont="1" applyFill="1" applyBorder="1" applyAlignment="1" applyProtection="1">
      <alignment horizontal="fill" vertical="center"/>
      <protection/>
    </xf>
    <xf numFmtId="37" fontId="18" fillId="34" borderId="0" xfId="0" applyNumberFormat="1" applyFont="1" applyFill="1" applyAlignment="1" applyProtection="1">
      <alignment horizontal="right" vertical="center"/>
      <protection/>
    </xf>
    <xf numFmtId="0" fontId="18" fillId="33" borderId="17" xfId="0" applyFont="1" applyFill="1" applyBorder="1" applyAlignment="1" applyProtection="1">
      <alignment vertical="center"/>
      <protection locked="0"/>
    </xf>
    <xf numFmtId="0" fontId="18" fillId="34" borderId="0" xfId="0" applyFont="1" applyFill="1" applyAlignment="1" applyProtection="1">
      <alignment vertical="center"/>
      <protection locked="0"/>
    </xf>
    <xf numFmtId="0" fontId="18" fillId="33" borderId="13" xfId="0" applyFont="1" applyFill="1" applyBorder="1" applyAlignment="1" applyProtection="1">
      <alignment vertical="center"/>
      <protection locked="0"/>
    </xf>
    <xf numFmtId="37" fontId="18" fillId="34" borderId="17" xfId="0" applyNumberFormat="1" applyFont="1" applyFill="1" applyBorder="1" applyAlignment="1" applyProtection="1">
      <alignment horizontal="fill" vertical="center"/>
      <protection locked="0"/>
    </xf>
    <xf numFmtId="0" fontId="18" fillId="34" borderId="0" xfId="0" applyFont="1" applyFill="1" applyAlignment="1" applyProtection="1">
      <alignment horizontal="right" vertical="center"/>
      <protection/>
    </xf>
    <xf numFmtId="0" fontId="18" fillId="34" borderId="0" xfId="0" applyFont="1" applyFill="1" applyAlignment="1" applyProtection="1">
      <alignment horizontal="centerContinuous" vertical="center"/>
      <protection locked="0"/>
    </xf>
    <xf numFmtId="0" fontId="18" fillId="34" borderId="17" xfId="0" applyFont="1" applyFill="1" applyBorder="1" applyAlignment="1" applyProtection="1">
      <alignment vertical="center"/>
      <protection locked="0"/>
    </xf>
    <xf numFmtId="0" fontId="18" fillId="34" borderId="0" xfId="0" applyFont="1" applyFill="1" applyAlignment="1" applyProtection="1">
      <alignment horizontal="left" vertical="center"/>
      <protection/>
    </xf>
    <xf numFmtId="0" fontId="18" fillId="0" borderId="0" xfId="0" applyFont="1" applyAlignment="1" applyProtection="1">
      <alignment vertical="center"/>
      <protection locked="0"/>
    </xf>
    <xf numFmtId="37" fontId="4" fillId="34" borderId="0" xfId="0" applyNumberFormat="1" applyFont="1" applyFill="1" applyAlignment="1" applyProtection="1">
      <alignment horizontal="centerContinuous" vertical="center"/>
      <protection/>
    </xf>
    <xf numFmtId="37" fontId="4" fillId="34" borderId="12" xfId="0" applyNumberFormat="1"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14" xfId="0" applyFont="1" applyFill="1" applyBorder="1" applyAlignment="1" applyProtection="1">
      <alignment horizontal="centerContinuous" vertical="center"/>
      <protection/>
    </xf>
    <xf numFmtId="37" fontId="4" fillId="34" borderId="15" xfId="0" applyNumberFormat="1" applyFont="1" applyFill="1" applyBorder="1" applyAlignment="1" applyProtection="1">
      <alignment horizontal="center" vertical="center"/>
      <protection/>
    </xf>
    <xf numFmtId="37" fontId="5" fillId="34" borderId="17" xfId="0" applyNumberFormat="1" applyFont="1" applyFill="1" applyBorder="1" applyAlignment="1" applyProtection="1">
      <alignment horizontal="left" vertical="center"/>
      <protection/>
    </xf>
    <xf numFmtId="37" fontId="4" fillId="34" borderId="16"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fill" vertical="center"/>
      <protection/>
    </xf>
    <xf numFmtId="37" fontId="4" fillId="35" borderId="18" xfId="0" applyNumberFormat="1" applyFont="1" applyFill="1" applyBorder="1" applyAlignment="1" applyProtection="1">
      <alignment vertical="center"/>
      <protection/>
    </xf>
    <xf numFmtId="183" fontId="4" fillId="35" borderId="18"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7" fontId="4" fillId="0" borderId="0" xfId="0" applyNumberFormat="1" applyFont="1" applyAlignment="1" applyProtection="1">
      <alignment horizontal="left" vertical="center"/>
      <protection locked="0"/>
    </xf>
    <xf numFmtId="0" fontId="4" fillId="0" borderId="0" xfId="0" applyFont="1" applyAlignment="1" applyProtection="1">
      <alignment horizontal="center" vertical="center"/>
      <protection locked="0"/>
    </xf>
    <xf numFmtId="37" fontId="4" fillId="0" borderId="0" xfId="0" applyNumberFormat="1" applyFont="1" applyAlignment="1" applyProtection="1">
      <alignment horizontal="fill" vertical="center"/>
      <protection locked="0"/>
    </xf>
    <xf numFmtId="37" fontId="4"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7" xfId="0" applyNumberFormat="1"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0" fontId="4" fillId="34" borderId="22" xfId="0" applyFont="1" applyFill="1" applyBorder="1" applyAlignment="1" applyProtection="1">
      <alignment vertical="center"/>
      <protection/>
    </xf>
    <xf numFmtId="171" fontId="4" fillId="34" borderId="17"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3" xfId="0" applyNumberFormat="1" applyFont="1" applyFill="1" applyBorder="1" applyAlignment="1" applyProtection="1">
      <alignment vertical="center"/>
      <protection/>
    </xf>
    <xf numFmtId="0" fontId="7" fillId="0" borderId="0" xfId="0" applyFont="1" applyAlignment="1">
      <alignment vertical="center"/>
    </xf>
    <xf numFmtId="37" fontId="4" fillId="34" borderId="0" xfId="0" applyNumberFormat="1" applyFont="1" applyFill="1" applyAlignment="1" applyProtection="1">
      <alignment horizontal="right" vertical="center"/>
      <protection/>
    </xf>
    <xf numFmtId="0" fontId="5" fillId="34" borderId="17" xfId="0" applyFont="1" applyFill="1" applyBorder="1" applyAlignment="1" applyProtection="1">
      <alignment horizontal="center" vertical="center"/>
      <protection/>
    </xf>
    <xf numFmtId="0" fontId="5" fillId="34" borderId="15"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xf>
    <xf numFmtId="175" fontId="4" fillId="33" borderId="16" xfId="42" applyNumberFormat="1" applyFont="1" applyFill="1" applyBorder="1" applyAlignment="1" applyProtection="1">
      <alignment vertical="center"/>
      <protection locked="0"/>
    </xf>
    <xf numFmtId="175" fontId="4" fillId="33" borderId="10" xfId="42" applyNumberFormat="1" applyFont="1" applyFill="1" applyBorder="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1" fontId="4" fillId="34" borderId="0" xfId="0" applyNumberFormat="1" applyFont="1" applyFill="1" applyBorder="1" applyAlignment="1" applyProtection="1">
      <alignment horizontal="right" vertical="center"/>
      <protection/>
    </xf>
    <xf numFmtId="0" fontId="5" fillId="34" borderId="0" xfId="437" applyFont="1" applyFill="1" applyAlignment="1" applyProtection="1">
      <alignment horizontal="centerContinuous" vertical="center"/>
      <protection/>
    </xf>
    <xf numFmtId="0" fontId="4" fillId="34" borderId="17" xfId="0" applyFont="1" applyFill="1" applyBorder="1" applyAlignment="1" applyProtection="1">
      <alignment horizontal="fill" vertical="center"/>
      <protection/>
    </xf>
    <xf numFmtId="0" fontId="4" fillId="34" borderId="15" xfId="0" applyFont="1" applyFill="1" applyBorder="1" applyAlignment="1" applyProtection="1">
      <alignment horizontal="center" vertical="center"/>
      <protection/>
    </xf>
    <xf numFmtId="0" fontId="4" fillId="34" borderId="20"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 vertical="center"/>
      <protection/>
    </xf>
    <xf numFmtId="1" fontId="4" fillId="34" borderId="27" xfId="0" applyNumberFormat="1" applyFont="1" applyFill="1" applyBorder="1" applyAlignment="1" applyProtection="1">
      <alignment horizontal="center" vertical="center"/>
      <protection/>
    </xf>
    <xf numFmtId="0" fontId="4" fillId="34" borderId="10" xfId="0" applyFont="1" applyFill="1" applyBorder="1" applyAlignment="1" applyProtection="1">
      <alignment horizontal="left" vertical="center"/>
      <protection/>
    </xf>
    <xf numFmtId="0" fontId="4" fillId="34" borderId="16" xfId="0" applyFont="1" applyFill="1" applyBorder="1" applyAlignment="1" applyProtection="1">
      <alignment horizontal="center" vertical="center"/>
      <protection/>
    </xf>
    <xf numFmtId="2" fontId="4" fillId="34" borderId="10"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0" fontId="4" fillId="33" borderId="10" xfId="0" applyFont="1" applyFill="1" applyBorder="1" applyAlignment="1" applyProtection="1">
      <alignment horizontal="center" vertical="center"/>
      <protection locked="0"/>
    </xf>
    <xf numFmtId="2" fontId="4" fillId="33" borderId="10" xfId="0" applyNumberFormat="1" applyFont="1" applyFill="1" applyBorder="1" applyAlignment="1" applyProtection="1">
      <alignment horizontal="center" vertical="center"/>
      <protection locked="0"/>
    </xf>
    <xf numFmtId="3" fontId="4" fillId="33" borderId="10" xfId="0" applyNumberFormat="1" applyFont="1" applyFill="1" applyBorder="1" applyAlignment="1" applyProtection="1">
      <alignment horizontal="center" vertical="center"/>
      <protection locked="0"/>
    </xf>
    <xf numFmtId="37" fontId="4" fillId="33" borderId="10" xfId="0" applyNumberFormat="1" applyFont="1" applyFill="1" applyBorder="1" applyAlignment="1" applyProtection="1">
      <alignment horizontal="center" vertical="center"/>
      <protection locked="0"/>
    </xf>
    <xf numFmtId="173" fontId="4" fillId="33" borderId="10" xfId="0" applyNumberFormat="1" applyFont="1" applyFill="1" applyBorder="1" applyAlignment="1" applyProtection="1">
      <alignment horizontal="center" vertical="center"/>
      <protection locked="0"/>
    </xf>
    <xf numFmtId="0" fontId="5" fillId="34" borderId="10" xfId="0" applyFont="1" applyFill="1" applyBorder="1" applyAlignment="1" applyProtection="1">
      <alignment horizontal="center" vertical="center"/>
      <protection/>
    </xf>
    <xf numFmtId="172"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37" fontId="5" fillId="35" borderId="10" xfId="0" applyNumberFormat="1" applyFont="1" applyFill="1" applyBorder="1" applyAlignment="1" applyProtection="1">
      <alignment horizontal="center" vertical="center"/>
      <protection/>
    </xf>
    <xf numFmtId="173" fontId="5" fillId="34" borderId="10" xfId="0" applyNumberFormat="1" applyFont="1" applyFill="1" applyBorder="1" applyAlignment="1" applyProtection="1">
      <alignment horizontal="center" vertical="center"/>
      <protection/>
    </xf>
    <xf numFmtId="172"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73" fontId="4" fillId="34"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4" borderId="0" xfId="0" applyNumberFormat="1" applyFont="1" applyFill="1" applyAlignment="1" applyProtection="1">
      <alignment horizontal="right" vertical="center"/>
      <protection/>
    </xf>
    <xf numFmtId="0" fontId="4" fillId="34" borderId="0" xfId="0" applyFont="1" applyFill="1" applyAlignment="1" applyProtection="1">
      <alignment horizontal="right" vertical="center"/>
      <protection/>
    </xf>
    <xf numFmtId="0" fontId="4" fillId="34" borderId="28" xfId="0" applyFont="1" applyFill="1" applyBorder="1" applyAlignment="1" applyProtection="1">
      <alignment vertical="center"/>
      <protection/>
    </xf>
    <xf numFmtId="0" fontId="4" fillId="34" borderId="15" xfId="0" applyFont="1" applyFill="1" applyBorder="1" applyAlignment="1" applyProtection="1">
      <alignment vertical="center"/>
      <protection/>
    </xf>
    <xf numFmtId="0" fontId="4" fillId="34" borderId="27" xfId="0" applyFont="1" applyFill="1" applyBorder="1" applyAlignment="1" applyProtection="1">
      <alignment horizontal="left" vertical="center"/>
      <protection/>
    </xf>
    <xf numFmtId="0" fontId="8" fillId="34" borderId="16" xfId="0" applyFont="1" applyFill="1" applyBorder="1" applyAlignment="1" applyProtection="1">
      <alignment horizontal="center" vertical="center"/>
      <protection/>
    </xf>
    <xf numFmtId="14" fontId="4" fillId="34" borderId="16" xfId="0" applyNumberFormat="1" applyFont="1" applyFill="1" applyBorder="1" applyAlignment="1" applyProtection="1" quotePrefix="1">
      <alignment horizontal="center" vertical="center"/>
      <protection/>
    </xf>
    <xf numFmtId="0" fontId="4" fillId="33" borderId="10" xfId="0" applyFont="1" applyFill="1" applyBorder="1" applyAlignment="1" applyProtection="1">
      <alignment vertical="center"/>
      <protection locked="0"/>
    </xf>
    <xf numFmtId="1" fontId="4" fillId="33" borderId="10" xfId="0" applyNumberFormat="1" applyFont="1" applyFill="1" applyBorder="1" applyAlignment="1" applyProtection="1">
      <alignment vertical="center"/>
      <protection locked="0"/>
    </xf>
    <xf numFmtId="2" fontId="4" fillId="33" borderId="10" xfId="0" applyNumberFormat="1" applyFont="1" applyFill="1" applyBorder="1" applyAlignment="1" applyProtection="1">
      <alignment vertical="center"/>
      <protection locked="0"/>
    </xf>
    <xf numFmtId="3" fontId="5" fillId="35" borderId="18" xfId="0" applyNumberFormat="1" applyFont="1" applyFill="1" applyBorder="1" applyAlignment="1" applyProtection="1">
      <alignment vertical="center"/>
      <protection/>
    </xf>
    <xf numFmtId="0" fontId="4" fillId="0" borderId="0" xfId="0" applyFont="1" applyBorder="1" applyAlignment="1">
      <alignment vertical="center"/>
    </xf>
    <xf numFmtId="0" fontId="4" fillId="37" borderId="0" xfId="434" applyFont="1" applyFill="1" applyAlignment="1" applyProtection="1">
      <alignment vertical="center"/>
      <protection/>
    </xf>
    <xf numFmtId="0" fontId="4" fillId="37" borderId="0" xfId="0" applyFont="1" applyFill="1" applyAlignment="1" applyProtection="1">
      <alignment vertical="center"/>
      <protection/>
    </xf>
    <xf numFmtId="0" fontId="4" fillId="34" borderId="0" xfId="0" applyFont="1" applyFill="1" applyAlignment="1" applyProtection="1" quotePrefix="1">
      <alignment horizontal="right" vertical="center"/>
      <protection/>
    </xf>
    <xf numFmtId="0" fontId="4" fillId="34" borderId="0" xfId="0" applyFont="1" applyFill="1" applyAlignment="1" applyProtection="1">
      <alignment horizontal="left" vertical="center"/>
      <protection/>
    </xf>
    <xf numFmtId="1" fontId="4" fillId="34" borderId="16"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3" fontId="4" fillId="33" borderId="14" xfId="0" applyNumberFormat="1" applyFont="1" applyFill="1" applyBorder="1" applyAlignment="1" applyProtection="1">
      <alignment vertical="center"/>
      <protection locked="0"/>
    </xf>
    <xf numFmtId="37" fontId="4" fillId="34" borderId="12" xfId="0" applyNumberFormat="1" applyFont="1" applyFill="1" applyBorder="1" applyAlignment="1" applyProtection="1">
      <alignment vertical="center"/>
      <protection/>
    </xf>
    <xf numFmtId="37" fontId="4" fillId="33" borderId="10"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3" borderId="12" xfId="0" applyFont="1" applyFill="1" applyBorder="1" applyAlignment="1" applyProtection="1">
      <alignment horizontal="left" vertical="center"/>
      <protection locked="0"/>
    </xf>
    <xf numFmtId="0" fontId="4" fillId="34" borderId="12" xfId="0" applyFont="1" applyFill="1" applyBorder="1" applyAlignment="1" applyProtection="1">
      <alignment vertical="center"/>
      <protection/>
    </xf>
    <xf numFmtId="3" fontId="24" fillId="40" borderId="21" xfId="0" applyNumberFormat="1" applyFont="1" applyFill="1" applyBorder="1" applyAlignment="1" applyProtection="1">
      <alignment horizontal="center" vertical="center"/>
      <protection/>
    </xf>
    <xf numFmtId="37" fontId="5" fillId="34" borderId="12" xfId="0" applyNumberFormat="1" applyFont="1" applyFill="1" applyBorder="1" applyAlignment="1" applyProtection="1">
      <alignment horizontal="left" vertical="center"/>
      <protection/>
    </xf>
    <xf numFmtId="37" fontId="5" fillId="35" borderId="10" xfId="0" applyNumberFormat="1" applyFont="1" applyFill="1" applyBorder="1" applyAlignment="1" applyProtection="1">
      <alignment vertical="center"/>
      <protection/>
    </xf>
    <xf numFmtId="0" fontId="5" fillId="34" borderId="0" xfId="0" applyFont="1" applyFill="1" applyAlignment="1" applyProtection="1">
      <alignment horizontal="left" vertical="center"/>
      <protection/>
    </xf>
    <xf numFmtId="0" fontId="4" fillId="34" borderId="0" xfId="0" applyFont="1" applyFill="1" applyAlignment="1" applyProtection="1">
      <alignment horizontal="fill" vertical="center"/>
      <protection/>
    </xf>
    <xf numFmtId="0" fontId="4" fillId="34" borderId="16" xfId="0" applyNumberFormat="1" applyFont="1" applyFill="1" applyBorder="1" applyAlignment="1" applyProtection="1">
      <alignment horizontal="center" vertical="center"/>
      <protection/>
    </xf>
    <xf numFmtId="37" fontId="5"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37" fontId="4" fillId="35" borderId="10" xfId="0" applyNumberFormat="1" applyFont="1" applyFill="1" applyBorder="1" applyAlignment="1" applyProtection="1">
      <alignment vertical="center"/>
      <protection/>
    </xf>
    <xf numFmtId="0" fontId="24" fillId="0" borderId="0" xfId="0" applyFont="1" applyAlignment="1">
      <alignment vertical="center"/>
    </xf>
    <xf numFmtId="0" fontId="25" fillId="34" borderId="0" xfId="0" applyFont="1" applyFill="1" applyAlignment="1" applyProtection="1">
      <alignment horizontal="center" vertical="center"/>
      <protection/>
    </xf>
    <xf numFmtId="0" fontId="4" fillId="34" borderId="0" xfId="0" applyFont="1" applyFill="1" applyAlignment="1">
      <alignment horizontal="right" vertical="center"/>
    </xf>
    <xf numFmtId="1" fontId="4" fillId="34" borderId="15" xfId="0" applyNumberFormat="1" applyFont="1" applyFill="1" applyBorder="1" applyAlignment="1" applyProtection="1">
      <alignment horizontal="center" vertical="center"/>
      <protection/>
    </xf>
    <xf numFmtId="0" fontId="4" fillId="33" borderId="10" xfId="0" applyFont="1" applyFill="1" applyBorder="1" applyAlignment="1" applyProtection="1">
      <alignment horizontal="left" vertical="center"/>
      <protection locked="0"/>
    </xf>
    <xf numFmtId="37" fontId="4" fillId="35" borderId="15" xfId="0" applyNumberFormat="1" applyFont="1" applyFill="1" applyBorder="1" applyAlignment="1" applyProtection="1">
      <alignment vertical="center"/>
      <protection/>
    </xf>
    <xf numFmtId="0" fontId="4" fillId="34" borderId="0" xfId="0" applyNumberFormat="1" applyFont="1" applyFill="1" applyAlignment="1" applyProtection="1">
      <alignment vertical="center"/>
      <protection/>
    </xf>
    <xf numFmtId="37" fontId="4" fillId="34" borderId="0" xfId="0" applyNumberFormat="1" applyFont="1" applyFill="1" applyAlignment="1" applyProtection="1">
      <alignment horizontal="fill" vertical="center"/>
      <protection/>
    </xf>
    <xf numFmtId="0" fontId="4" fillId="35" borderId="0" xfId="0" applyFont="1" applyFill="1" applyAlignment="1" applyProtection="1">
      <alignment horizontal="left" vertical="center"/>
      <protection/>
    </xf>
    <xf numFmtId="37" fontId="5" fillId="39" borderId="18" xfId="0" applyNumberFormat="1" applyFont="1" applyFill="1" applyBorder="1" applyAlignment="1" applyProtection="1">
      <alignment vertical="center"/>
      <protection/>
    </xf>
    <xf numFmtId="0" fontId="24" fillId="37" borderId="0" xfId="0" applyFont="1" applyFill="1" applyAlignment="1">
      <alignment vertical="center"/>
    </xf>
    <xf numFmtId="37" fontId="4" fillId="37" borderId="0" xfId="0" applyNumberFormat="1" applyFont="1" applyFill="1" applyAlignment="1">
      <alignment vertical="center"/>
    </xf>
    <xf numFmtId="37" fontId="4" fillId="0" borderId="0" xfId="0" applyNumberFormat="1" applyFont="1" applyAlignment="1">
      <alignment vertical="center"/>
    </xf>
    <xf numFmtId="166" fontId="4" fillId="34" borderId="0" xfId="0" applyNumberFormat="1" applyFont="1" applyFill="1" applyAlignment="1" applyProtection="1">
      <alignment vertical="center"/>
      <protection/>
    </xf>
    <xf numFmtId="37" fontId="4" fillId="34" borderId="0" xfId="0" applyNumberFormat="1" applyFont="1" applyFill="1" applyAlignment="1" applyProtection="1" quotePrefix="1">
      <alignment horizontal="right" vertical="center"/>
      <protection/>
    </xf>
    <xf numFmtId="3" fontId="4" fillId="34" borderId="10" xfId="42" applyNumberFormat="1" applyFont="1" applyFill="1" applyBorder="1" applyAlignment="1" applyProtection="1">
      <alignment horizontal="right" vertical="center"/>
      <protection/>
    </xf>
    <xf numFmtId="37" fontId="4" fillId="34" borderId="27" xfId="0" applyNumberFormat="1" applyFont="1" applyFill="1" applyBorder="1" applyAlignment="1" applyProtection="1">
      <alignment horizontal="left" vertical="center"/>
      <protection/>
    </xf>
    <xf numFmtId="3" fontId="4" fillId="34" borderId="10" xfId="0" applyNumberFormat="1" applyFont="1" applyFill="1" applyBorder="1" applyAlignment="1" applyProtection="1">
      <alignment horizontal="fill" vertical="center"/>
      <protection/>
    </xf>
    <xf numFmtId="3" fontId="4" fillId="33" borderId="10" xfId="0" applyNumberFormat="1" applyFont="1" applyFill="1" applyBorder="1" applyAlignment="1" applyProtection="1">
      <alignment horizontal="right" vertical="center"/>
      <protection locked="0"/>
    </xf>
    <xf numFmtId="3" fontId="4" fillId="34" borderId="10" xfId="0" applyNumberFormat="1" applyFont="1" applyFill="1" applyBorder="1" applyAlignment="1" applyProtection="1">
      <alignment horizontal="right" vertical="center"/>
      <protection/>
    </xf>
    <xf numFmtId="0" fontId="4" fillId="34" borderId="12" xfId="0" applyNumberFormat="1" applyFont="1" applyFill="1" applyBorder="1" applyAlignment="1" applyProtection="1">
      <alignment horizontal="left" vertical="center"/>
      <protection/>
    </xf>
    <xf numFmtId="0" fontId="4" fillId="33" borderId="12" xfId="0" applyNumberFormat="1" applyFont="1" applyFill="1" applyBorder="1" applyAlignment="1" applyProtection="1">
      <alignment horizontal="left" vertical="center"/>
      <protection locked="0"/>
    </xf>
    <xf numFmtId="3" fontId="4" fillId="33" borderId="10"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24" fillId="40" borderId="10" xfId="0" applyNumberFormat="1" applyFont="1" applyFill="1" applyBorder="1" applyAlignment="1" applyProtection="1">
      <alignment horizontal="center" vertical="center"/>
      <protection/>
    </xf>
    <xf numFmtId="3" fontId="5" fillId="35" borderId="16" xfId="0" applyNumberFormat="1" applyFont="1" applyFill="1" applyBorder="1" applyAlignment="1" applyProtection="1">
      <alignment horizontal="right" vertical="center"/>
      <protection/>
    </xf>
    <xf numFmtId="3" fontId="5" fillId="35" borderId="10" xfId="0" applyNumberFormat="1" applyFont="1" applyFill="1" applyBorder="1" applyAlignment="1" applyProtection="1">
      <alignment horizontal="right" vertical="center"/>
      <protection/>
    </xf>
    <xf numFmtId="0" fontId="24" fillId="0" borderId="0" xfId="0" applyFont="1" applyAlignment="1" applyProtection="1">
      <alignment vertical="center"/>
      <protection/>
    </xf>
    <xf numFmtId="3" fontId="4" fillId="39" borderId="10" xfId="0" applyNumberFormat="1" applyFont="1" applyFill="1" applyBorder="1" applyAlignment="1" applyProtection="1">
      <alignment vertical="center"/>
      <protection/>
    </xf>
    <xf numFmtId="0" fontId="4" fillId="33" borderId="0" xfId="0" applyFont="1" applyFill="1" applyAlignment="1" applyProtection="1">
      <alignment horizontal="left" vertical="center"/>
      <protection locked="0"/>
    </xf>
    <xf numFmtId="0" fontId="4" fillId="33" borderId="12" xfId="0" applyFont="1" applyFill="1" applyBorder="1" applyAlignment="1" applyProtection="1">
      <alignment horizontal="left" vertical="center"/>
      <protection/>
    </xf>
    <xf numFmtId="3" fontId="5" fillId="35" borderId="10" xfId="0" applyNumberFormat="1" applyFont="1" applyFill="1" applyBorder="1" applyAlignment="1" applyProtection="1">
      <alignment vertical="center"/>
      <protection/>
    </xf>
    <xf numFmtId="0" fontId="4" fillId="34" borderId="0" xfId="0" applyFont="1" applyFill="1" applyAlignment="1" applyProtection="1">
      <alignment horizontal="center" vertical="center"/>
      <protection locked="0"/>
    </xf>
    <xf numFmtId="37" fontId="4" fillId="33" borderId="12" xfId="0" applyNumberFormat="1" applyFont="1" applyFill="1" applyBorder="1" applyAlignment="1" applyProtection="1">
      <alignment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31" fillId="34" borderId="0" xfId="0" applyFont="1" applyFill="1" applyAlignment="1">
      <alignment horizontal="center" vertical="center"/>
    </xf>
    <xf numFmtId="0" fontId="4" fillId="34" borderId="14" xfId="0" applyFont="1" applyFill="1" applyBorder="1" applyAlignment="1">
      <alignment horizontal="center" vertical="center"/>
    </xf>
    <xf numFmtId="0" fontId="4" fillId="34" borderId="17" xfId="0" applyFont="1" applyFill="1" applyBorder="1" applyAlignment="1">
      <alignment vertical="center"/>
    </xf>
    <xf numFmtId="0" fontId="22" fillId="34" borderId="15" xfId="0" applyFont="1" applyFill="1" applyBorder="1" applyAlignment="1">
      <alignment vertical="center"/>
    </xf>
    <xf numFmtId="0" fontId="22" fillId="34" borderId="14" xfId="0" applyFont="1" applyFill="1" applyBorder="1" applyAlignment="1">
      <alignment horizontal="center" vertical="center"/>
    </xf>
    <xf numFmtId="0" fontId="22" fillId="34" borderId="21" xfId="0" applyFont="1" applyFill="1" applyBorder="1" applyAlignment="1">
      <alignment vertical="center"/>
    </xf>
    <xf numFmtId="0" fontId="22" fillId="34" borderId="10" xfId="0" applyFont="1" applyFill="1" applyBorder="1" applyAlignment="1">
      <alignment horizontal="center" vertical="center"/>
    </xf>
    <xf numFmtId="0" fontId="4" fillId="34" borderId="14" xfId="0" applyFont="1" applyFill="1" applyBorder="1" applyAlignment="1">
      <alignment vertical="center"/>
    </xf>
    <xf numFmtId="0" fontId="4" fillId="34" borderId="10" xfId="0" applyFont="1" applyFill="1" applyBorder="1" applyAlignment="1">
      <alignment horizontal="center" vertical="center"/>
    </xf>
    <xf numFmtId="0" fontId="22" fillId="34" borderId="27" xfId="0" applyFont="1" applyFill="1" applyBorder="1" applyAlignment="1">
      <alignment vertical="center"/>
    </xf>
    <xf numFmtId="3" fontId="22" fillId="33" borderId="10" xfId="0" applyNumberFormat="1" applyFont="1" applyFill="1" applyBorder="1" applyAlignment="1" applyProtection="1">
      <alignment horizontal="center" vertical="center"/>
      <protection locked="0"/>
    </xf>
    <xf numFmtId="0" fontId="22" fillId="34" borderId="17" xfId="0" applyFont="1" applyFill="1" applyBorder="1" applyAlignment="1">
      <alignment vertical="center"/>
    </xf>
    <xf numFmtId="3" fontId="22" fillId="35" borderId="10" xfId="0" applyNumberFormat="1" applyFont="1" applyFill="1" applyBorder="1" applyAlignment="1">
      <alignment horizontal="center" vertical="center"/>
    </xf>
    <xf numFmtId="0" fontId="22" fillId="34" borderId="0" xfId="0" applyFont="1" applyFill="1" applyAlignment="1">
      <alignment vertical="center"/>
    </xf>
    <xf numFmtId="3" fontId="22" fillId="34" borderId="0" xfId="0" applyNumberFormat="1" applyFont="1" applyFill="1" applyAlignment="1">
      <alignment horizontal="center" vertical="center"/>
    </xf>
    <xf numFmtId="0" fontId="22" fillId="34" borderId="0" xfId="0" applyFont="1" applyFill="1" applyAlignment="1">
      <alignment horizontal="center" vertical="center"/>
    </xf>
    <xf numFmtId="0" fontId="22" fillId="33" borderId="10" xfId="0" applyFont="1" applyFill="1" applyBorder="1" applyAlignment="1" applyProtection="1">
      <alignment vertical="center"/>
      <protection locked="0"/>
    </xf>
    <xf numFmtId="0" fontId="22" fillId="33" borderId="21" xfId="0" applyFont="1" applyFill="1" applyBorder="1" applyAlignment="1" applyProtection="1">
      <alignment vertical="center"/>
      <protection locked="0"/>
    </xf>
    <xf numFmtId="0" fontId="22" fillId="33" borderId="0" xfId="0" applyFont="1" applyFill="1" applyAlignment="1" applyProtection="1">
      <alignment vertical="center"/>
      <protection locked="0"/>
    </xf>
    <xf numFmtId="0" fontId="22" fillId="33" borderId="14" xfId="0" applyFont="1" applyFill="1" applyBorder="1" applyAlignment="1" applyProtection="1">
      <alignment vertical="center"/>
      <protection locked="0"/>
    </xf>
    <xf numFmtId="0" fontId="22" fillId="33" borderId="16" xfId="0" applyFont="1" applyFill="1" applyBorder="1" applyAlignment="1" applyProtection="1">
      <alignment vertical="center"/>
      <protection locked="0"/>
    </xf>
    <xf numFmtId="0" fontId="22" fillId="33" borderId="24" xfId="0" applyFont="1" applyFill="1" applyBorder="1" applyAlignment="1" applyProtection="1">
      <alignment vertical="center"/>
      <protection locked="0"/>
    </xf>
    <xf numFmtId="3" fontId="22" fillId="34" borderId="10" xfId="0" applyNumberFormat="1" applyFont="1" applyFill="1" applyBorder="1" applyAlignment="1">
      <alignment horizontal="center" vertical="center"/>
    </xf>
    <xf numFmtId="3" fontId="27" fillId="39" borderId="10" xfId="0" applyNumberFormat="1" applyFont="1" applyFill="1" applyBorder="1" applyAlignment="1">
      <alignment horizontal="center" vertical="center"/>
    </xf>
    <xf numFmtId="3" fontId="4" fillId="34" borderId="0" xfId="0" applyNumberFormat="1" applyFont="1" applyFill="1" applyAlignment="1">
      <alignment vertical="center"/>
    </xf>
    <xf numFmtId="3" fontId="4" fillId="0" borderId="0" xfId="0" applyNumberFormat="1" applyFont="1" applyAlignment="1">
      <alignment vertical="center"/>
    </xf>
    <xf numFmtId="3" fontId="27" fillId="35" borderId="10" xfId="0" applyNumberFormat="1" applyFont="1" applyFill="1" applyBorder="1" applyAlignment="1">
      <alignment horizontal="center" vertical="center"/>
    </xf>
    <xf numFmtId="0" fontId="4" fillId="0" borderId="0" xfId="0" applyFont="1" applyAlignment="1">
      <alignment horizontal="centerContinuous" vertical="center"/>
    </xf>
    <xf numFmtId="0" fontId="4" fillId="34" borderId="15" xfId="0" applyFont="1" applyFill="1" applyBorder="1" applyAlignment="1" applyProtection="1">
      <alignment horizontal="centerContinuous" vertical="center"/>
      <protection/>
    </xf>
    <xf numFmtId="1" fontId="4" fillId="34" borderId="12" xfId="0" applyNumberFormat="1" applyFont="1" applyFill="1" applyBorder="1" applyAlignment="1" applyProtection="1">
      <alignment horizontal="centerContinuous" vertical="center"/>
      <protection/>
    </xf>
    <xf numFmtId="164" fontId="4" fillId="34" borderId="10" xfId="0" applyNumberFormat="1" applyFont="1" applyFill="1" applyBorder="1" applyAlignment="1" applyProtection="1">
      <alignment vertical="center"/>
      <protection/>
    </xf>
    <xf numFmtId="37" fontId="4" fillId="34" borderId="10" xfId="0" applyNumberFormat="1" applyFont="1" applyFill="1" applyBorder="1" applyAlignment="1" applyProtection="1">
      <alignment vertical="center"/>
      <protection locked="0"/>
    </xf>
    <xf numFmtId="1" fontId="4" fillId="34" borderId="0" xfId="0" applyNumberFormat="1" applyFont="1" applyFill="1" applyAlignment="1" applyProtection="1">
      <alignment vertical="center"/>
      <protection/>
    </xf>
    <xf numFmtId="1" fontId="6" fillId="34" borderId="0" xfId="0" applyNumberFormat="1" applyFont="1" applyFill="1" applyAlignment="1" applyProtection="1">
      <alignment horizontal="center" vertical="center"/>
      <protection/>
    </xf>
    <xf numFmtId="37" fontId="4" fillId="34" borderId="18" xfId="0" applyNumberFormat="1" applyFont="1" applyFill="1" applyBorder="1" applyAlignment="1" applyProtection="1">
      <alignment vertical="center"/>
      <protection/>
    </xf>
    <xf numFmtId="0" fontId="4" fillId="33" borderId="0" xfId="0" applyFont="1" applyFill="1" applyAlignment="1" applyProtection="1">
      <alignment vertical="center"/>
      <protection locked="0"/>
    </xf>
    <xf numFmtId="0" fontId="4" fillId="34" borderId="15" xfId="0" applyFont="1" applyFill="1" applyBorder="1" applyAlignment="1" applyProtection="1">
      <alignment horizontal="center" vertical="center" wrapText="1"/>
      <protection/>
    </xf>
    <xf numFmtId="0" fontId="4" fillId="34" borderId="21"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3" fontId="4" fillId="33" borderId="10" xfId="0" applyNumberFormat="1" applyFont="1" applyFill="1" applyBorder="1" applyAlignment="1" applyProtection="1">
      <alignment horizontal="center" vertical="center"/>
      <protection locked="0"/>
    </xf>
    <xf numFmtId="184" fontId="4" fillId="34" borderId="10" xfId="0" applyNumberFormat="1" applyFont="1" applyFill="1" applyBorder="1" applyAlignment="1" applyProtection="1">
      <alignment horizontal="center" vertical="center"/>
      <protection/>
    </xf>
    <xf numFmtId="3" fontId="4" fillId="33" borderId="15" xfId="0" applyNumberFormat="1" applyFont="1" applyFill="1" applyBorder="1" applyAlignment="1" applyProtection="1">
      <alignment horizontal="center" vertical="center"/>
      <protection locked="0"/>
    </xf>
    <xf numFmtId="3" fontId="4" fillId="34" borderId="18" xfId="0" applyNumberFormat="1" applyFont="1" applyFill="1" applyBorder="1" applyAlignment="1" applyProtection="1">
      <alignment horizontal="center" vertical="center"/>
      <protection/>
    </xf>
    <xf numFmtId="184" fontId="4" fillId="34" borderId="18"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184" fontId="4" fillId="34" borderId="17" xfId="0" applyNumberFormat="1" applyFont="1" applyFill="1" applyBorder="1" applyAlignment="1" applyProtection="1">
      <alignment horizontal="center" vertical="center"/>
      <protection/>
    </xf>
    <xf numFmtId="184" fontId="4" fillId="34" borderId="0" xfId="0" applyNumberFormat="1" applyFont="1" applyFill="1" applyBorder="1" applyAlignment="1" applyProtection="1">
      <alignment horizontal="center" vertical="center"/>
      <protection/>
    </xf>
    <xf numFmtId="3" fontId="4" fillId="34" borderId="17" xfId="0" applyNumberFormat="1" applyFont="1" applyFill="1" applyBorder="1" applyAlignment="1">
      <alignment horizontal="center" vertical="center"/>
    </xf>
    <xf numFmtId="0" fontId="0" fillId="34" borderId="0" xfId="0" applyFill="1" applyAlignment="1">
      <alignment horizontal="center" vertical="center"/>
    </xf>
    <xf numFmtId="184" fontId="4" fillId="34" borderId="17" xfId="0" applyNumberFormat="1" applyFont="1" applyFill="1" applyBorder="1" applyAlignment="1">
      <alignment horizontal="center" vertical="center"/>
    </xf>
    <xf numFmtId="183" fontId="4" fillId="34" borderId="0" xfId="0" applyNumberFormat="1" applyFont="1" applyFill="1" applyBorder="1" applyAlignment="1" applyProtection="1">
      <alignment vertical="center"/>
      <protection/>
    </xf>
    <xf numFmtId="0" fontId="6" fillId="0" borderId="0" xfId="0" applyFont="1" applyAlignment="1">
      <alignment vertical="center"/>
    </xf>
    <xf numFmtId="0" fontId="32" fillId="0" borderId="0" xfId="0" applyFont="1" applyAlignment="1">
      <alignment horizontal="center" vertical="center"/>
    </xf>
    <xf numFmtId="0" fontId="5" fillId="0" borderId="0" xfId="0" applyFont="1" applyAlignment="1">
      <alignment vertical="center" wrapText="1"/>
    </xf>
    <xf numFmtId="3" fontId="37" fillId="39" borderId="0" xfId="0" applyNumberFormat="1" applyFont="1" applyFill="1" applyAlignment="1">
      <alignment horizontal="center" vertical="center"/>
    </xf>
    <xf numFmtId="0" fontId="4" fillId="0" borderId="0" xfId="361" applyNumberFormat="1" applyFont="1" applyAlignment="1">
      <alignment vertical="center" wrapText="1"/>
      <protection/>
    </xf>
    <xf numFmtId="0" fontId="4" fillId="0" borderId="0" xfId="380" applyNumberFormat="1" applyFont="1" applyAlignment="1">
      <alignment vertical="center" wrapText="1"/>
      <protection/>
    </xf>
    <xf numFmtId="0" fontId="4" fillId="0" borderId="0" xfId="397" applyFont="1" applyAlignment="1">
      <alignment vertical="center" wrapText="1"/>
      <protection/>
    </xf>
    <xf numFmtId="0" fontId="4" fillId="0" borderId="0" xfId="184" applyFont="1" applyAlignment="1">
      <alignment vertical="center" wrapText="1"/>
      <protection/>
    </xf>
    <xf numFmtId="0" fontId="0" fillId="0" borderId="0" xfId="0" applyAlignment="1">
      <alignment/>
    </xf>
    <xf numFmtId="37" fontId="18" fillId="34" borderId="0" xfId="0" applyNumberFormat="1" applyFont="1" applyFill="1" applyBorder="1" applyAlignment="1" applyProtection="1">
      <alignment horizontal="left" vertical="center"/>
      <protection/>
    </xf>
    <xf numFmtId="0" fontId="4" fillId="0" borderId="0" xfId="426" applyFont="1" applyAlignment="1">
      <alignment vertical="center"/>
      <protection/>
    </xf>
    <xf numFmtId="37" fontId="18" fillId="34" borderId="0" xfId="0" applyNumberFormat="1" applyFont="1" applyFill="1" applyBorder="1" applyAlignment="1" applyProtection="1">
      <alignment horizontal="fill" vertical="center"/>
      <protection/>
    </xf>
    <xf numFmtId="0" fontId="12" fillId="0" borderId="0" xfId="414" applyFont="1">
      <alignment/>
      <protection/>
    </xf>
    <xf numFmtId="0" fontId="12" fillId="0" borderId="0" xfId="414" applyNumberFormat="1" applyFont="1" applyAlignment="1">
      <alignment horizontal="left" vertical="center"/>
      <protection/>
    </xf>
    <xf numFmtId="0" fontId="4" fillId="0" borderId="0" xfId="414" applyFont="1" applyAlignment="1">
      <alignment horizontal="left" vertical="center"/>
      <protection/>
    </xf>
    <xf numFmtId="49" fontId="4" fillId="33" borderId="0" xfId="414" applyNumberFormat="1" applyFont="1" applyFill="1" applyAlignment="1" applyProtection="1">
      <alignment horizontal="left" vertical="center"/>
      <protection locked="0"/>
    </xf>
    <xf numFmtId="185" fontId="22" fillId="0" borderId="0" xfId="414" applyNumberFormat="1" applyFont="1" applyAlignment="1">
      <alignment horizontal="left" vertical="center"/>
      <protection/>
    </xf>
    <xf numFmtId="49" fontId="4" fillId="0" borderId="0" xfId="414" applyNumberFormat="1" applyFont="1" applyAlignment="1">
      <alignment horizontal="left" vertical="center"/>
      <protection/>
    </xf>
    <xf numFmtId="0" fontId="22" fillId="0" borderId="0" xfId="414" applyFont="1" applyAlignment="1">
      <alignment horizontal="left" vertical="center"/>
      <protection/>
    </xf>
    <xf numFmtId="186" fontId="22" fillId="0" borderId="0" xfId="414" applyNumberFormat="1" applyFont="1" applyAlignment="1">
      <alignment horizontal="left" vertical="center"/>
      <protection/>
    </xf>
    <xf numFmtId="0" fontId="4" fillId="33" borderId="0" xfId="414" applyFont="1" applyFill="1" applyAlignment="1" applyProtection="1">
      <alignment horizontal="left" vertical="center"/>
      <protection locked="0"/>
    </xf>
    <xf numFmtId="0" fontId="12" fillId="33" borderId="0" xfId="414" applyFont="1" applyFill="1" applyAlignment="1" applyProtection="1">
      <alignment horizontal="left" vertical="center"/>
      <protection locked="0"/>
    </xf>
    <xf numFmtId="0" fontId="6" fillId="0" borderId="0" xfId="120" applyFont="1" applyAlignment="1">
      <alignment vertical="center"/>
      <protection/>
    </xf>
    <xf numFmtId="0" fontId="4" fillId="0" borderId="0" xfId="124" applyFont="1" applyAlignment="1">
      <alignment vertical="center"/>
      <protection/>
    </xf>
    <xf numFmtId="0" fontId="2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01" applyFont="1">
      <alignment/>
      <protection/>
    </xf>
    <xf numFmtId="0" fontId="0" fillId="0" borderId="0" xfId="201" applyFont="1" applyFill="1">
      <alignment/>
      <protection/>
    </xf>
    <xf numFmtId="0" fontId="0" fillId="0" borderId="0" xfId="0" applyFont="1" applyAlignment="1">
      <alignment/>
    </xf>
    <xf numFmtId="0" fontId="1" fillId="0" borderId="0" xfId="0" applyFont="1" applyAlignment="1">
      <alignment horizontal="center"/>
    </xf>
    <xf numFmtId="0" fontId="4" fillId="0" borderId="0" xfId="431" applyFont="1" applyAlignment="1">
      <alignment vertical="center" wrapText="1"/>
      <protection/>
    </xf>
    <xf numFmtId="0" fontId="4" fillId="0" borderId="0" xfId="73" applyFont="1" applyAlignment="1">
      <alignment vertical="center" wrapText="1"/>
      <protection/>
    </xf>
    <xf numFmtId="0" fontId="6" fillId="0" borderId="0" xfId="119" applyFont="1" applyAlignment="1">
      <alignment vertical="center"/>
      <protection/>
    </xf>
    <xf numFmtId="0" fontId="86"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 fontId="22" fillId="35" borderId="16" xfId="0" applyNumberFormat="1" applyFont="1" applyFill="1" applyBorder="1" applyAlignment="1">
      <alignment horizontal="center" vertical="center"/>
    </xf>
    <xf numFmtId="0" fontId="4" fillId="33" borderId="17" xfId="0" applyFont="1" applyFill="1" applyBorder="1" applyAlignment="1" applyProtection="1">
      <alignment vertical="center"/>
      <protection locked="0"/>
    </xf>
    <xf numFmtId="14" fontId="4" fillId="33" borderId="10" xfId="0" applyNumberFormat="1" applyFont="1" applyFill="1" applyBorder="1" applyAlignment="1" applyProtection="1">
      <alignment vertical="center"/>
      <protection locked="0"/>
    </xf>
    <xf numFmtId="14" fontId="4" fillId="33" borderId="10" xfId="0" applyNumberFormat="1" applyFont="1" applyFill="1" applyBorder="1" applyAlignment="1" applyProtection="1">
      <alignment horizontal="center" vertical="center"/>
      <protection locked="0"/>
    </xf>
    <xf numFmtId="3" fontId="4" fillId="33" borderId="12" xfId="0" applyNumberFormat="1" applyFont="1" applyFill="1" applyBorder="1" applyAlignment="1" applyProtection="1">
      <alignment vertical="center"/>
      <protection locked="0"/>
    </xf>
    <xf numFmtId="3" fontId="24" fillId="40" borderId="12" xfId="0" applyNumberFormat="1" applyFont="1" applyFill="1" applyBorder="1" applyAlignment="1" applyProtection="1">
      <alignment horizontal="center" vertical="center"/>
      <protection/>
    </xf>
    <xf numFmtId="3" fontId="5" fillId="35" borderId="12" xfId="0" applyNumberFormat="1" applyFont="1" applyFill="1" applyBorder="1" applyAlignment="1" applyProtection="1">
      <alignment vertical="center"/>
      <protection/>
    </xf>
    <xf numFmtId="0" fontId="4" fillId="34" borderId="27"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vertical="center"/>
      <protection/>
    </xf>
    <xf numFmtId="3" fontId="4" fillId="35" borderId="12" xfId="0" applyNumberFormat="1" applyFont="1" applyFill="1" applyBorder="1" applyAlignment="1" applyProtection="1">
      <alignment vertical="center"/>
      <protection/>
    </xf>
    <xf numFmtId="3" fontId="4" fillId="34" borderId="12" xfId="0" applyNumberFormat="1" applyFont="1" applyFill="1" applyBorder="1" applyAlignment="1" applyProtection="1">
      <alignment horizontal="right" vertical="center"/>
      <protection locked="0"/>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3" fontId="4" fillId="34" borderId="12" xfId="42" applyNumberFormat="1" applyFont="1" applyFill="1" applyBorder="1" applyAlignment="1" applyProtection="1">
      <alignment horizontal="right" vertical="center"/>
      <protection/>
    </xf>
    <xf numFmtId="3" fontId="5" fillId="35" borderId="27" xfId="0" applyNumberFormat="1" applyFont="1" applyFill="1" applyBorder="1" applyAlignment="1" applyProtection="1">
      <alignment horizontal="right" vertical="center"/>
      <protection/>
    </xf>
    <xf numFmtId="3" fontId="5" fillId="35" borderId="12" xfId="0" applyNumberFormat="1" applyFont="1" applyFill="1" applyBorder="1" applyAlignment="1" applyProtection="1">
      <alignment horizontal="right" vertical="center"/>
      <protection/>
    </xf>
    <xf numFmtId="3" fontId="4" fillId="35" borderId="12" xfId="0" applyNumberFormat="1" applyFont="1" applyFill="1" applyBorder="1" applyAlignment="1" applyProtection="1">
      <alignment horizontal="right" vertical="center"/>
      <protection/>
    </xf>
    <xf numFmtId="184" fontId="4" fillId="33" borderId="10" xfId="0" applyNumberFormat="1" applyFont="1" applyFill="1" applyBorder="1" applyAlignment="1" applyProtection="1">
      <alignment vertical="center"/>
      <protection locked="0"/>
    </xf>
    <xf numFmtId="184" fontId="4" fillId="33" borderId="10" xfId="0" applyNumberFormat="1" applyFont="1" applyFill="1" applyBorder="1" applyAlignment="1" applyProtection="1">
      <alignment vertical="center"/>
      <protection locked="0"/>
    </xf>
    <xf numFmtId="37" fontId="18" fillId="34" borderId="0" xfId="0" applyNumberFormat="1" applyFont="1" applyFill="1" applyAlignment="1" applyProtection="1">
      <alignment horizontal="center" vertical="center"/>
      <protection locked="0"/>
    </xf>
    <xf numFmtId="37" fontId="18" fillId="34" borderId="0" xfId="0" applyNumberFormat="1" applyFont="1" applyFill="1" applyAlignment="1" applyProtection="1">
      <alignment horizontal="left" vertical="center"/>
      <protection locked="0"/>
    </xf>
    <xf numFmtId="0" fontId="18" fillId="34" borderId="22" xfId="0" applyFont="1" applyFill="1" applyBorder="1" applyAlignment="1" applyProtection="1">
      <alignment vertical="center"/>
      <protection/>
    </xf>
    <xf numFmtId="0" fontId="18" fillId="34" borderId="22" xfId="0" applyFont="1" applyFill="1" applyBorder="1" applyAlignment="1" applyProtection="1">
      <alignment vertical="center"/>
      <protection locked="0"/>
    </xf>
    <xf numFmtId="0" fontId="18" fillId="36" borderId="10" xfId="0" applyFont="1" applyFill="1" applyBorder="1" applyAlignment="1" applyProtection="1">
      <alignment horizontal="center" vertical="center"/>
      <protection/>
    </xf>
    <xf numFmtId="37" fontId="18" fillId="34" borderId="22" xfId="0" applyNumberFormat="1" applyFont="1" applyFill="1" applyBorder="1" applyAlignment="1" applyProtection="1">
      <alignment horizontal="center" vertical="center"/>
      <protection/>
    </xf>
    <xf numFmtId="37" fontId="8" fillId="34" borderId="20" xfId="0" applyNumberFormat="1" applyFont="1" applyFill="1" applyBorder="1" applyAlignment="1" applyProtection="1">
      <alignment horizontal="center" vertical="center"/>
      <protection/>
    </xf>
    <xf numFmtId="1" fontId="8" fillId="34" borderId="20" xfId="0" applyNumberFormat="1" applyFont="1" applyFill="1" applyBorder="1" applyAlignment="1" applyProtection="1">
      <alignment horizontal="center" vertical="center"/>
      <protection/>
    </xf>
    <xf numFmtId="37" fontId="8" fillId="34" borderId="15" xfId="0" applyNumberFormat="1" applyFont="1" applyFill="1" applyBorder="1" applyAlignment="1" applyProtection="1">
      <alignment horizontal="center" vertical="center"/>
      <protection/>
    </xf>
    <xf numFmtId="0" fontId="22" fillId="39" borderId="17" xfId="75" applyFont="1" applyFill="1" applyBorder="1" applyAlignment="1" applyProtection="1">
      <alignment vertical="center"/>
      <protection/>
    </xf>
    <xf numFmtId="190" fontId="22" fillId="39" borderId="27" xfId="75" applyNumberFormat="1" applyFont="1" applyFill="1" applyBorder="1" applyAlignment="1" applyProtection="1">
      <alignment horizontal="center" vertical="center"/>
      <protection/>
    </xf>
    <xf numFmtId="190" fontId="22" fillId="34" borderId="28" xfId="75" applyNumberFormat="1" applyFont="1" applyFill="1" applyBorder="1" applyAlignment="1" applyProtection="1">
      <alignment vertical="center"/>
      <protection/>
    </xf>
    <xf numFmtId="190" fontId="22" fillId="34" borderId="27" xfId="75" applyNumberFormat="1" applyFont="1" applyFill="1" applyBorder="1" applyAlignment="1" applyProtection="1">
      <alignment horizontal="center" vertical="center"/>
      <protection/>
    </xf>
    <xf numFmtId="0" fontId="22" fillId="34" borderId="0" xfId="75" applyFont="1" applyFill="1" applyBorder="1" applyAlignment="1" applyProtection="1">
      <alignment vertical="center"/>
      <protection/>
    </xf>
    <xf numFmtId="0" fontId="22" fillId="34" borderId="0" xfId="75" applyFont="1" applyFill="1" applyBorder="1" applyAlignment="1" applyProtection="1">
      <alignment horizontal="left" vertical="center"/>
      <protection/>
    </xf>
    <xf numFmtId="190" fontId="22" fillId="34" borderId="28" xfId="75" applyNumberFormat="1" applyFont="1" applyFill="1" applyBorder="1" applyAlignment="1" applyProtection="1">
      <alignment horizontal="center" vertical="center"/>
      <protection/>
    </xf>
    <xf numFmtId="0" fontId="46" fillId="0" borderId="0" xfId="0" applyFont="1" applyAlignment="1" applyProtection="1">
      <alignment vertical="center"/>
      <protection/>
    </xf>
    <xf numFmtId="190" fontId="19" fillId="39" borderId="19" xfId="75" applyNumberFormat="1" applyFont="1" applyFill="1" applyBorder="1" applyAlignment="1" applyProtection="1">
      <alignment horizontal="center" vertical="center"/>
      <protection/>
    </xf>
    <xf numFmtId="0" fontId="18" fillId="39" borderId="17" xfId="75" applyFont="1" applyFill="1" applyBorder="1" applyAlignment="1" applyProtection="1">
      <alignment vertical="center"/>
      <protection/>
    </xf>
    <xf numFmtId="0" fontId="4" fillId="39" borderId="17" xfId="75" applyFont="1" applyFill="1" applyBorder="1" applyAlignment="1" applyProtection="1">
      <alignment vertical="center"/>
      <protection/>
    </xf>
    <xf numFmtId="0" fontId="19" fillId="39" borderId="27" xfId="75" applyFont="1" applyFill="1" applyBorder="1" applyAlignment="1" applyProtection="1">
      <alignment vertical="center"/>
      <protection/>
    </xf>
    <xf numFmtId="0" fontId="19" fillId="34" borderId="19" xfId="75" applyFont="1" applyFill="1" applyBorder="1" applyAlignment="1" applyProtection="1">
      <alignment horizontal="center" vertical="center"/>
      <protection/>
    </xf>
    <xf numFmtId="190" fontId="18" fillId="33" borderId="10" xfId="75" applyNumberFormat="1" applyFont="1" applyFill="1" applyBorder="1" applyAlignment="1" applyProtection="1">
      <alignment horizontal="center" vertical="center"/>
      <protection locked="0"/>
    </xf>
    <xf numFmtId="0" fontId="18" fillId="34" borderId="28" xfId="75" applyFont="1" applyFill="1" applyBorder="1" applyAlignment="1" applyProtection="1">
      <alignment horizontal="left" vertical="center"/>
      <protection/>
    </xf>
    <xf numFmtId="190" fontId="18" fillId="34" borderId="24" xfId="75" applyNumberFormat="1" applyFont="1" applyFill="1" applyBorder="1" applyAlignment="1" applyProtection="1">
      <alignment horizontal="center" vertical="center"/>
      <protection/>
    </xf>
    <xf numFmtId="0" fontId="18" fillId="34" borderId="28" xfId="75" applyFont="1" applyFill="1" applyBorder="1" applyAlignment="1" applyProtection="1">
      <alignment vertical="center"/>
      <protection/>
    </xf>
    <xf numFmtId="0" fontId="0" fillId="34" borderId="14" xfId="75" applyFill="1" applyBorder="1" applyAlignment="1" applyProtection="1">
      <alignment vertical="center"/>
      <protection/>
    </xf>
    <xf numFmtId="0" fontId="28" fillId="34" borderId="13" xfId="75" applyFont="1" applyFill="1" applyBorder="1" applyAlignment="1" applyProtection="1">
      <alignment horizontal="center" vertical="center"/>
      <protection/>
    </xf>
    <xf numFmtId="0" fontId="18" fillId="34" borderId="13" xfId="75" applyFont="1" applyFill="1" applyBorder="1" applyAlignment="1" applyProtection="1">
      <alignment horizontal="left" vertical="center"/>
      <protection/>
    </xf>
    <xf numFmtId="184" fontId="28" fillId="34" borderId="12" xfId="75" applyNumberFormat="1" applyFont="1" applyFill="1" applyBorder="1" applyAlignment="1" applyProtection="1">
      <alignment horizontal="center" vertical="center"/>
      <protection/>
    </xf>
    <xf numFmtId="0" fontId="4" fillId="39" borderId="19" xfId="75" applyFont="1" applyFill="1" applyBorder="1" applyAlignment="1" applyProtection="1">
      <alignment vertical="center"/>
      <protection/>
    </xf>
    <xf numFmtId="0" fontId="18" fillId="39" borderId="19" xfId="75" applyFont="1" applyFill="1" applyBorder="1" applyAlignment="1" applyProtection="1">
      <alignment vertical="center"/>
      <protection/>
    </xf>
    <xf numFmtId="37" fontId="18" fillId="34" borderId="16" xfId="84" applyNumberFormat="1" applyFont="1" applyFill="1" applyBorder="1" applyAlignment="1" applyProtection="1">
      <alignment horizontal="center" vertical="center"/>
      <protection/>
    </xf>
    <xf numFmtId="37" fontId="18" fillId="34" borderId="11" xfId="84" applyNumberFormat="1" applyFont="1" applyFill="1" applyBorder="1" applyAlignment="1" applyProtection="1">
      <alignment horizontal="center" vertical="center"/>
      <protection/>
    </xf>
    <xf numFmtId="184" fontId="4" fillId="34" borderId="0" xfId="0" applyNumberFormat="1" applyFont="1" applyFill="1" applyAlignment="1">
      <alignment horizontal="center" vertical="center"/>
    </xf>
    <xf numFmtId="3" fontId="24" fillId="33" borderId="10" xfId="0" applyNumberFormat="1" applyFont="1" applyFill="1" applyBorder="1" applyAlignment="1" applyProtection="1">
      <alignment horizontal="center" vertical="center"/>
      <protection/>
    </xf>
    <xf numFmtId="0" fontId="25" fillId="34" borderId="10" xfId="0" applyFont="1" applyFill="1" applyBorder="1" applyAlignment="1" applyProtection="1">
      <alignment horizontal="center" vertical="center"/>
      <protection/>
    </xf>
    <xf numFmtId="3" fontId="25" fillId="34" borderId="10" xfId="0" applyNumberFormat="1" applyFont="1" applyFill="1" applyBorder="1" applyAlignment="1" applyProtection="1">
      <alignment horizontal="center" vertical="center"/>
      <protection/>
    </xf>
    <xf numFmtId="3" fontId="24" fillId="40" borderId="15"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7" fontId="5" fillId="34" borderId="17"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4" fillId="39" borderId="12" xfId="0" applyNumberFormat="1" applyFont="1" applyFill="1" applyBorder="1" applyAlignment="1" applyProtection="1">
      <alignment vertical="center"/>
      <protection/>
    </xf>
    <xf numFmtId="0" fontId="34" fillId="0" borderId="0" xfId="0" applyFont="1" applyAlignment="1">
      <alignment/>
    </xf>
    <xf numFmtId="0" fontId="33" fillId="0" borderId="0" xfId="0" applyFont="1" applyAlignment="1">
      <alignment wrapText="1"/>
    </xf>
    <xf numFmtId="0" fontId="0" fillId="0" borderId="0" xfId="0" applyAlignment="1">
      <alignment vertical="center" wrapText="1"/>
    </xf>
    <xf numFmtId="0" fontId="5" fillId="0" borderId="0" xfId="0" applyFont="1" applyAlignment="1">
      <alignment wrapText="1"/>
    </xf>
    <xf numFmtId="0" fontId="15" fillId="0" borderId="0" xfId="0" applyFont="1" applyAlignment="1">
      <alignment wrapText="1"/>
    </xf>
    <xf numFmtId="0" fontId="38" fillId="0" borderId="0" xfId="0" applyFont="1" applyAlignment="1">
      <alignment vertical="center"/>
    </xf>
    <xf numFmtId="0" fontId="39" fillId="0" borderId="0" xfId="0" applyFont="1" applyAlignment="1">
      <alignment horizontal="center"/>
    </xf>
    <xf numFmtId="37" fontId="4" fillId="34" borderId="11" xfId="75" applyNumberFormat="1" applyFont="1" applyFill="1" applyBorder="1" applyAlignment="1" applyProtection="1">
      <alignment horizontal="center" vertical="center"/>
      <protection/>
    </xf>
    <xf numFmtId="37" fontId="4" fillId="34" borderId="16" xfId="75" applyNumberFormat="1" applyFont="1" applyFill="1" applyBorder="1" applyAlignment="1" applyProtection="1">
      <alignment horizontal="center" vertical="center"/>
      <protection/>
    </xf>
    <xf numFmtId="0" fontId="19" fillId="39" borderId="17" xfId="75" applyFont="1" applyFill="1" applyBorder="1" applyAlignment="1" applyProtection="1">
      <alignment vertical="center"/>
      <protection/>
    </xf>
    <xf numFmtId="190" fontId="19" fillId="39" borderId="27" xfId="75" applyNumberFormat="1" applyFont="1" applyFill="1" applyBorder="1" applyAlignment="1" applyProtection="1">
      <alignment horizontal="center" vertical="center"/>
      <protection/>
    </xf>
    <xf numFmtId="190" fontId="18" fillId="34" borderId="28" xfId="75" applyNumberFormat="1" applyFont="1" applyFill="1" applyBorder="1" applyAlignment="1" applyProtection="1">
      <alignment vertical="center"/>
      <protection/>
    </xf>
    <xf numFmtId="190" fontId="18" fillId="34" borderId="27" xfId="75" applyNumberFormat="1" applyFont="1" applyFill="1" applyBorder="1" applyAlignment="1" applyProtection="1">
      <alignment horizontal="center" vertical="center"/>
      <protection/>
    </xf>
    <xf numFmtId="0" fontId="18" fillId="34" borderId="0" xfId="75" applyFont="1" applyFill="1" applyBorder="1" applyAlignment="1" applyProtection="1">
      <alignment vertical="center"/>
      <protection/>
    </xf>
    <xf numFmtId="0" fontId="18" fillId="34" borderId="24" xfId="75" applyFont="1" applyFill="1" applyBorder="1" applyAlignment="1" applyProtection="1">
      <alignment vertical="center"/>
      <protection/>
    </xf>
    <xf numFmtId="0" fontId="18" fillId="34" borderId="0" xfId="75" applyFont="1" applyFill="1" applyBorder="1" applyAlignment="1" applyProtection="1">
      <alignment horizontal="left" vertical="center"/>
      <protection/>
    </xf>
    <xf numFmtId="0" fontId="46" fillId="0" borderId="0" xfId="0" applyFont="1" applyAlignment="1">
      <alignment vertical="center"/>
    </xf>
    <xf numFmtId="190" fontId="18" fillId="34" borderId="28" xfId="75" applyNumberFormat="1" applyFont="1" applyFill="1" applyBorder="1" applyAlignment="1" applyProtection="1">
      <alignment horizontal="center" vertical="center"/>
      <protection/>
    </xf>
    <xf numFmtId="0" fontId="4" fillId="34" borderId="0" xfId="87" applyFont="1" applyFill="1" applyAlignment="1" applyProtection="1">
      <alignment horizontal="right" vertical="center"/>
      <protection/>
    </xf>
    <xf numFmtId="0" fontId="87" fillId="34" borderId="0" xfId="0" applyFont="1" applyFill="1" applyBorder="1" applyAlignment="1" applyProtection="1">
      <alignment horizontal="center" vertical="center"/>
      <protection/>
    </xf>
    <xf numFmtId="0" fontId="87" fillId="34" borderId="0" xfId="0" applyFont="1" applyFill="1" applyAlignment="1" applyProtection="1">
      <alignment horizontal="center" vertical="center"/>
      <protection/>
    </xf>
    <xf numFmtId="0" fontId="4" fillId="34" borderId="29" xfId="0" applyFont="1" applyFill="1" applyBorder="1" applyAlignment="1" applyProtection="1">
      <alignment vertical="center"/>
      <protection locked="0"/>
    </xf>
    <xf numFmtId="0" fontId="4" fillId="34" borderId="29" xfId="0" applyFont="1" applyFill="1" applyBorder="1" applyAlignment="1" applyProtection="1">
      <alignment vertical="center"/>
      <protection/>
    </xf>
    <xf numFmtId="37" fontId="4" fillId="34" borderId="29" xfId="0" applyNumberFormat="1" applyFont="1" applyFill="1" applyBorder="1" applyAlignment="1" applyProtection="1">
      <alignment vertical="center"/>
      <protection/>
    </xf>
    <xf numFmtId="164" fontId="4" fillId="34" borderId="16" xfId="0" applyNumberFormat="1" applyFont="1" applyFill="1" applyBorder="1" applyAlignment="1" applyProtection="1">
      <alignment vertical="center"/>
      <protection/>
    </xf>
    <xf numFmtId="37" fontId="4" fillId="34" borderId="16" xfId="0" applyNumberFormat="1" applyFont="1" applyFill="1" applyBorder="1" applyAlignment="1" applyProtection="1">
      <alignment horizontal="fill" vertical="center"/>
      <protection/>
    </xf>
    <xf numFmtId="37" fontId="4" fillId="34" borderId="16" xfId="0" applyNumberFormat="1" applyFont="1" applyFill="1" applyBorder="1" applyAlignment="1" applyProtection="1">
      <alignment vertical="center"/>
      <protection/>
    </xf>
    <xf numFmtId="0" fontId="0" fillId="0" borderId="0" xfId="75">
      <alignment/>
      <protection/>
    </xf>
    <xf numFmtId="37" fontId="4" fillId="34" borderId="15" xfId="75" applyNumberFormat="1" applyFont="1" applyFill="1" applyBorder="1" applyAlignment="1" applyProtection="1">
      <alignment horizontal="center"/>
      <protection/>
    </xf>
    <xf numFmtId="37" fontId="4" fillId="34" borderId="16" xfId="75" applyNumberFormat="1" applyFont="1" applyFill="1" applyBorder="1" applyAlignment="1" applyProtection="1">
      <alignment horizontal="center"/>
      <protection/>
    </xf>
    <xf numFmtId="0" fontId="4" fillId="34" borderId="0" xfId="75" applyFont="1" applyFill="1" applyBorder="1" applyAlignment="1" applyProtection="1">
      <alignment vertical="center"/>
      <protection/>
    </xf>
    <xf numFmtId="0" fontId="4" fillId="34" borderId="28" xfId="75" applyFont="1" applyFill="1" applyBorder="1" applyAlignment="1" applyProtection="1">
      <alignment vertical="center"/>
      <protection/>
    </xf>
    <xf numFmtId="0" fontId="4" fillId="34" borderId="24" xfId="75" applyFont="1" applyFill="1" applyBorder="1" applyAlignment="1" applyProtection="1">
      <alignment vertical="center"/>
      <protection/>
    </xf>
    <xf numFmtId="0" fontId="4" fillId="0" borderId="0" xfId="75" applyFont="1" applyFill="1" applyBorder="1" applyAlignment="1" applyProtection="1">
      <alignment vertical="center"/>
      <protection/>
    </xf>
    <xf numFmtId="0" fontId="18" fillId="41" borderId="28" xfId="84" applyFont="1" applyFill="1" applyBorder="1" applyProtection="1">
      <alignment/>
      <protection/>
    </xf>
    <xf numFmtId="0" fontId="4" fillId="41" borderId="0" xfId="84" applyFont="1" applyFill="1" applyBorder="1" applyProtection="1">
      <alignment/>
      <protection/>
    </xf>
    <xf numFmtId="190" fontId="4" fillId="41" borderId="24" xfId="84" applyNumberFormat="1" applyFont="1" applyFill="1" applyBorder="1" applyAlignment="1" applyProtection="1">
      <alignment horizontal="center"/>
      <protection/>
    </xf>
    <xf numFmtId="0" fontId="4" fillId="41" borderId="27" xfId="84" applyFont="1" applyFill="1" applyBorder="1" applyProtection="1">
      <alignment/>
      <protection/>
    </xf>
    <xf numFmtId="0" fontId="4" fillId="41" borderId="17" xfId="84" applyFont="1" applyFill="1" applyBorder="1" applyProtection="1">
      <alignment/>
      <protection/>
    </xf>
    <xf numFmtId="190" fontId="4" fillId="42" borderId="19" xfId="84" applyNumberFormat="1" applyFont="1" applyFill="1" applyBorder="1" applyAlignment="1" applyProtection="1">
      <alignment horizontal="center"/>
      <protection/>
    </xf>
    <xf numFmtId="0" fontId="4" fillId="0" borderId="0" xfId="84" applyFont="1" applyFill="1" applyBorder="1" applyProtection="1">
      <alignment/>
      <protection/>
    </xf>
    <xf numFmtId="0" fontId="4" fillId="41" borderId="28" xfId="84" applyFont="1" applyFill="1" applyBorder="1" applyProtection="1">
      <alignment/>
      <protection/>
    </xf>
    <xf numFmtId="0" fontId="4" fillId="41" borderId="24" xfId="84" applyFont="1" applyFill="1" applyBorder="1" applyProtection="1">
      <alignment/>
      <protection/>
    </xf>
    <xf numFmtId="183" fontId="4" fillId="41" borderId="24" xfId="84" applyNumberFormat="1" applyFont="1" applyFill="1" applyBorder="1" applyAlignment="1" applyProtection="1">
      <alignment horizontal="center"/>
      <protection/>
    </xf>
    <xf numFmtId="0" fontId="4" fillId="42" borderId="28" xfId="84" applyFont="1" applyFill="1" applyBorder="1" applyProtection="1">
      <alignment/>
      <protection/>
    </xf>
    <xf numFmtId="0" fontId="4" fillId="42" borderId="0" xfId="84" applyFont="1" applyFill="1" applyBorder="1" applyProtection="1">
      <alignment/>
      <protection/>
    </xf>
    <xf numFmtId="0" fontId="4" fillId="42" borderId="27" xfId="84" applyFont="1" applyFill="1" applyBorder="1" applyProtection="1">
      <alignment/>
      <protection/>
    </xf>
    <xf numFmtId="0" fontId="4" fillId="42" borderId="17" xfId="84" applyFont="1" applyFill="1" applyBorder="1" applyProtection="1">
      <alignment/>
      <protection/>
    </xf>
    <xf numFmtId="0" fontId="4" fillId="0" borderId="0" xfId="84" applyFont="1" applyProtection="1">
      <alignment/>
      <protection/>
    </xf>
    <xf numFmtId="190" fontId="4" fillId="41" borderId="19" xfId="84" applyNumberFormat="1" applyFont="1" applyFill="1" applyBorder="1" applyAlignment="1" applyProtection="1">
      <alignment horizontal="center"/>
      <protection/>
    </xf>
    <xf numFmtId="184" fontId="4" fillId="43" borderId="24" xfId="84" applyNumberFormat="1" applyFont="1" applyFill="1" applyBorder="1" applyAlignment="1" applyProtection="1">
      <alignment horizontal="center"/>
      <protection locked="0"/>
    </xf>
    <xf numFmtId="37" fontId="4" fillId="44" borderId="18" xfId="0" applyNumberFormat="1" applyFont="1" applyFill="1" applyBorder="1" applyAlignment="1" applyProtection="1">
      <alignment vertical="center"/>
      <protection/>
    </xf>
    <xf numFmtId="0" fontId="34" fillId="0" borderId="0" xfId="0" applyFont="1" applyAlignment="1">
      <alignment vertical="center"/>
    </xf>
    <xf numFmtId="0" fontId="48" fillId="0" borderId="0" xfId="0" applyFont="1" applyBorder="1" applyAlignment="1">
      <alignment horizontal="centerContinuous"/>
    </xf>
    <xf numFmtId="0" fontId="48" fillId="0" borderId="0" xfId="0" applyFont="1" applyBorder="1" applyAlignment="1">
      <alignment/>
    </xf>
    <xf numFmtId="0" fontId="48" fillId="0" borderId="0" xfId="0" applyFont="1" applyAlignment="1">
      <alignment/>
    </xf>
    <xf numFmtId="0" fontId="4" fillId="0" borderId="0" xfId="75" applyFont="1" applyAlignment="1">
      <alignment vertical="center"/>
      <protection/>
    </xf>
    <xf numFmtId="0" fontId="4" fillId="0" borderId="0" xfId="87" applyFont="1" applyAlignment="1">
      <alignment vertical="center"/>
      <protection/>
    </xf>
    <xf numFmtId="0" fontId="4" fillId="0" borderId="0" xfId="75" applyFont="1">
      <alignment/>
      <protection/>
    </xf>
    <xf numFmtId="0" fontId="49" fillId="0" borderId="0" xfId="75" applyFont="1" applyAlignment="1">
      <alignment horizontal="center"/>
      <protection/>
    </xf>
    <xf numFmtId="0" fontId="4" fillId="0" borderId="0" xfId="75" applyFont="1" applyAlignment="1">
      <alignment wrapText="1"/>
      <protection/>
    </xf>
    <xf numFmtId="0" fontId="50" fillId="0" borderId="0" xfId="65" applyFont="1" applyAlignment="1" applyProtection="1">
      <alignment/>
      <protection/>
    </xf>
    <xf numFmtId="0" fontId="8" fillId="34" borderId="16" xfId="0" applyNumberFormat="1" applyFont="1" applyFill="1" applyBorder="1" applyAlignment="1" applyProtection="1">
      <alignment horizontal="center" vertical="center"/>
      <protection/>
    </xf>
    <xf numFmtId="1" fontId="8" fillId="34" borderId="15" xfId="0" applyNumberFormat="1" applyFont="1" applyFill="1" applyBorder="1" applyAlignment="1" applyProtection="1">
      <alignment horizontal="center" vertical="center"/>
      <protection/>
    </xf>
    <xf numFmtId="0" fontId="4" fillId="0" borderId="0" xfId="87" applyFont="1" applyAlignment="1">
      <alignment vertical="center" wrapText="1"/>
      <protection/>
    </xf>
    <xf numFmtId="192" fontId="18" fillId="34" borderId="10" xfId="0" applyNumberFormat="1" applyFont="1" applyFill="1" applyBorder="1" applyAlignment="1" applyProtection="1">
      <alignment vertical="center"/>
      <protection/>
    </xf>
    <xf numFmtId="0" fontId="88" fillId="41" borderId="0" xfId="0" applyFont="1" applyFill="1" applyAlignment="1">
      <alignment horizontal="center"/>
    </xf>
    <xf numFmtId="0" fontId="88" fillId="41" borderId="0" xfId="0" applyFont="1" applyFill="1" applyAlignment="1">
      <alignment/>
    </xf>
    <xf numFmtId="0" fontId="88" fillId="41" borderId="30" xfId="0" applyFont="1" applyFill="1" applyBorder="1" applyAlignment="1">
      <alignment/>
    </xf>
    <xf numFmtId="0" fontId="89" fillId="0" borderId="0" xfId="0" applyFont="1" applyBorder="1" applyAlignment="1">
      <alignment/>
    </xf>
    <xf numFmtId="0" fontId="88" fillId="0" borderId="0" xfId="0" applyFont="1" applyBorder="1" applyAlignment="1">
      <alignment horizontal="centerContinuous"/>
    </xf>
    <xf numFmtId="0" fontId="88" fillId="41" borderId="0" xfId="0" applyFont="1" applyFill="1" applyAlignment="1">
      <alignment horizontal="center" wrapText="1"/>
    </xf>
    <xf numFmtId="0" fontId="88" fillId="41" borderId="30" xfId="0" applyFont="1" applyFill="1" applyBorder="1" applyAlignment="1">
      <alignment/>
    </xf>
    <xf numFmtId="0" fontId="88" fillId="41" borderId="31" xfId="0" applyFont="1" applyFill="1" applyBorder="1" applyAlignment="1">
      <alignment horizontal="centerContinuous" vertical="center"/>
    </xf>
    <xf numFmtId="190" fontId="88" fillId="41" borderId="0" xfId="0" applyNumberFormat="1" applyFont="1" applyFill="1" applyBorder="1" applyAlignment="1">
      <alignment horizontal="centerContinuous" vertical="center"/>
    </xf>
    <xf numFmtId="0" fontId="88" fillId="41" borderId="0" xfId="0" applyFont="1" applyFill="1" applyBorder="1" applyAlignment="1">
      <alignment horizontal="centerContinuous" vertical="center"/>
    </xf>
    <xf numFmtId="184" fontId="88" fillId="41" borderId="0" xfId="0" applyNumberFormat="1" applyFont="1" applyFill="1" applyBorder="1" applyAlignment="1" applyProtection="1">
      <alignment horizontal="centerContinuous" vertical="center"/>
      <protection locked="0"/>
    </xf>
    <xf numFmtId="191" fontId="88" fillId="41" borderId="0" xfId="0" applyNumberFormat="1" applyFont="1" applyFill="1" applyBorder="1" applyAlignment="1">
      <alignment horizontal="centerContinuous" vertical="center"/>
    </xf>
    <xf numFmtId="0" fontId="88" fillId="41" borderId="32" xfId="0" applyFont="1" applyFill="1" applyBorder="1" applyAlignment="1">
      <alignment horizontal="centerContinuous" vertical="center"/>
    </xf>
    <xf numFmtId="0" fontId="88" fillId="41" borderId="31" xfId="0" applyFont="1" applyFill="1" applyBorder="1" applyAlignment="1">
      <alignment horizontal="centerContinuous"/>
    </xf>
    <xf numFmtId="190" fontId="88" fillId="41" borderId="0" xfId="0" applyNumberFormat="1" applyFont="1" applyFill="1" applyBorder="1" applyAlignment="1">
      <alignment horizontal="centerContinuous"/>
    </xf>
    <xf numFmtId="0" fontId="88" fillId="41" borderId="0" xfId="0" applyFont="1" applyFill="1" applyBorder="1" applyAlignment="1">
      <alignment horizontal="centerContinuous"/>
    </xf>
    <xf numFmtId="184" fontId="88" fillId="41" borderId="0" xfId="0" applyNumberFormat="1" applyFont="1" applyFill="1" applyBorder="1" applyAlignment="1" applyProtection="1">
      <alignment horizontal="centerContinuous"/>
      <protection locked="0"/>
    </xf>
    <xf numFmtId="191" fontId="88" fillId="41" borderId="0" xfId="0" applyNumberFormat="1" applyFont="1" applyFill="1" applyBorder="1" applyAlignment="1">
      <alignment horizontal="centerContinuous"/>
    </xf>
    <xf numFmtId="0" fontId="88" fillId="41" borderId="32" xfId="0" applyFont="1" applyFill="1" applyBorder="1" applyAlignment="1">
      <alignment horizontal="centerContinuous"/>
    </xf>
    <xf numFmtId="0" fontId="48" fillId="45" borderId="0" xfId="0" applyFont="1" applyFill="1" applyAlignment="1">
      <alignment/>
    </xf>
    <xf numFmtId="0" fontId="48" fillId="41" borderId="0" xfId="0" applyFont="1" applyFill="1" applyAlignment="1">
      <alignment/>
    </xf>
    <xf numFmtId="0" fontId="88" fillId="45" borderId="0" xfId="0" applyFont="1" applyFill="1" applyAlignment="1">
      <alignment horizontal="center" wrapText="1"/>
    </xf>
    <xf numFmtId="0" fontId="48" fillId="41" borderId="0" xfId="0" applyFont="1" applyFill="1" applyAlignment="1">
      <alignment horizontal="center"/>
    </xf>
    <xf numFmtId="190" fontId="48" fillId="41" borderId="0" xfId="0" applyNumberFormat="1" applyFont="1" applyFill="1" applyAlignment="1">
      <alignment horizontal="center"/>
    </xf>
    <xf numFmtId="0" fontId="48" fillId="41" borderId="33" xfId="0" applyFont="1" applyFill="1" applyBorder="1" applyAlignment="1">
      <alignment/>
    </xf>
    <xf numFmtId="0" fontId="48" fillId="41" borderId="34" xfId="0" applyFont="1" applyFill="1" applyBorder="1" applyAlignment="1">
      <alignment/>
    </xf>
    <xf numFmtId="190" fontId="48" fillId="41" borderId="35" xfId="0" applyNumberFormat="1" applyFont="1" applyFill="1" applyBorder="1" applyAlignment="1">
      <alignment/>
    </xf>
    <xf numFmtId="0" fontId="48" fillId="41" borderId="0" xfId="0" applyFont="1" applyFill="1" applyBorder="1" applyAlignment="1">
      <alignment/>
    </xf>
    <xf numFmtId="0" fontId="48" fillId="41" borderId="0" xfId="0" applyFont="1" applyFill="1" applyBorder="1" applyAlignment="1">
      <alignment horizontal="center"/>
    </xf>
    <xf numFmtId="190" fontId="48" fillId="41" borderId="17" xfId="0" applyNumberFormat="1" applyFont="1" applyFill="1" applyBorder="1" applyAlignment="1">
      <alignment horizontal="center"/>
    </xf>
    <xf numFmtId="0" fontId="48" fillId="41" borderId="32" xfId="0" applyFont="1" applyFill="1" applyBorder="1" applyAlignment="1">
      <alignment/>
    </xf>
    <xf numFmtId="0" fontId="48" fillId="41" borderId="36" xfId="0" applyFont="1" applyFill="1" applyBorder="1" applyAlignment="1">
      <alignment/>
    </xf>
    <xf numFmtId="0" fontId="48" fillId="41" borderId="37" xfId="0" applyFont="1" applyFill="1" applyBorder="1" applyAlignment="1">
      <alignment/>
    </xf>
    <xf numFmtId="0" fontId="48" fillId="41" borderId="38" xfId="0" applyFont="1" applyFill="1" applyBorder="1" applyAlignment="1">
      <alignment/>
    </xf>
    <xf numFmtId="190" fontId="48" fillId="41" borderId="0" xfId="0" applyNumberFormat="1" applyFont="1" applyFill="1" applyAlignment="1">
      <alignment/>
    </xf>
    <xf numFmtId="0" fontId="48" fillId="41" borderId="30" xfId="0" applyFont="1" applyFill="1" applyBorder="1" applyAlignment="1">
      <alignment/>
    </xf>
    <xf numFmtId="0" fontId="48" fillId="41" borderId="31" xfId="0" applyFont="1" applyFill="1" applyBorder="1" applyAlignment="1">
      <alignment/>
    </xf>
    <xf numFmtId="190" fontId="48" fillId="43" borderId="35" xfId="0" applyNumberFormat="1" applyFont="1" applyFill="1" applyBorder="1" applyAlignment="1" applyProtection="1">
      <alignment horizontal="center"/>
      <protection locked="0"/>
    </xf>
    <xf numFmtId="184" fontId="48" fillId="41" borderId="0" xfId="0" applyNumberFormat="1" applyFont="1" applyFill="1" applyBorder="1" applyAlignment="1">
      <alignment horizontal="center"/>
    </xf>
    <xf numFmtId="190" fontId="48" fillId="0" borderId="0" xfId="0" applyNumberFormat="1" applyFont="1" applyAlignment="1">
      <alignment/>
    </xf>
    <xf numFmtId="0" fontId="48" fillId="45" borderId="0" xfId="0" applyFont="1" applyFill="1" applyBorder="1" applyAlignment="1">
      <alignment/>
    </xf>
    <xf numFmtId="190" fontId="48" fillId="41" borderId="0" xfId="0" applyNumberFormat="1" applyFont="1" applyFill="1" applyBorder="1" applyAlignment="1">
      <alignment horizontal="center"/>
    </xf>
    <xf numFmtId="0" fontId="48" fillId="41" borderId="39" xfId="0" applyFont="1" applyFill="1" applyBorder="1" applyAlignment="1">
      <alignment/>
    </xf>
    <xf numFmtId="0" fontId="48" fillId="41" borderId="22" xfId="0" applyFont="1" applyFill="1" applyBorder="1" applyAlignment="1">
      <alignment/>
    </xf>
    <xf numFmtId="0" fontId="48" fillId="41" borderId="22" xfId="0" applyFont="1" applyFill="1" applyBorder="1" applyAlignment="1">
      <alignment horizontal="center"/>
    </xf>
    <xf numFmtId="0" fontId="48" fillId="41" borderId="40" xfId="0" applyFont="1" applyFill="1" applyBorder="1" applyAlignment="1">
      <alignment/>
    </xf>
    <xf numFmtId="191" fontId="48" fillId="41" borderId="0" xfId="0" applyNumberFormat="1" applyFont="1" applyFill="1" applyBorder="1" applyAlignment="1">
      <alignment horizontal="center"/>
    </xf>
    <xf numFmtId="5" fontId="48" fillId="41" borderId="37" xfId="0" applyNumberFormat="1" applyFont="1" applyFill="1" applyBorder="1" applyAlignment="1">
      <alignment horizontal="center"/>
    </xf>
    <xf numFmtId="0" fontId="48" fillId="41" borderId="37" xfId="0" applyFont="1" applyFill="1" applyBorder="1" applyAlignment="1">
      <alignment horizontal="center"/>
    </xf>
    <xf numFmtId="184" fontId="48" fillId="41" borderId="37" xfId="0" applyNumberFormat="1" applyFont="1" applyFill="1" applyBorder="1" applyAlignment="1">
      <alignment horizontal="center"/>
    </xf>
    <xf numFmtId="191" fontId="48" fillId="41" borderId="37" xfId="0" applyNumberFormat="1" applyFont="1" applyFill="1" applyBorder="1" applyAlignment="1">
      <alignment horizontal="center"/>
    </xf>
    <xf numFmtId="0" fontId="48" fillId="41" borderId="0" xfId="0" applyFont="1" applyFill="1" applyAlignment="1">
      <alignment horizontal="center" wrapText="1"/>
    </xf>
    <xf numFmtId="0" fontId="48" fillId="41" borderId="33" xfId="0" applyFont="1" applyFill="1" applyBorder="1" applyAlignment="1">
      <alignment/>
    </xf>
    <xf numFmtId="0" fontId="48" fillId="41" borderId="34" xfId="0" applyFont="1" applyFill="1" applyBorder="1" applyAlignment="1">
      <alignment/>
    </xf>
    <xf numFmtId="0" fontId="48" fillId="41" borderId="31" xfId="0" applyFont="1" applyFill="1" applyBorder="1" applyAlignment="1">
      <alignment/>
    </xf>
    <xf numFmtId="0" fontId="48" fillId="41" borderId="0" xfId="0" applyFont="1" applyFill="1" applyBorder="1" applyAlignment="1">
      <alignment/>
    </xf>
    <xf numFmtId="0" fontId="48" fillId="41" borderId="32" xfId="0" applyFont="1" applyFill="1" applyBorder="1" applyAlignment="1">
      <alignment/>
    </xf>
    <xf numFmtId="0" fontId="48" fillId="41" borderId="39" xfId="0" applyFont="1" applyFill="1" applyBorder="1" applyAlignment="1">
      <alignment/>
    </xf>
    <xf numFmtId="0" fontId="48" fillId="41" borderId="22" xfId="0" applyFont="1" applyFill="1" applyBorder="1" applyAlignment="1">
      <alignment/>
    </xf>
    <xf numFmtId="0" fontId="48" fillId="41" borderId="40" xfId="0" applyFont="1" applyFill="1" applyBorder="1" applyAlignment="1">
      <alignment/>
    </xf>
    <xf numFmtId="183" fontId="48" fillId="41" borderId="0" xfId="0" applyNumberFormat="1" applyFont="1" applyFill="1" applyBorder="1" applyAlignment="1">
      <alignment horizontal="center"/>
    </xf>
    <xf numFmtId="0" fontId="48" fillId="41" borderId="36" xfId="0" applyFont="1" applyFill="1" applyBorder="1" applyAlignment="1">
      <alignment/>
    </xf>
    <xf numFmtId="0" fontId="48" fillId="41" borderId="38" xfId="0" applyFont="1" applyFill="1" applyBorder="1" applyAlignment="1">
      <alignment/>
    </xf>
    <xf numFmtId="5" fontId="48" fillId="41" borderId="0" xfId="0" applyNumberFormat="1" applyFont="1" applyFill="1" applyBorder="1" applyAlignment="1">
      <alignment horizontal="center"/>
    </xf>
    <xf numFmtId="0" fontId="48" fillId="45" borderId="0" xfId="0" applyFont="1" applyFill="1" applyAlignment="1">
      <alignment/>
    </xf>
    <xf numFmtId="184" fontId="48" fillId="43" borderId="17" xfId="0" applyNumberFormat="1" applyFont="1" applyFill="1" applyBorder="1" applyAlignment="1" applyProtection="1">
      <alignment horizontal="center"/>
      <protection locked="0"/>
    </xf>
    <xf numFmtId="191" fontId="48" fillId="41" borderId="0" xfId="0" applyNumberFormat="1" applyFont="1" applyFill="1" applyBorder="1" applyAlignment="1">
      <alignment/>
    </xf>
    <xf numFmtId="190" fontId="48" fillId="41" borderId="37" xfId="0" applyNumberFormat="1" applyFont="1" applyFill="1" applyBorder="1" applyAlignment="1">
      <alignment horizontal="center"/>
    </xf>
    <xf numFmtId="184" fontId="48" fillId="41" borderId="37" xfId="0" applyNumberFormat="1" applyFont="1" applyFill="1" applyBorder="1" applyAlignment="1" applyProtection="1">
      <alignment horizontal="center"/>
      <protection locked="0"/>
    </xf>
    <xf numFmtId="191" fontId="48" fillId="41" borderId="37" xfId="0" applyNumberFormat="1" applyFont="1" applyFill="1" applyBorder="1" applyAlignment="1">
      <alignment/>
    </xf>
    <xf numFmtId="184" fontId="48" fillId="41" borderId="0" xfId="0" applyNumberFormat="1" applyFont="1" applyFill="1" applyBorder="1" applyAlignment="1" applyProtection="1">
      <alignment horizontal="center"/>
      <protection locked="0"/>
    </xf>
    <xf numFmtId="190" fontId="48" fillId="41" borderId="33" xfId="0" applyNumberFormat="1" applyFont="1" applyFill="1" applyBorder="1" applyAlignment="1">
      <alignment horizontal="center"/>
    </xf>
    <xf numFmtId="0" fontId="48" fillId="41" borderId="33" xfId="0" applyFont="1" applyFill="1" applyBorder="1" applyAlignment="1">
      <alignment horizontal="center"/>
    </xf>
    <xf numFmtId="184" fontId="48" fillId="41" borderId="33" xfId="0" applyNumberFormat="1" applyFont="1" applyFill="1" applyBorder="1" applyAlignment="1" applyProtection="1">
      <alignment horizontal="center"/>
      <protection locked="0"/>
    </xf>
    <xf numFmtId="191" fontId="48" fillId="41" borderId="33" xfId="0" applyNumberFormat="1" applyFont="1" applyFill="1" applyBorder="1" applyAlignment="1">
      <alignment/>
    </xf>
    <xf numFmtId="190" fontId="48" fillId="43" borderId="17" xfId="0" applyNumberFormat="1" applyFont="1" applyFill="1" applyBorder="1" applyAlignment="1" applyProtection="1">
      <alignment horizontal="center"/>
      <protection locked="0"/>
    </xf>
    <xf numFmtId="190" fontId="48" fillId="41" borderId="0" xfId="0" applyNumberFormat="1" applyFont="1" applyFill="1" applyBorder="1" applyAlignment="1" applyProtection="1">
      <alignment horizontal="center"/>
      <protection locked="0"/>
    </xf>
    <xf numFmtId="0" fontId="48" fillId="46" borderId="0" xfId="0" applyFont="1" applyFill="1" applyAlignment="1">
      <alignment/>
    </xf>
    <xf numFmtId="190" fontId="4" fillId="42" borderId="24" xfId="84" applyNumberFormat="1" applyFont="1" applyFill="1" applyBorder="1" applyAlignment="1" applyProtection="1">
      <alignment horizontal="center"/>
      <protection/>
    </xf>
    <xf numFmtId="0" fontId="4" fillId="42" borderId="27" xfId="0" applyFont="1" applyFill="1" applyBorder="1" applyAlignment="1">
      <alignment vertical="center"/>
    </xf>
    <xf numFmtId="0" fontId="4" fillId="42" borderId="17" xfId="0" applyFont="1" applyFill="1" applyBorder="1" applyAlignment="1">
      <alignment vertical="center"/>
    </xf>
    <xf numFmtId="190" fontId="4" fillId="42" borderId="19" xfId="0" applyNumberFormat="1" applyFont="1" applyFill="1" applyBorder="1" applyAlignment="1">
      <alignment horizontal="center" vertical="center"/>
    </xf>
    <xf numFmtId="0" fontId="4" fillId="33" borderId="10" xfId="436" applyFont="1" applyFill="1" applyBorder="1" applyAlignment="1" applyProtection="1">
      <alignment horizontal="left"/>
      <protection locked="0"/>
    </xf>
    <xf numFmtId="0" fontId="90" fillId="0" borderId="0" xfId="0" applyFont="1" applyAlignment="1">
      <alignment/>
    </xf>
    <xf numFmtId="0" fontId="91" fillId="34" borderId="0" xfId="0" applyFont="1" applyFill="1" applyAlignment="1">
      <alignment/>
    </xf>
    <xf numFmtId="0" fontId="92" fillId="0" borderId="0" xfId="0" applyFont="1" applyAlignment="1">
      <alignment vertical="center"/>
    </xf>
    <xf numFmtId="0" fontId="4" fillId="47" borderId="10" xfId="0" applyFont="1" applyFill="1" applyBorder="1" applyAlignment="1" applyProtection="1">
      <alignment horizontal="center" vertical="center"/>
      <protection locked="0"/>
    </xf>
    <xf numFmtId="0" fontId="4" fillId="33" borderId="10" xfId="0" applyNumberFormat="1" applyFont="1" applyFill="1" applyBorder="1" applyAlignment="1" applyProtection="1">
      <alignment horizontal="center" vertical="center"/>
      <protection locked="0"/>
    </xf>
    <xf numFmtId="17" fontId="4" fillId="33" borderId="10" xfId="0" applyNumberFormat="1" applyFont="1" applyFill="1" applyBorder="1" applyAlignment="1" applyProtection="1">
      <alignment horizontal="center" vertical="center"/>
      <protection locked="0"/>
    </xf>
    <xf numFmtId="0" fontId="4" fillId="47" borderId="10" xfId="0" applyFont="1" applyFill="1" applyBorder="1" applyAlignment="1" applyProtection="1">
      <alignment horizontal="left" vertical="center"/>
      <protection locked="0"/>
    </xf>
    <xf numFmtId="3" fontId="4" fillId="33" borderId="10" xfId="0" applyNumberFormat="1" applyFont="1" applyFill="1" applyBorder="1" applyAlignment="1" applyProtection="1">
      <alignment vertical="center" wrapText="1"/>
      <protection locked="0"/>
    </xf>
    <xf numFmtId="3" fontId="4" fillId="35" borderId="14" xfId="0" applyNumberFormat="1" applyFont="1" applyFill="1" applyBorder="1" applyAlignment="1" applyProtection="1">
      <alignment vertical="center"/>
      <protection/>
    </xf>
    <xf numFmtId="164" fontId="4" fillId="33" borderId="10" xfId="436" applyNumberFormat="1" applyFont="1" applyFill="1" applyBorder="1" applyProtection="1">
      <alignment/>
      <protection locked="0"/>
    </xf>
    <xf numFmtId="0" fontId="4" fillId="47" borderId="10" xfId="0" applyFont="1" applyFill="1" applyBorder="1" applyAlignment="1" applyProtection="1">
      <alignment vertical="center"/>
      <protection locked="0"/>
    </xf>
    <xf numFmtId="164" fontId="4" fillId="47" borderId="10" xfId="0" applyNumberFormat="1" applyFont="1" applyFill="1" applyBorder="1" applyAlignment="1" applyProtection="1">
      <alignment vertical="center"/>
      <protection locked="0"/>
    </xf>
    <xf numFmtId="0" fontId="4" fillId="33" borderId="10" xfId="0" applyFont="1" applyFill="1" applyBorder="1" applyAlignment="1" applyProtection="1">
      <alignment horizontal="center" vertical="center"/>
      <protection locked="0"/>
    </xf>
    <xf numFmtId="37" fontId="4" fillId="33" borderId="12" xfId="435" applyNumberFormat="1" applyFont="1" applyFill="1" applyBorder="1" applyProtection="1">
      <alignment/>
      <protection locked="0"/>
    </xf>
    <xf numFmtId="0" fontId="4" fillId="33" borderId="10" xfId="75" applyFont="1" applyFill="1" applyBorder="1" applyAlignment="1" applyProtection="1">
      <alignment horizontal="left" vertical="center"/>
      <protection locked="0"/>
    </xf>
    <xf numFmtId="0" fontId="4" fillId="33" borderId="12" xfId="75" applyFont="1" applyFill="1" applyBorder="1" applyAlignment="1" applyProtection="1">
      <alignment vertical="center"/>
      <protection locked="0"/>
    </xf>
    <xf numFmtId="37" fontId="4" fillId="33" borderId="10" xfId="75" applyNumberFormat="1" applyFont="1" applyFill="1" applyBorder="1" applyAlignment="1" applyProtection="1">
      <alignment vertical="center"/>
      <protection locked="0"/>
    </xf>
    <xf numFmtId="0" fontId="4" fillId="33" borderId="12" xfId="75" applyFont="1" applyFill="1" applyBorder="1" applyAlignment="1" applyProtection="1">
      <alignment horizontal="left"/>
      <protection/>
    </xf>
    <xf numFmtId="37" fontId="4" fillId="33" borderId="12" xfId="75" applyNumberFormat="1" applyFont="1" applyFill="1" applyBorder="1" applyProtection="1">
      <alignment/>
      <protection locked="0"/>
    </xf>
    <xf numFmtId="37" fontId="4" fillId="33" borderId="12" xfId="75" applyNumberFormat="1" applyFont="1" applyFill="1" applyBorder="1" applyProtection="1">
      <alignment/>
      <protection/>
    </xf>
    <xf numFmtId="0" fontId="4" fillId="33" borderId="12" xfId="75" applyFont="1" applyFill="1" applyBorder="1" applyProtection="1">
      <alignment/>
      <protection locked="0"/>
    </xf>
    <xf numFmtId="0" fontId="4" fillId="33" borderId="12" xfId="127" applyFont="1" applyFill="1" applyBorder="1" applyProtection="1">
      <alignment/>
      <protection locked="0"/>
    </xf>
    <xf numFmtId="0" fontId="4" fillId="33" borderId="12" xfId="341" applyFont="1" applyFill="1" applyBorder="1" applyProtection="1">
      <alignment/>
      <protection locked="0"/>
    </xf>
    <xf numFmtId="0" fontId="4" fillId="33" borderId="12" xfId="136" applyFont="1" applyFill="1" applyBorder="1" applyProtection="1">
      <alignment/>
      <protection locked="0"/>
    </xf>
    <xf numFmtId="0" fontId="4" fillId="33" borderId="12" xfId="344" applyFont="1" applyFill="1" applyBorder="1" applyProtection="1">
      <alignment/>
      <protection locked="0"/>
    </xf>
    <xf numFmtId="0" fontId="4" fillId="33" borderId="12" xfId="345" applyFont="1" applyFill="1" applyBorder="1" applyProtection="1">
      <alignment/>
      <protection locked="0"/>
    </xf>
    <xf numFmtId="0" fontId="4" fillId="33" borderId="12" xfId="348" applyFont="1" applyFill="1" applyBorder="1" applyProtection="1">
      <alignment/>
      <protection locked="0"/>
    </xf>
    <xf numFmtId="0" fontId="4" fillId="33" borderId="12" xfId="351" applyFont="1" applyFill="1" applyBorder="1" applyProtection="1">
      <alignment/>
      <protection locked="0"/>
    </xf>
    <xf numFmtId="0" fontId="4" fillId="33" borderId="12" xfId="354" applyFont="1" applyFill="1" applyBorder="1" applyProtection="1">
      <alignment/>
      <protection locked="0"/>
    </xf>
    <xf numFmtId="0" fontId="4" fillId="33" borderId="12" xfId="357" applyFont="1" applyFill="1" applyBorder="1" applyAlignment="1" applyProtection="1">
      <alignment horizontal="left"/>
      <protection locked="0"/>
    </xf>
    <xf numFmtId="0" fontId="4" fillId="33" borderId="12" xfId="357" applyFont="1" applyFill="1" applyBorder="1" applyProtection="1">
      <alignment/>
      <protection locked="0"/>
    </xf>
    <xf numFmtId="0" fontId="4" fillId="33" borderId="12" xfId="358" applyFont="1" applyFill="1" applyBorder="1" applyProtection="1">
      <alignment/>
      <protection locked="0"/>
    </xf>
    <xf numFmtId="0" fontId="4" fillId="0" borderId="0" xfId="0" applyFont="1" applyFill="1" applyBorder="1" applyAlignment="1">
      <alignment/>
    </xf>
    <xf numFmtId="0" fontId="4" fillId="0" borderId="0" xfId="0" applyFont="1" applyFill="1" applyBorder="1" applyAlignment="1" applyProtection="1">
      <alignment horizontal="centerContinuous"/>
      <protection locked="0"/>
    </xf>
    <xf numFmtId="37" fontId="4" fillId="0" borderId="0" xfId="0" applyNumberFormat="1" applyFont="1" applyFill="1" applyBorder="1" applyAlignment="1" applyProtection="1">
      <alignment horizontal="fill"/>
      <protection locked="0"/>
    </xf>
    <xf numFmtId="0" fontId="4" fillId="0" borderId="0" xfId="0" applyFont="1" applyFill="1" applyBorder="1" applyAlignment="1" applyProtection="1">
      <alignment/>
      <protection locked="0"/>
    </xf>
    <xf numFmtId="37" fontId="4" fillId="0" borderId="0" xfId="0" applyNumberFormat="1" applyFont="1" applyFill="1" applyBorder="1" applyAlignment="1" applyProtection="1">
      <alignment horizontal="left"/>
      <protection locked="0"/>
    </xf>
    <xf numFmtId="0" fontId="4" fillId="33" borderId="12" xfId="360" applyFont="1" applyFill="1" applyBorder="1" applyProtection="1">
      <alignment/>
      <protection locked="0"/>
    </xf>
    <xf numFmtId="0" fontId="4" fillId="33" borderId="12" xfId="370" applyFont="1" applyFill="1" applyBorder="1" applyProtection="1">
      <alignment/>
      <protection locked="0"/>
    </xf>
    <xf numFmtId="0" fontId="4" fillId="33" borderId="12" xfId="371" applyFont="1" applyFill="1" applyBorder="1" applyProtection="1">
      <alignment/>
      <protection locked="0"/>
    </xf>
    <xf numFmtId="0" fontId="4" fillId="33" borderId="12" xfId="372" applyFont="1" applyFill="1" applyBorder="1" applyProtection="1">
      <alignment/>
      <protection locked="0"/>
    </xf>
    <xf numFmtId="0" fontId="4" fillId="33" borderId="12" xfId="373" applyFont="1" applyFill="1" applyBorder="1" applyProtection="1">
      <alignment/>
      <protection locked="0"/>
    </xf>
    <xf numFmtId="0" fontId="4" fillId="33" borderId="12" xfId="375" applyFont="1" applyFill="1" applyBorder="1" applyProtection="1">
      <alignment/>
      <protection locked="0"/>
    </xf>
    <xf numFmtId="0" fontId="4" fillId="33" borderId="12" xfId="377" applyFont="1" applyFill="1" applyBorder="1" applyProtection="1">
      <alignment/>
      <protection locked="0"/>
    </xf>
    <xf numFmtId="0" fontId="4" fillId="33" borderId="12" xfId="378" applyFont="1" applyFill="1" applyBorder="1" applyProtection="1">
      <alignment/>
      <protection locked="0"/>
    </xf>
    <xf numFmtId="0" fontId="4" fillId="33" borderId="12" xfId="387" applyFont="1" applyFill="1" applyBorder="1" applyProtection="1">
      <alignment/>
      <protection locked="0"/>
    </xf>
    <xf numFmtId="0" fontId="4" fillId="33" borderId="12" xfId="388" applyFont="1" applyFill="1" applyBorder="1" applyProtection="1">
      <alignment/>
      <protection locked="0"/>
    </xf>
    <xf numFmtId="0" fontId="4" fillId="33" borderId="12" xfId="390" applyFont="1" applyFill="1" applyBorder="1" applyProtection="1">
      <alignment/>
      <protection locked="0"/>
    </xf>
    <xf numFmtId="0" fontId="4" fillId="33" borderId="12" xfId="391" applyFont="1" applyFill="1" applyBorder="1" applyProtection="1">
      <alignment/>
      <protection locked="0"/>
    </xf>
    <xf numFmtId="0" fontId="4" fillId="33" borderId="12" xfId="392" applyFont="1" applyFill="1" applyBorder="1" applyProtection="1">
      <alignment/>
      <protection locked="0"/>
    </xf>
    <xf numFmtId="0" fontId="4" fillId="33" borderId="12" xfId="393" applyFont="1" applyFill="1" applyBorder="1" applyProtection="1">
      <alignment/>
      <protection locked="0"/>
    </xf>
    <xf numFmtId="0" fontId="4" fillId="33" borderId="12" xfId="394" applyFont="1" applyFill="1" applyBorder="1" applyProtection="1">
      <alignment/>
      <protection locked="0"/>
    </xf>
    <xf numFmtId="0" fontId="4" fillId="33" borderId="12" xfId="395" applyFont="1" applyFill="1" applyBorder="1" applyProtection="1">
      <alignment/>
      <protection locked="0"/>
    </xf>
    <xf numFmtId="0" fontId="4" fillId="33" borderId="12" xfId="401" applyFont="1" applyFill="1" applyBorder="1" applyAlignment="1" applyProtection="1">
      <alignment horizontal="left"/>
      <protection locked="0"/>
    </xf>
    <xf numFmtId="0" fontId="4" fillId="33" borderId="12" xfId="403" applyFont="1" applyFill="1" applyBorder="1" applyProtection="1">
      <alignment/>
      <protection locked="0"/>
    </xf>
    <xf numFmtId="0" fontId="4" fillId="33" borderId="12" xfId="404" applyFont="1" applyFill="1" applyBorder="1" applyProtection="1">
      <alignment/>
      <protection locked="0"/>
    </xf>
    <xf numFmtId="0" fontId="4" fillId="33" borderId="12" xfId="405" applyFont="1" applyFill="1" applyBorder="1" applyProtection="1">
      <alignment/>
      <protection locked="0"/>
    </xf>
    <xf numFmtId="0" fontId="4" fillId="33" borderId="12" xfId="406" applyFont="1" applyFill="1" applyBorder="1" applyProtection="1">
      <alignment/>
      <protection locked="0"/>
    </xf>
    <xf numFmtId="0" fontId="4" fillId="33" borderId="12" xfId="407" applyFont="1" applyFill="1" applyBorder="1" applyProtection="1">
      <alignment/>
      <protection locked="0"/>
    </xf>
    <xf numFmtId="0" fontId="4" fillId="33" borderId="12" xfId="408" applyFont="1" applyFill="1" applyBorder="1" applyProtection="1">
      <alignment/>
      <protection locked="0"/>
    </xf>
    <xf numFmtId="37" fontId="4" fillId="33" borderId="10" xfId="0" applyNumberFormat="1" applyFont="1" applyFill="1" applyBorder="1" applyAlignment="1" applyProtection="1">
      <alignment horizontal="left" vertical="center"/>
      <protection locked="0"/>
    </xf>
    <xf numFmtId="0" fontId="4" fillId="33" borderId="16" xfId="75" applyFont="1" applyFill="1" applyBorder="1" applyAlignment="1" applyProtection="1">
      <alignment vertical="center"/>
      <protection locked="0"/>
    </xf>
    <xf numFmtId="0" fontId="4" fillId="33" borderId="16" xfId="75" applyFont="1" applyFill="1" applyBorder="1" applyAlignment="1" applyProtection="1">
      <alignment horizontal="center" vertical="center"/>
      <protection locked="0"/>
    </xf>
    <xf numFmtId="0" fontId="4" fillId="33" borderId="10" xfId="75" applyFont="1" applyFill="1" applyBorder="1" applyAlignment="1" applyProtection="1">
      <alignment horizontal="center" vertical="center"/>
      <protection locked="0"/>
    </xf>
    <xf numFmtId="0" fontId="4" fillId="33" borderId="10" xfId="75" applyFont="1" applyFill="1" applyBorder="1" applyAlignment="1" applyProtection="1">
      <alignment vertical="center"/>
      <protection locked="0"/>
    </xf>
    <xf numFmtId="37" fontId="4" fillId="36" borderId="0" xfId="0" applyNumberFormat="1" applyFont="1" applyFill="1" applyAlignment="1" applyProtection="1">
      <alignment horizontal="center" vertical="center" wrapText="1"/>
      <protection/>
    </xf>
    <xf numFmtId="0" fontId="0" fillId="36" borderId="17" xfId="0" applyFill="1" applyBorder="1" applyAlignment="1">
      <alignment horizontal="center" vertical="center" wrapText="1"/>
    </xf>
    <xf numFmtId="37" fontId="25" fillId="34" borderId="0" xfId="0" applyNumberFormat="1" applyFont="1" applyFill="1" applyAlignment="1" applyProtection="1">
      <alignment horizontal="center" vertical="center"/>
      <protection/>
    </xf>
    <xf numFmtId="0" fontId="26"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1" fillId="0" borderId="0" xfId="0" applyFont="1" applyAlignment="1">
      <alignment horizontal="center" vertical="center"/>
    </xf>
    <xf numFmtId="0" fontId="5" fillId="36" borderId="0" xfId="0" applyFont="1" applyFill="1" applyBorder="1" applyAlignment="1">
      <alignment horizontal="center" vertical="center"/>
    </xf>
    <xf numFmtId="0" fontId="1" fillId="36" borderId="0" xfId="0" applyFont="1" applyFill="1" applyBorder="1" applyAlignment="1">
      <alignment horizontal="center" vertical="center"/>
    </xf>
    <xf numFmtId="0" fontId="4" fillId="36" borderId="15"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24" fillId="34" borderId="0" xfId="0" applyFont="1" applyFill="1" applyBorder="1" applyAlignment="1">
      <alignment vertical="center"/>
    </xf>
    <xf numFmtId="0" fontId="30" fillId="0" borderId="0" xfId="0" applyFont="1" applyAlignment="1">
      <alignment vertical="center"/>
    </xf>
    <xf numFmtId="0" fontId="4" fillId="0" borderId="0" xfId="414" applyFont="1" applyAlignment="1">
      <alignment horizontal="left" vertical="center" wrapText="1"/>
      <protection/>
    </xf>
    <xf numFmtId="0" fontId="12" fillId="0" borderId="0" xfId="414" applyFont="1" applyAlignment="1">
      <alignment horizontal="left" vertical="center" wrapText="1"/>
      <protection/>
    </xf>
    <xf numFmtId="0" fontId="23" fillId="0" borderId="0" xfId="414" applyFont="1" applyAlignment="1">
      <alignment horizontal="left" vertical="center"/>
      <protection/>
    </xf>
    <xf numFmtId="37" fontId="18" fillId="0" borderId="0" xfId="0" applyNumberFormat="1" applyFont="1" applyAlignment="1" applyProtection="1">
      <alignment horizontal="center" vertical="center"/>
      <protection locked="0"/>
    </xf>
    <xf numFmtId="37" fontId="19" fillId="34" borderId="0" xfId="0" applyNumberFormat="1" applyFont="1" applyFill="1" applyAlignment="1" applyProtection="1">
      <alignment horizontal="center" vertical="center"/>
      <protection/>
    </xf>
    <xf numFmtId="37" fontId="18" fillId="34" borderId="15" xfId="0" applyNumberFormat="1" applyFont="1" applyFill="1" applyBorder="1" applyAlignment="1" applyProtection="1">
      <alignment horizontal="center" vertical="center" wrapText="1"/>
      <protection/>
    </xf>
    <xf numFmtId="0" fontId="20" fillId="0" borderId="16" xfId="0" applyFont="1" applyBorder="1" applyAlignment="1">
      <alignment horizontal="center" vertical="center" wrapText="1"/>
    </xf>
    <xf numFmtId="37" fontId="28" fillId="34" borderId="0" xfId="0" applyNumberFormat="1" applyFont="1" applyFill="1" applyAlignment="1" applyProtection="1">
      <alignment horizontal="center" vertical="center"/>
      <protection/>
    </xf>
    <xf numFmtId="0" fontId="1" fillId="0" borderId="0" xfId="0" applyFont="1" applyAlignment="1">
      <alignment horizontal="center" vertical="center"/>
    </xf>
    <xf numFmtId="37" fontId="18"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0" xfId="0" applyAlignment="1">
      <alignment vertical="center"/>
    </xf>
    <xf numFmtId="37" fontId="18" fillId="34" borderId="12" xfId="0" applyNumberFormat="1" applyFont="1" applyFill="1" applyBorder="1" applyAlignment="1" applyProtection="1">
      <alignment horizontal="fill" vertical="center"/>
      <protection/>
    </xf>
    <xf numFmtId="0" fontId="0" fillId="0" borderId="14" xfId="0" applyBorder="1" applyAlignment="1">
      <alignment vertical="center"/>
    </xf>
    <xf numFmtId="0" fontId="18" fillId="34" borderId="0" xfId="0" applyFont="1" applyFill="1" applyAlignment="1" applyProtection="1">
      <alignment horizontal="center" vertical="center"/>
      <protection/>
    </xf>
    <xf numFmtId="0" fontId="18" fillId="36" borderId="15" xfId="0" applyFont="1" applyFill="1" applyBorder="1" applyAlignment="1" applyProtection="1">
      <alignment horizontal="center" vertical="center" wrapText="1"/>
      <protection/>
    </xf>
    <xf numFmtId="0" fontId="0" fillId="0" borderId="16" xfId="0" applyBorder="1" applyAlignment="1">
      <alignment vertical="center" wrapText="1"/>
    </xf>
    <xf numFmtId="37" fontId="4" fillId="34" borderId="15" xfId="0" applyNumberFormat="1" applyFont="1" applyFill="1" applyBorder="1" applyAlignment="1" applyProtection="1">
      <alignment horizontal="center" vertical="center" wrapText="1"/>
      <protection/>
    </xf>
    <xf numFmtId="0" fontId="7" fillId="34" borderId="0" xfId="0"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37" fontId="4" fillId="34" borderId="15" xfId="0" applyNumberFormat="1" applyFont="1" applyFill="1" applyBorder="1" applyAlignment="1" applyProtection="1">
      <alignment horizontal="center" wrapText="1"/>
      <protection/>
    </xf>
    <xf numFmtId="0" fontId="0" fillId="0" borderId="16" xfId="0" applyBorder="1" applyAlignment="1">
      <alignment horizontal="center" wrapText="1"/>
    </xf>
    <xf numFmtId="37" fontId="5" fillId="34" borderId="0" xfId="0" applyNumberFormat="1" applyFont="1" applyFill="1" applyAlignment="1" applyProtection="1">
      <alignment horizontal="center"/>
      <protection/>
    </xf>
    <xf numFmtId="0" fontId="0" fillId="0" borderId="0" xfId="0" applyAlignment="1">
      <alignment/>
    </xf>
    <xf numFmtId="37" fontId="4" fillId="34" borderId="12" xfId="0" applyNumberFormat="1" applyFont="1" applyFill="1" applyBorder="1" applyAlignment="1" applyProtection="1">
      <alignment horizontal="center"/>
      <protection/>
    </xf>
    <xf numFmtId="0" fontId="0" fillId="0" borderId="13" xfId="0" applyBorder="1" applyAlignment="1">
      <alignment horizontal="center"/>
    </xf>
    <xf numFmtId="0" fontId="0" fillId="0" borderId="14" xfId="0" applyBorder="1" applyAlignment="1">
      <alignment horizontal="center"/>
    </xf>
    <xf numFmtId="0" fontId="4" fillId="34" borderId="27"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4" fillId="34" borderId="27"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3" fontId="4" fillId="34" borderId="22" xfId="87" applyNumberFormat="1" applyFont="1" applyFill="1" applyBorder="1" applyAlignment="1" applyProtection="1">
      <alignment horizontal="right" vertical="center"/>
      <protection/>
    </xf>
    <xf numFmtId="0" fontId="0" fillId="0" borderId="21" xfId="87" applyBorder="1" applyAlignment="1">
      <alignment horizontal="right" vertical="center"/>
      <protection/>
    </xf>
    <xf numFmtId="0" fontId="4" fillId="34" borderId="0" xfId="87" applyFont="1" applyFill="1" applyAlignment="1" applyProtection="1">
      <alignment horizontal="right" vertical="center"/>
      <protection/>
    </xf>
    <xf numFmtId="0" fontId="4" fillId="0" borderId="24" xfId="87" applyFont="1" applyBorder="1" applyAlignment="1">
      <alignment horizontal="right" vertical="center"/>
      <protection/>
    </xf>
    <xf numFmtId="0" fontId="28" fillId="34" borderId="20" xfId="75" applyFont="1" applyFill="1" applyBorder="1" applyAlignment="1" applyProtection="1">
      <alignment horizontal="center" vertical="center"/>
      <protection/>
    </xf>
    <xf numFmtId="0" fontId="45" fillId="0" borderId="22" xfId="75" applyFont="1" applyBorder="1" applyAlignment="1" applyProtection="1">
      <alignment horizontal="center" vertical="center"/>
      <protection/>
    </xf>
    <xf numFmtId="0" fontId="0" fillId="0" borderId="21" xfId="75" applyBorder="1" applyAlignment="1" applyProtection="1">
      <alignment vertical="center"/>
      <protection/>
    </xf>
    <xf numFmtId="0" fontId="28" fillId="34" borderId="22" xfId="75" applyFont="1" applyFill="1" applyBorder="1" applyAlignment="1" applyProtection="1">
      <alignment horizontal="center" vertical="center"/>
      <protection/>
    </xf>
    <xf numFmtId="0" fontId="4" fillId="34" borderId="0" xfId="0" applyFont="1" applyFill="1" applyAlignment="1" applyProtection="1">
      <alignment horizontal="center" vertical="center"/>
      <protection/>
    </xf>
    <xf numFmtId="0" fontId="4"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37" fontId="4" fillId="34" borderId="0" xfId="0" applyNumberFormat="1" applyFont="1" applyFill="1" applyAlignment="1" applyProtection="1">
      <alignment horizontal="center" vertical="center"/>
      <protection/>
    </xf>
    <xf numFmtId="0" fontId="44" fillId="34" borderId="20" xfId="75" applyFont="1" applyFill="1" applyBorder="1" applyAlignment="1" applyProtection="1">
      <alignment horizontal="center" vertical="center"/>
      <protection/>
    </xf>
    <xf numFmtId="0" fontId="26" fillId="0" borderId="22" xfId="75" applyFont="1" applyBorder="1" applyAlignment="1" applyProtection="1">
      <alignment horizontal="center" vertical="center"/>
      <protection/>
    </xf>
    <xf numFmtId="0" fontId="26" fillId="0" borderId="21" xfId="75" applyFont="1" applyBorder="1" applyAlignment="1" applyProtection="1">
      <alignment horizontal="center" vertical="center"/>
      <protection/>
    </xf>
    <xf numFmtId="0" fontId="4" fillId="34" borderId="12" xfId="0" applyFont="1" applyFill="1" applyBorder="1" applyAlignment="1">
      <alignment horizontal="center" vertical="center"/>
    </xf>
    <xf numFmtId="0" fontId="4" fillId="34" borderId="14" xfId="0" applyFont="1" applyFill="1" applyBorder="1" applyAlignment="1">
      <alignment horizontal="center" vertical="center"/>
    </xf>
    <xf numFmtId="37" fontId="23" fillId="34" borderId="0" xfId="0" applyNumberFormat="1"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23" fillId="41" borderId="20" xfId="84" applyFont="1" applyFill="1" applyBorder="1" applyAlignment="1" applyProtection="1">
      <alignment horizontal="center"/>
      <protection/>
    </xf>
    <xf numFmtId="0" fontId="23" fillId="41" borderId="22" xfId="84" applyFont="1" applyFill="1" applyBorder="1" applyAlignment="1" applyProtection="1">
      <alignment horizontal="center"/>
      <protection/>
    </xf>
    <xf numFmtId="0" fontId="23" fillId="41" borderId="21" xfId="84" applyFont="1" applyFill="1" applyBorder="1" applyAlignment="1" applyProtection="1">
      <alignment horizontal="center"/>
      <protection/>
    </xf>
    <xf numFmtId="0" fontId="0" fillId="0" borderId="22" xfId="84" applyBorder="1" applyAlignment="1" applyProtection="1">
      <alignment horizontal="center"/>
      <protection/>
    </xf>
    <xf numFmtId="0" fontId="0" fillId="0" borderId="21" xfId="84" applyBorder="1" applyAlignment="1" applyProtection="1">
      <alignment horizontal="center"/>
      <protection/>
    </xf>
    <xf numFmtId="0" fontId="4" fillId="34" borderId="17" xfId="0" applyNumberFormat="1" applyFont="1" applyFill="1" applyBorder="1" applyAlignment="1" applyProtection="1">
      <alignment horizontal="center" vertical="center"/>
      <protection locked="0"/>
    </xf>
    <xf numFmtId="0" fontId="0" fillId="0" borderId="22" xfId="0" applyBorder="1" applyAlignment="1">
      <alignment horizontal="center"/>
    </xf>
    <xf numFmtId="0" fontId="0" fillId="0" borderId="21" xfId="0" applyBorder="1" applyAlignment="1">
      <alignment horizontal="center"/>
    </xf>
    <xf numFmtId="0" fontId="4" fillId="34" borderId="0" xfId="0" applyFont="1" applyFill="1"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left" wrapText="1"/>
    </xf>
    <xf numFmtId="0" fontId="8" fillId="0" borderId="0" xfId="0" applyFont="1" applyAlignment="1">
      <alignment vertical="top" wrapText="1"/>
    </xf>
    <xf numFmtId="0" fontId="8" fillId="0" borderId="0" xfId="0" applyFont="1" applyAlignment="1">
      <alignment horizontal="center"/>
    </xf>
    <xf numFmtId="183" fontId="48" fillId="43" borderId="17" xfId="0" applyNumberFormat="1" applyFont="1" applyFill="1" applyBorder="1" applyAlignment="1" applyProtection="1">
      <alignment horizontal="center"/>
      <protection locked="0"/>
    </xf>
    <xf numFmtId="190" fontId="48" fillId="41" borderId="0" xfId="0" applyNumberFormat="1" applyFont="1" applyFill="1" applyBorder="1" applyAlignment="1">
      <alignment horizontal="center"/>
    </xf>
    <xf numFmtId="190" fontId="48" fillId="0" borderId="32" xfId="0" applyNumberFormat="1" applyFont="1" applyBorder="1" applyAlignment="1">
      <alignment horizontal="center"/>
    </xf>
    <xf numFmtId="5" fontId="48" fillId="41" borderId="17" xfId="0" applyNumberFormat="1" applyFont="1" applyFill="1" applyBorder="1" applyAlignment="1">
      <alignment horizontal="center"/>
    </xf>
    <xf numFmtId="0" fontId="48" fillId="41" borderId="22" xfId="0" applyFont="1" applyFill="1" applyBorder="1" applyAlignment="1">
      <alignment horizontal="center"/>
    </xf>
    <xf numFmtId="0" fontId="48" fillId="41" borderId="31" xfId="0" applyFont="1" applyFill="1" applyBorder="1" applyAlignment="1">
      <alignment vertical="top" wrapText="1"/>
    </xf>
    <xf numFmtId="0" fontId="48" fillId="0" borderId="0" xfId="0" applyFont="1" applyAlignment="1">
      <alignment vertical="top" wrapText="1"/>
    </xf>
    <xf numFmtId="0" fontId="48" fillId="0" borderId="32" xfId="0" applyFont="1" applyBorder="1" applyAlignment="1">
      <alignment vertical="top" wrapText="1"/>
    </xf>
    <xf numFmtId="191" fontId="48" fillId="41" borderId="0" xfId="0" applyNumberFormat="1" applyFont="1" applyFill="1" applyBorder="1" applyAlignment="1">
      <alignment horizontal="center"/>
    </xf>
    <xf numFmtId="0" fontId="48" fillId="0" borderId="32" xfId="0" applyFont="1" applyBorder="1" applyAlignment="1">
      <alignment horizontal="center"/>
    </xf>
    <xf numFmtId="0" fontId="88" fillId="41" borderId="0" xfId="0" applyFont="1" applyFill="1" applyBorder="1" applyAlignment="1">
      <alignment horizontal="center" wrapText="1"/>
    </xf>
    <xf numFmtId="0" fontId="88" fillId="0" borderId="0" xfId="0" applyFont="1" applyAlignment="1">
      <alignment horizontal="center" wrapText="1"/>
    </xf>
    <xf numFmtId="0" fontId="88" fillId="41" borderId="0" xfId="0" applyFont="1" applyFill="1" applyAlignment="1">
      <alignment horizontal="center" wrapText="1"/>
    </xf>
    <xf numFmtId="0" fontId="48" fillId="41" borderId="0" xfId="0" applyFont="1" applyFill="1" applyAlignment="1">
      <alignment wrapText="1"/>
    </xf>
    <xf numFmtId="190" fontId="48" fillId="43" borderId="17" xfId="0" applyNumberFormat="1" applyFont="1" applyFill="1" applyBorder="1" applyAlignment="1" applyProtection="1">
      <alignment horizontal="center"/>
      <protection locked="0"/>
    </xf>
    <xf numFmtId="0" fontId="88" fillId="41" borderId="33" xfId="0" applyFont="1" applyFill="1" applyBorder="1" applyAlignment="1">
      <alignment horizontal="center" vertical="center"/>
    </xf>
    <xf numFmtId="0" fontId="48" fillId="0" borderId="33" xfId="0" applyFont="1" applyBorder="1" applyAlignment="1">
      <alignment horizontal="center" vertical="center"/>
    </xf>
    <xf numFmtId="0" fontId="48" fillId="0" borderId="0" xfId="0" applyFont="1" applyAlignment="1">
      <alignment horizontal="center" wrapText="1"/>
    </xf>
    <xf numFmtId="0" fontId="88" fillId="41" borderId="0" xfId="0" applyFont="1" applyFill="1" applyAlignment="1">
      <alignment horizontal="center"/>
    </xf>
    <xf numFmtId="0" fontId="48" fillId="0" borderId="0" xfId="0" applyFont="1" applyAlignment="1">
      <alignment wrapText="1"/>
    </xf>
    <xf numFmtId="190" fontId="48" fillId="41" borderId="0" xfId="0" applyNumberFormat="1" applyFont="1" applyFill="1" applyAlignment="1">
      <alignment horizontal="center"/>
    </xf>
    <xf numFmtId="0" fontId="48" fillId="41" borderId="0" xfId="0" applyFont="1" applyFill="1" applyBorder="1" applyAlignment="1">
      <alignment/>
    </xf>
    <xf numFmtId="0" fontId="48" fillId="0" borderId="0" xfId="0" applyFont="1" applyBorder="1" applyAlignment="1">
      <alignment/>
    </xf>
    <xf numFmtId="0" fontId="48" fillId="41" borderId="37" xfId="0" applyFont="1" applyFill="1" applyBorder="1" applyAlignment="1">
      <alignment/>
    </xf>
    <xf numFmtId="0" fontId="48" fillId="41" borderId="38" xfId="0" applyFont="1" applyFill="1" applyBorder="1" applyAlignment="1">
      <alignment/>
    </xf>
    <xf numFmtId="0" fontId="88" fillId="41" borderId="0" xfId="0" applyFont="1" applyFill="1" applyAlignment="1">
      <alignment horizontal="center" vertical="center"/>
    </xf>
    <xf numFmtId="0" fontId="88" fillId="0" borderId="0" xfId="0" applyFont="1" applyAlignment="1">
      <alignment horizontal="center" vertical="center"/>
    </xf>
    <xf numFmtId="190" fontId="48" fillId="41" borderId="0" xfId="0" applyNumberFormat="1" applyFont="1" applyFill="1" applyAlignment="1">
      <alignment/>
    </xf>
    <xf numFmtId="0" fontId="48" fillId="41" borderId="0" xfId="0" applyFont="1" applyFill="1" applyBorder="1" applyAlignment="1">
      <alignment wrapText="1"/>
    </xf>
    <xf numFmtId="0" fontId="48" fillId="41" borderId="0" xfId="0" applyFont="1" applyFill="1" applyBorder="1" applyAlignment="1">
      <alignment horizontal="center"/>
    </xf>
  </cellXfs>
  <cellStyles count="43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3 2" xfId="64"/>
    <cellStyle name="Hyperlink 7" xfId="65"/>
    <cellStyle name="Hyperlink 7 2" xfId="66"/>
    <cellStyle name="Input" xfId="67"/>
    <cellStyle name="Linked Cell" xfId="68"/>
    <cellStyle name="Neutral" xfId="69"/>
    <cellStyle name="Normal 10" xfId="70"/>
    <cellStyle name="Normal 10 2" xfId="71"/>
    <cellStyle name="Normal 10 2 2" xfId="72"/>
    <cellStyle name="Normal 10 3" xfId="73"/>
    <cellStyle name="Normal 10 4" xfId="74"/>
    <cellStyle name="Normal 10 5" xfId="75"/>
    <cellStyle name="Normal 10 6" xfId="76"/>
    <cellStyle name="Normal 11" xfId="77"/>
    <cellStyle name="Normal 11 2" xfId="78"/>
    <cellStyle name="Normal 11 2 2" xfId="79"/>
    <cellStyle name="Normal 11 3" xfId="80"/>
    <cellStyle name="Normal 11 4" xfId="81"/>
    <cellStyle name="Normal 11 5" xfId="82"/>
    <cellStyle name="Normal 12" xfId="83"/>
    <cellStyle name="Normal 12 10" xfId="84"/>
    <cellStyle name="Normal 12 11" xfId="85"/>
    <cellStyle name="Normal 12 12" xfId="86"/>
    <cellStyle name="Normal 12 2" xfId="87"/>
    <cellStyle name="Normal 12 2 2" xfId="88"/>
    <cellStyle name="Normal 12 3" xfId="89"/>
    <cellStyle name="Normal 12 4" xfId="90"/>
    <cellStyle name="Normal 12 5" xfId="91"/>
    <cellStyle name="Normal 12 6" xfId="92"/>
    <cellStyle name="Normal 12 7" xfId="93"/>
    <cellStyle name="Normal 12 8" xfId="94"/>
    <cellStyle name="Normal 12 9" xfId="95"/>
    <cellStyle name="Normal 13" xfId="96"/>
    <cellStyle name="Normal 13 10" xfId="97"/>
    <cellStyle name="Normal 13 11" xfId="98"/>
    <cellStyle name="Normal 13 12" xfId="99"/>
    <cellStyle name="Normal 13 2" xfId="100"/>
    <cellStyle name="Normal 13 2 2" xfId="101"/>
    <cellStyle name="Normal 13 3" xfId="102"/>
    <cellStyle name="Normal 13 4" xfId="103"/>
    <cellStyle name="Normal 13 5" xfId="104"/>
    <cellStyle name="Normal 13 6" xfId="105"/>
    <cellStyle name="Normal 13 7" xfId="106"/>
    <cellStyle name="Normal 13 8" xfId="107"/>
    <cellStyle name="Normal 13 9" xfId="108"/>
    <cellStyle name="Normal 14" xfId="109"/>
    <cellStyle name="Normal 14 2" xfId="110"/>
    <cellStyle name="Normal 14 3" xfId="111"/>
    <cellStyle name="Normal 14 4" xfId="112"/>
    <cellStyle name="Normal 14 5" xfId="113"/>
    <cellStyle name="Normal 14 6" xfId="114"/>
    <cellStyle name="Normal 15" xfId="115"/>
    <cellStyle name="Normal 15 2" xfId="116"/>
    <cellStyle name="Normal 15 3" xfId="117"/>
    <cellStyle name="Normal 15 4" xfId="118"/>
    <cellStyle name="Normal 16" xfId="119"/>
    <cellStyle name="Normal 16 2" xfId="120"/>
    <cellStyle name="Normal 16 3" xfId="121"/>
    <cellStyle name="Normal 16 4" xfId="122"/>
    <cellStyle name="Normal 17" xfId="123"/>
    <cellStyle name="Normal 17 2" xfId="124"/>
    <cellStyle name="Normal 17 3" xfId="125"/>
    <cellStyle name="Normal 17 4" xfId="126"/>
    <cellStyle name="Normal 18" xfId="127"/>
    <cellStyle name="Normal 18 2" xfId="128"/>
    <cellStyle name="Normal 18 2 2" xfId="129"/>
    <cellStyle name="Normal 18 2 3" xfId="130"/>
    <cellStyle name="Normal 18 3" xfId="131"/>
    <cellStyle name="Normal 18 4" xfId="132"/>
    <cellStyle name="Normal 18 5" xfId="133"/>
    <cellStyle name="Normal 18 6" xfId="134"/>
    <cellStyle name="Normal 18 7" xfId="135"/>
    <cellStyle name="Normal 19" xfId="136"/>
    <cellStyle name="Normal 19 2" xfId="137"/>
    <cellStyle name="Normal 19 2 2" xfId="138"/>
    <cellStyle name="Normal 19 2 3" xfId="139"/>
    <cellStyle name="Normal 19 3" xfId="140"/>
    <cellStyle name="Normal 19 4" xfId="141"/>
    <cellStyle name="Normal 19 5" xfId="142"/>
    <cellStyle name="Normal 19 6" xfId="143"/>
    <cellStyle name="Normal 2" xfId="144"/>
    <cellStyle name="Normal 2 10" xfId="145"/>
    <cellStyle name="Normal 2 10 10" xfId="146"/>
    <cellStyle name="Normal 2 10 2" xfId="147"/>
    <cellStyle name="Normal 2 10 2 2" xfId="148"/>
    <cellStyle name="Normal 2 10 3" xfId="149"/>
    <cellStyle name="Normal 2 10 3 2" xfId="150"/>
    <cellStyle name="Normal 2 10 4" xfId="151"/>
    <cellStyle name="Normal 2 10 4 2" xfId="152"/>
    <cellStyle name="Normal 2 10 5" xfId="153"/>
    <cellStyle name="Normal 2 10 5 2" xfId="154"/>
    <cellStyle name="Normal 2 10 6" xfId="155"/>
    <cellStyle name="Normal 2 10 6 2" xfId="156"/>
    <cellStyle name="Normal 2 10 7" xfId="157"/>
    <cellStyle name="Normal 2 10 7 2" xfId="158"/>
    <cellStyle name="Normal 2 10 8" xfId="159"/>
    <cellStyle name="Normal 2 10 8 2" xfId="160"/>
    <cellStyle name="Normal 2 10 9" xfId="161"/>
    <cellStyle name="Normal 2 11" xfId="162"/>
    <cellStyle name="Normal 2 11 10" xfId="163"/>
    <cellStyle name="Normal 2 11 2" xfId="164"/>
    <cellStyle name="Normal 2 11 2 2" xfId="165"/>
    <cellStyle name="Normal 2 11 3" xfId="166"/>
    <cellStyle name="Normal 2 11 3 2" xfId="167"/>
    <cellStyle name="Normal 2 11 4" xfId="168"/>
    <cellStyle name="Normal 2 11 4 2" xfId="169"/>
    <cellStyle name="Normal 2 11 5" xfId="170"/>
    <cellStyle name="Normal 2 11 5 2" xfId="171"/>
    <cellStyle name="Normal 2 11 6" xfId="172"/>
    <cellStyle name="Normal 2 11 6 2" xfId="173"/>
    <cellStyle name="Normal 2 11 7" xfId="174"/>
    <cellStyle name="Normal 2 11 7 2" xfId="175"/>
    <cellStyle name="Normal 2 11 8" xfId="176"/>
    <cellStyle name="Normal 2 11 8 2" xfId="177"/>
    <cellStyle name="Normal 2 11 9" xfId="178"/>
    <cellStyle name="Normal 2 12" xfId="179"/>
    <cellStyle name="Normal 2 13" xfId="180"/>
    <cellStyle name="Normal 2 14" xfId="181"/>
    <cellStyle name="Normal 2 15" xfId="182"/>
    <cellStyle name="Normal 2 16" xfId="183"/>
    <cellStyle name="Normal 2 2" xfId="184"/>
    <cellStyle name="Normal 2 2 10" xfId="185"/>
    <cellStyle name="Normal 2 2 10 2" xfId="186"/>
    <cellStyle name="Normal 2 2 11" xfId="187"/>
    <cellStyle name="Normal 2 2 11 2" xfId="188"/>
    <cellStyle name="Normal 2 2 12" xfId="189"/>
    <cellStyle name="Normal 2 2 12 2" xfId="190"/>
    <cellStyle name="Normal 2 2 13" xfId="191"/>
    <cellStyle name="Normal 2 2 13 2" xfId="192"/>
    <cellStyle name="Normal 2 2 14" xfId="193"/>
    <cellStyle name="Normal 2 2 14 2" xfId="194"/>
    <cellStyle name="Normal 2 2 15" xfId="195"/>
    <cellStyle name="Normal 2 2 15 2" xfId="196"/>
    <cellStyle name="Normal 2 2 16" xfId="197"/>
    <cellStyle name="Normal 2 2 17" xfId="198"/>
    <cellStyle name="Normal 2 2 18" xfId="199"/>
    <cellStyle name="Normal 2 2 19" xfId="200"/>
    <cellStyle name="Normal 2 2 2" xfId="201"/>
    <cellStyle name="Normal 2 2 2 2" xfId="202"/>
    <cellStyle name="Normal 2 2 2 2 2" xfId="203"/>
    <cellStyle name="Normal 2 2 2 3" xfId="204"/>
    <cellStyle name="Normal 2 2 2 3 2" xfId="205"/>
    <cellStyle name="Normal 2 2 2 4" xfId="206"/>
    <cellStyle name="Normal 2 2 2 4 2" xfId="207"/>
    <cellStyle name="Normal 2 2 2 5" xfId="208"/>
    <cellStyle name="Normal 2 2 2 5 2" xfId="209"/>
    <cellStyle name="Normal 2 2 2 6" xfId="210"/>
    <cellStyle name="Normal 2 2 2 6 2" xfId="211"/>
    <cellStyle name="Normal 2 2 2 7" xfId="212"/>
    <cellStyle name="Normal 2 2 2 8" xfId="213"/>
    <cellStyle name="Normal 2 2 20" xfId="214"/>
    <cellStyle name="Normal 2 2 21" xfId="215"/>
    <cellStyle name="Normal 2 2 3" xfId="216"/>
    <cellStyle name="Normal 2 2 3 2" xfId="217"/>
    <cellStyle name="Normal 2 2 4" xfId="218"/>
    <cellStyle name="Normal 2 2 4 2" xfId="219"/>
    <cellStyle name="Normal 2 2 5" xfId="220"/>
    <cellStyle name="Normal 2 2 5 2" xfId="221"/>
    <cellStyle name="Normal 2 2 6" xfId="222"/>
    <cellStyle name="Normal 2 2 6 2" xfId="223"/>
    <cellStyle name="Normal 2 2 7" xfId="224"/>
    <cellStyle name="Normal 2 2 7 2" xfId="225"/>
    <cellStyle name="Normal 2 2 8" xfId="226"/>
    <cellStyle name="Normal 2 2 8 2" xfId="227"/>
    <cellStyle name="Normal 2 2 9" xfId="228"/>
    <cellStyle name="Normal 2 2 9 2" xfId="229"/>
    <cellStyle name="Normal 2 3" xfId="230"/>
    <cellStyle name="Normal 2 3 10" xfId="231"/>
    <cellStyle name="Normal 2 3 11" xfId="232"/>
    <cellStyle name="Normal 2 3 12" xfId="233"/>
    <cellStyle name="Normal 2 3 13" xfId="234"/>
    <cellStyle name="Normal 2 3 14" xfId="235"/>
    <cellStyle name="Normal 2 3 2" xfId="236"/>
    <cellStyle name="Normal 2 3 2 2" xfId="237"/>
    <cellStyle name="Normal 2 3 3" xfId="238"/>
    <cellStyle name="Normal 2 3 3 2" xfId="239"/>
    <cellStyle name="Normal 2 3 3 3" xfId="240"/>
    <cellStyle name="Normal 2 3 4" xfId="241"/>
    <cellStyle name="Normal 2 3 5" xfId="242"/>
    <cellStyle name="Normal 2 3 6" xfId="243"/>
    <cellStyle name="Normal 2 3 7" xfId="244"/>
    <cellStyle name="Normal 2 3 8" xfId="245"/>
    <cellStyle name="Normal 2 3 9" xfId="246"/>
    <cellStyle name="Normal 2 4" xfId="247"/>
    <cellStyle name="Normal 2 4 10" xfId="248"/>
    <cellStyle name="Normal 2 4 11" xfId="249"/>
    <cellStyle name="Normal 2 4 2" xfId="250"/>
    <cellStyle name="Normal 2 4 2 2" xfId="251"/>
    <cellStyle name="Normal 2 4 3" xfId="252"/>
    <cellStyle name="Normal 2 4 3 2" xfId="253"/>
    <cellStyle name="Normal 2 4 3 3" xfId="254"/>
    <cellStyle name="Normal 2 4 4" xfId="255"/>
    <cellStyle name="Normal 2 4 5" xfId="256"/>
    <cellStyle name="Normal 2 4 6" xfId="257"/>
    <cellStyle name="Normal 2 4 7" xfId="258"/>
    <cellStyle name="Normal 2 4 8" xfId="259"/>
    <cellStyle name="Normal 2 4 9" xfId="260"/>
    <cellStyle name="Normal 2 5" xfId="261"/>
    <cellStyle name="Normal 2 5 10" xfId="262"/>
    <cellStyle name="Normal 2 5 11" xfId="263"/>
    <cellStyle name="Normal 2 5 12" xfId="264"/>
    <cellStyle name="Normal 2 5 2" xfId="265"/>
    <cellStyle name="Normal 2 5 2 2" xfId="266"/>
    <cellStyle name="Normal 2 5 3" xfId="267"/>
    <cellStyle name="Normal 2 5 3 2" xfId="268"/>
    <cellStyle name="Normal 2 5 4" xfId="269"/>
    <cellStyle name="Normal 2 5 5" xfId="270"/>
    <cellStyle name="Normal 2 5 6" xfId="271"/>
    <cellStyle name="Normal 2 5 7" xfId="272"/>
    <cellStyle name="Normal 2 5 8" xfId="273"/>
    <cellStyle name="Normal 2 5 9" xfId="274"/>
    <cellStyle name="Normal 2 6" xfId="275"/>
    <cellStyle name="Normal 2 6 10" xfId="276"/>
    <cellStyle name="Normal 2 6 11" xfId="277"/>
    <cellStyle name="Normal 2 6 12" xfId="278"/>
    <cellStyle name="Normal 2 6 2" xfId="279"/>
    <cellStyle name="Normal 2 6 2 2" xfId="280"/>
    <cellStyle name="Normal 2 6 3" xfId="281"/>
    <cellStyle name="Normal 2 6 3 2" xfId="282"/>
    <cellStyle name="Normal 2 6 4" xfId="283"/>
    <cellStyle name="Normal 2 6 5" xfId="284"/>
    <cellStyle name="Normal 2 6 6" xfId="285"/>
    <cellStyle name="Normal 2 6 7" xfId="286"/>
    <cellStyle name="Normal 2 6 8" xfId="287"/>
    <cellStyle name="Normal 2 6 9" xfId="288"/>
    <cellStyle name="Normal 2 7" xfId="289"/>
    <cellStyle name="Normal 2 7 10" xfId="290"/>
    <cellStyle name="Normal 2 7 2" xfId="291"/>
    <cellStyle name="Normal 2 7 2 2" xfId="292"/>
    <cellStyle name="Normal 2 7 2 3" xfId="293"/>
    <cellStyle name="Normal 2 7 3" xfId="294"/>
    <cellStyle name="Normal 2 7 3 2" xfId="295"/>
    <cellStyle name="Normal 2 7 4" xfId="296"/>
    <cellStyle name="Normal 2 7 4 2" xfId="297"/>
    <cellStyle name="Normal 2 7 5" xfId="298"/>
    <cellStyle name="Normal 2 7 5 2" xfId="299"/>
    <cellStyle name="Normal 2 7 6" xfId="300"/>
    <cellStyle name="Normal 2 7 6 2" xfId="301"/>
    <cellStyle name="Normal 2 7 7" xfId="302"/>
    <cellStyle name="Normal 2 7 7 2" xfId="303"/>
    <cellStyle name="Normal 2 7 8" xfId="304"/>
    <cellStyle name="Normal 2 7 8 2" xfId="305"/>
    <cellStyle name="Normal 2 7 9" xfId="306"/>
    <cellStyle name="Normal 2 8" xfId="307"/>
    <cellStyle name="Normal 2 8 10" xfId="308"/>
    <cellStyle name="Normal 2 8 2" xfId="309"/>
    <cellStyle name="Normal 2 8 2 2" xfId="310"/>
    <cellStyle name="Normal 2 8 3" xfId="311"/>
    <cellStyle name="Normal 2 8 3 2" xfId="312"/>
    <cellStyle name="Normal 2 8 4" xfId="313"/>
    <cellStyle name="Normal 2 8 4 2" xfId="314"/>
    <cellStyle name="Normal 2 8 5" xfId="315"/>
    <cellStyle name="Normal 2 8 5 2" xfId="316"/>
    <cellStyle name="Normal 2 8 6" xfId="317"/>
    <cellStyle name="Normal 2 8 6 2" xfId="318"/>
    <cellStyle name="Normal 2 8 7" xfId="319"/>
    <cellStyle name="Normal 2 8 7 2" xfId="320"/>
    <cellStyle name="Normal 2 8 8" xfId="321"/>
    <cellStyle name="Normal 2 8 8 2" xfId="322"/>
    <cellStyle name="Normal 2 8 9" xfId="323"/>
    <cellStyle name="Normal 2 9" xfId="324"/>
    <cellStyle name="Normal 2 9 10" xfId="325"/>
    <cellStyle name="Normal 2 9 2" xfId="326"/>
    <cellStyle name="Normal 2 9 2 2" xfId="327"/>
    <cellStyle name="Normal 2 9 3" xfId="328"/>
    <cellStyle name="Normal 2 9 3 2" xfId="329"/>
    <cellStyle name="Normal 2 9 4" xfId="330"/>
    <cellStyle name="Normal 2 9 4 2" xfId="331"/>
    <cellStyle name="Normal 2 9 5" xfId="332"/>
    <cellStyle name="Normal 2 9 5 2" xfId="333"/>
    <cellStyle name="Normal 2 9 6" xfId="334"/>
    <cellStyle name="Normal 2 9 6 2" xfId="335"/>
    <cellStyle name="Normal 2 9 7" xfId="336"/>
    <cellStyle name="Normal 2 9 7 2" xfId="337"/>
    <cellStyle name="Normal 2 9 8" xfId="338"/>
    <cellStyle name="Normal 2 9 8 2" xfId="339"/>
    <cellStyle name="Normal 2 9 9" xfId="340"/>
    <cellStyle name="Normal 20" xfId="341"/>
    <cellStyle name="Normal 20 2" xfId="342"/>
    <cellStyle name="Normal 20 3" xfId="343"/>
    <cellStyle name="Normal 21" xfId="344"/>
    <cellStyle name="Normal 22" xfId="345"/>
    <cellStyle name="Normal 22 2" xfId="346"/>
    <cellStyle name="Normal 22 3" xfId="347"/>
    <cellStyle name="Normal 23" xfId="348"/>
    <cellStyle name="Normal 23 2" xfId="349"/>
    <cellStyle name="Normal 23 3" xfId="350"/>
    <cellStyle name="Normal 24" xfId="351"/>
    <cellStyle name="Normal 24 2" xfId="352"/>
    <cellStyle name="Normal 24 3" xfId="353"/>
    <cellStyle name="Normal 25" xfId="354"/>
    <cellStyle name="Normal 25 2" xfId="355"/>
    <cellStyle name="Normal 25 3" xfId="356"/>
    <cellStyle name="Normal 26" xfId="357"/>
    <cellStyle name="Normal 27" xfId="358"/>
    <cellStyle name="Normal 28" xfId="359"/>
    <cellStyle name="Normal 29" xfId="360"/>
    <cellStyle name="Normal 3" xfId="361"/>
    <cellStyle name="Normal 3 2" xfId="362"/>
    <cellStyle name="Normal 3 3" xfId="363"/>
    <cellStyle name="Normal 3 3 2" xfId="364"/>
    <cellStyle name="Normal 3 3 3" xfId="365"/>
    <cellStyle name="Normal 3 4" xfId="366"/>
    <cellStyle name="Normal 3 5" xfId="367"/>
    <cellStyle name="Normal 3 6" xfId="368"/>
    <cellStyle name="Normal 3 7" xfId="369"/>
    <cellStyle name="Normal 30" xfId="370"/>
    <cellStyle name="Normal 31" xfId="371"/>
    <cellStyle name="Normal 32" xfId="372"/>
    <cellStyle name="Normal 33" xfId="373"/>
    <cellStyle name="Normal 34" xfId="374"/>
    <cellStyle name="Normal 35" xfId="375"/>
    <cellStyle name="Normal 36" xfId="376"/>
    <cellStyle name="Normal 37" xfId="377"/>
    <cellStyle name="Normal 38" xfId="378"/>
    <cellStyle name="Normal 39" xfId="379"/>
    <cellStyle name="Normal 4" xfId="380"/>
    <cellStyle name="Normal 4 2" xfId="381"/>
    <cellStyle name="Normal 4 3" xfId="382"/>
    <cellStyle name="Normal 4 3 2" xfId="383"/>
    <cellStyle name="Normal 4 3 3" xfId="384"/>
    <cellStyle name="Normal 4 4" xfId="385"/>
    <cellStyle name="Normal 4 5" xfId="386"/>
    <cellStyle name="Normal 40" xfId="387"/>
    <cellStyle name="Normal 41" xfId="388"/>
    <cellStyle name="Normal 42" xfId="389"/>
    <cellStyle name="Normal 43" xfId="390"/>
    <cellStyle name="Normal 44" xfId="391"/>
    <cellStyle name="Normal 45" xfId="392"/>
    <cellStyle name="Normal 46" xfId="393"/>
    <cellStyle name="Normal 47" xfId="394"/>
    <cellStyle name="Normal 48" xfId="395"/>
    <cellStyle name="Normal 49" xfId="396"/>
    <cellStyle name="Normal 5" xfId="397"/>
    <cellStyle name="Normal 5 2" xfId="398"/>
    <cellStyle name="Normal 5 3" xfId="399"/>
    <cellStyle name="Normal 50" xfId="400"/>
    <cellStyle name="Normal 51" xfId="401"/>
    <cellStyle name="Normal 52" xfId="402"/>
    <cellStyle name="Normal 53" xfId="403"/>
    <cellStyle name="Normal 54" xfId="404"/>
    <cellStyle name="Normal 55" xfId="405"/>
    <cellStyle name="Normal 56" xfId="406"/>
    <cellStyle name="Normal 57" xfId="407"/>
    <cellStyle name="Normal 58" xfId="408"/>
    <cellStyle name="Normal 6" xfId="409"/>
    <cellStyle name="Normal 6 2" xfId="410"/>
    <cellStyle name="Normal 6 3" xfId="411"/>
    <cellStyle name="Normal 6 4" xfId="412"/>
    <cellStyle name="Normal 6 5" xfId="413"/>
    <cellStyle name="Normal 7" xfId="414"/>
    <cellStyle name="Normal 7 2" xfId="415"/>
    <cellStyle name="Normal 7 2 2" xfId="416"/>
    <cellStyle name="Normal 7 2 2 2" xfId="417"/>
    <cellStyle name="Normal 7 2 3" xfId="418"/>
    <cellStyle name="Normal 7 2 4" xfId="419"/>
    <cellStyle name="Normal 7 3" xfId="420"/>
    <cellStyle name="Normal 7 4"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general" xfId="435"/>
    <cellStyle name="Normal_inputPrYr" xfId="436"/>
    <cellStyle name="Normal_lpform" xfId="437"/>
    <cellStyle name="Normal_Township 07" xfId="438"/>
    <cellStyle name="Note" xfId="439"/>
    <cellStyle name="Output" xfId="440"/>
    <cellStyle name="Percent" xfId="441"/>
    <cellStyle name="Title" xfId="442"/>
    <cellStyle name="Total" xfId="443"/>
    <cellStyle name="Warning Text" xfId="444"/>
  </cellStyles>
  <dxfs count="427">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6"/>
  <sheetViews>
    <sheetView zoomScalePageLayoutView="0" workbookViewId="0" topLeftCell="A1">
      <selection activeCell="H67" sqref="H67"/>
    </sheetView>
  </sheetViews>
  <sheetFormatPr defaultColWidth="8.796875" defaultRowHeight="15"/>
  <cols>
    <col min="1" max="1" width="88.796875" style="77" customWidth="1"/>
    <col min="2" max="16384" width="8.8984375" style="77" customWidth="1"/>
  </cols>
  <sheetData>
    <row r="1" ht="15.75">
      <c r="A1" s="76" t="s">
        <v>316</v>
      </c>
    </row>
    <row r="3" ht="34.5" customHeight="1">
      <c r="A3" s="78" t="s">
        <v>36</v>
      </c>
    </row>
    <row r="4" ht="15.75">
      <c r="A4" s="79"/>
    </row>
    <row r="5" ht="52.5" customHeight="1">
      <c r="A5" s="80" t="s">
        <v>317</v>
      </c>
    </row>
    <row r="6" ht="15.75">
      <c r="A6" s="80"/>
    </row>
    <row r="7" ht="31.5">
      <c r="A7" s="80" t="s">
        <v>101</v>
      </c>
    </row>
    <row r="8" ht="15.75">
      <c r="A8" s="80"/>
    </row>
    <row r="9" ht="54.75" customHeight="1">
      <c r="A9" s="80" t="s">
        <v>86</v>
      </c>
    </row>
    <row r="10" ht="15.75">
      <c r="A10" s="80"/>
    </row>
    <row r="11" ht="15.75">
      <c r="A11" s="80" t="s">
        <v>312</v>
      </c>
    </row>
    <row r="13" ht="118.5" customHeight="1">
      <c r="A13" s="80" t="s">
        <v>81</v>
      </c>
    </row>
    <row r="14" ht="15.75">
      <c r="A14" s="80"/>
    </row>
    <row r="15" ht="106.5" customHeight="1">
      <c r="A15" s="80" t="s">
        <v>82</v>
      </c>
    </row>
    <row r="17" ht="15.75">
      <c r="A17" s="76" t="s">
        <v>632</v>
      </c>
    </row>
    <row r="18" ht="15.75">
      <c r="A18" s="76"/>
    </row>
    <row r="19" ht="15.75">
      <c r="A19" s="79" t="s">
        <v>84</v>
      </c>
    </row>
    <row r="20" ht="15.75">
      <c r="A20" s="79"/>
    </row>
    <row r="21" ht="15.75">
      <c r="A21" s="77" t="s">
        <v>350</v>
      </c>
    </row>
    <row r="23" ht="72" customHeight="1">
      <c r="A23" s="81" t="s">
        <v>85</v>
      </c>
    </row>
    <row r="24" ht="13.5" customHeight="1">
      <c r="A24" s="81"/>
    </row>
    <row r="27" ht="15.75">
      <c r="A27" s="76" t="s">
        <v>128</v>
      </c>
    </row>
    <row r="29" ht="34.5" customHeight="1">
      <c r="A29" s="80" t="s">
        <v>80</v>
      </c>
    </row>
    <row r="30" ht="9.75" customHeight="1">
      <c r="A30" s="80"/>
    </row>
    <row r="31" ht="15.75">
      <c r="A31" s="82" t="s">
        <v>37</v>
      </c>
    </row>
    <row r="32" ht="15.75">
      <c r="A32" s="80"/>
    </row>
    <row r="33" ht="17.25" customHeight="1">
      <c r="A33" s="83" t="s">
        <v>284</v>
      </c>
    </row>
    <row r="34" ht="17.25" customHeight="1">
      <c r="A34" s="84"/>
    </row>
    <row r="35" ht="87.75" customHeight="1">
      <c r="A35" s="85" t="s">
        <v>63</v>
      </c>
    </row>
    <row r="37" ht="15.75">
      <c r="A37" s="86" t="s">
        <v>38</v>
      </c>
    </row>
    <row r="39" ht="15.75">
      <c r="A39" s="87" t="s">
        <v>83</v>
      </c>
    </row>
    <row r="41" ht="15.75">
      <c r="A41" s="80" t="s">
        <v>129</v>
      </c>
    </row>
    <row r="43" ht="15.75">
      <c r="A43" s="76" t="s">
        <v>130</v>
      </c>
    </row>
    <row r="45" ht="70.5" customHeight="1">
      <c r="A45" s="80" t="s">
        <v>799</v>
      </c>
    </row>
    <row r="46" ht="52.5" customHeight="1">
      <c r="A46" s="88" t="s">
        <v>53</v>
      </c>
    </row>
    <row r="47" ht="9" customHeight="1">
      <c r="A47" s="80"/>
    </row>
    <row r="48" ht="69.75" customHeight="1">
      <c r="A48" s="80" t="s">
        <v>800</v>
      </c>
    </row>
    <row r="49" ht="53.25" customHeight="1">
      <c r="A49" s="80" t="s">
        <v>54</v>
      </c>
    </row>
    <row r="50" ht="102.75" customHeight="1">
      <c r="A50" s="80" t="s">
        <v>121</v>
      </c>
    </row>
    <row r="51" ht="73.5" customHeight="1">
      <c r="A51" s="447" t="s">
        <v>633</v>
      </c>
    </row>
    <row r="52" ht="69.75" customHeight="1">
      <c r="A52" s="448" t="s">
        <v>634</v>
      </c>
    </row>
    <row r="53" ht="12" customHeight="1">
      <c r="A53" s="80"/>
    </row>
    <row r="54" ht="68.25" customHeight="1">
      <c r="A54" s="80" t="s">
        <v>635</v>
      </c>
    </row>
    <row r="55" ht="68.25" customHeight="1">
      <c r="A55" s="80" t="s">
        <v>636</v>
      </c>
    </row>
    <row r="56" ht="31.5">
      <c r="A56" s="80" t="s">
        <v>637</v>
      </c>
    </row>
    <row r="57" ht="31.5">
      <c r="A57" s="80" t="s">
        <v>638</v>
      </c>
    </row>
    <row r="58" ht="12" customHeight="1"/>
    <row r="59" ht="68.25" customHeight="1">
      <c r="A59" s="80" t="s">
        <v>639</v>
      </c>
    </row>
    <row r="60" ht="128.25" customHeight="1">
      <c r="A60" s="80" t="s">
        <v>640</v>
      </c>
    </row>
    <row r="61" ht="35.25" customHeight="1">
      <c r="A61" s="80" t="s">
        <v>641</v>
      </c>
    </row>
    <row r="62" ht="10.5" customHeight="1">
      <c r="A62" s="80"/>
    </row>
    <row r="63" ht="68.25" customHeight="1">
      <c r="A63" s="80" t="s">
        <v>642</v>
      </c>
    </row>
    <row r="64" ht="10.5" customHeight="1">
      <c r="A64" s="80"/>
    </row>
    <row r="65" ht="72.75" customHeight="1">
      <c r="A65" s="80" t="s">
        <v>643</v>
      </c>
    </row>
    <row r="66" ht="31.5" customHeight="1">
      <c r="A66" s="80" t="s">
        <v>658</v>
      </c>
    </row>
    <row r="67" ht="82.5" customHeight="1">
      <c r="A67" s="80" t="s">
        <v>659</v>
      </c>
    </row>
    <row r="68" ht="37.5" customHeight="1">
      <c r="A68" s="421" t="s">
        <v>657</v>
      </c>
    </row>
    <row r="69" ht="12" customHeight="1">
      <c r="A69" s="80"/>
    </row>
    <row r="70" ht="54" customHeight="1">
      <c r="A70" s="80" t="s">
        <v>644</v>
      </c>
    </row>
    <row r="71" ht="12" customHeight="1"/>
    <row r="72" s="80" customFormat="1" ht="69" customHeight="1">
      <c r="A72" s="80" t="s">
        <v>645</v>
      </c>
    </row>
    <row r="73" ht="12" customHeight="1"/>
    <row r="74" ht="87" customHeight="1">
      <c r="A74" s="80" t="s">
        <v>646</v>
      </c>
    </row>
    <row r="75" ht="87" customHeight="1">
      <c r="A75" s="578" t="s">
        <v>801</v>
      </c>
    </row>
    <row r="76" ht="87" customHeight="1">
      <c r="A76" s="578" t="s">
        <v>802</v>
      </c>
    </row>
    <row r="77" ht="72" customHeight="1">
      <c r="A77" s="80" t="s">
        <v>803</v>
      </c>
    </row>
    <row r="78" ht="116.25" customHeight="1">
      <c r="A78" s="80" t="s">
        <v>804</v>
      </c>
    </row>
    <row r="79" ht="132.75" customHeight="1">
      <c r="A79" s="80" t="s">
        <v>805</v>
      </c>
    </row>
    <row r="80" ht="84" customHeight="1">
      <c r="A80" s="578" t="s">
        <v>806</v>
      </c>
    </row>
    <row r="81" ht="124.5" customHeight="1">
      <c r="A81" s="80" t="s">
        <v>807</v>
      </c>
    </row>
    <row r="82" ht="38.25" customHeight="1">
      <c r="A82" s="80" t="s">
        <v>808</v>
      </c>
    </row>
    <row r="83" ht="85.5" customHeight="1">
      <c r="A83" s="80" t="s">
        <v>809</v>
      </c>
    </row>
    <row r="84" ht="40.5" customHeight="1">
      <c r="A84" s="80" t="s">
        <v>810</v>
      </c>
    </row>
    <row r="85" ht="140.25" customHeight="1">
      <c r="A85" s="418" t="s">
        <v>811</v>
      </c>
    </row>
    <row r="86" ht="119.25" customHeight="1">
      <c r="A86" s="419" t="s">
        <v>812</v>
      </c>
    </row>
    <row r="87" ht="59.25" customHeight="1">
      <c r="A87" s="420" t="s">
        <v>813</v>
      </c>
    </row>
    <row r="89" ht="154.5" customHeight="1">
      <c r="A89" s="80" t="s">
        <v>647</v>
      </c>
    </row>
    <row r="90" ht="132" customHeight="1">
      <c r="A90" s="80" t="s">
        <v>648</v>
      </c>
    </row>
    <row r="91" ht="54" customHeight="1">
      <c r="A91" s="80" t="s">
        <v>649</v>
      </c>
    </row>
    <row r="92" ht="21.75" customHeight="1">
      <c r="A92" s="80" t="s">
        <v>650</v>
      </c>
    </row>
    <row r="94" ht="52.5" customHeight="1">
      <c r="A94" s="80" t="s">
        <v>651</v>
      </c>
    </row>
    <row r="95" ht="22.5" customHeight="1">
      <c r="A95" s="80" t="s">
        <v>652</v>
      </c>
    </row>
    <row r="96" ht="79.5" customHeight="1">
      <c r="A96" s="578" t="s">
        <v>814</v>
      </c>
    </row>
    <row r="97" ht="90.75" customHeight="1">
      <c r="A97" s="578" t="s">
        <v>815</v>
      </c>
    </row>
    <row r="98" ht="37.5" customHeight="1">
      <c r="A98" s="80" t="s">
        <v>816</v>
      </c>
    </row>
    <row r="99" ht="57.75" customHeight="1">
      <c r="A99" s="80" t="s">
        <v>817</v>
      </c>
    </row>
    <row r="100" ht="57.75" customHeight="1">
      <c r="A100" s="80" t="s">
        <v>818</v>
      </c>
    </row>
    <row r="101" ht="10.5" customHeight="1"/>
    <row r="102" ht="57" customHeight="1">
      <c r="A102" s="80" t="s">
        <v>653</v>
      </c>
    </row>
    <row r="103" ht="15.75" customHeight="1"/>
    <row r="104" ht="54" customHeight="1">
      <c r="A104" s="578" t="s">
        <v>819</v>
      </c>
    </row>
    <row r="105" ht="93" customHeight="1">
      <c r="A105" s="578" t="s">
        <v>820</v>
      </c>
    </row>
    <row r="106" ht="104.25" customHeight="1">
      <c r="A106" s="578" t="s">
        <v>821</v>
      </c>
    </row>
  </sheetData>
  <sheetProtection sheet="1"/>
  <printOptions/>
  <pageMargins left="0.5" right="0.5" top="0.5" bottom="0.5" header="0.5" footer="0.5"/>
  <pageSetup blackAndWhite="1" fitToHeight="2" horizontalDpi="300" verticalDpi="300" orientation="portrait" scale="90" r:id="rId1"/>
  <rowBreaks count="1" manualBreakCount="1">
    <brk id="26" max="0" man="1"/>
  </rowBreaks>
</worksheet>
</file>

<file path=xl/worksheets/sheet10.xml><?xml version="1.0" encoding="utf-8"?>
<worksheet xmlns="http://schemas.openxmlformats.org/spreadsheetml/2006/main" xmlns:r="http://schemas.openxmlformats.org/officeDocument/2006/relationships">
  <dimension ref="A1:G46"/>
  <sheetViews>
    <sheetView zoomScalePageLayoutView="0" workbookViewId="0" topLeftCell="A25">
      <selection activeCell="H67" sqref="H67"/>
    </sheetView>
  </sheetViews>
  <sheetFormatPr defaultColWidth="8.796875" defaultRowHeight="15"/>
  <cols>
    <col min="1" max="1" width="70.3984375" style="168" customWidth="1"/>
    <col min="2" max="16384" width="8.8984375" style="168" customWidth="1"/>
  </cols>
  <sheetData>
    <row r="1" spans="1:7" ht="30" customHeight="1">
      <c r="A1" s="520" t="s">
        <v>353</v>
      </c>
      <c r="B1" s="519"/>
      <c r="C1" s="519"/>
      <c r="D1" s="519"/>
      <c r="E1" s="519"/>
      <c r="F1" s="519"/>
      <c r="G1" s="519"/>
    </row>
    <row r="2" ht="15.75" customHeight="1">
      <c r="A2" s="2"/>
    </row>
    <row r="3" ht="54" customHeight="1">
      <c r="A3" s="518" t="s">
        <v>677</v>
      </c>
    </row>
    <row r="4" ht="15.75" customHeight="1">
      <c r="A4" s="2"/>
    </row>
    <row r="5" ht="52.5" customHeight="1">
      <c r="A5" s="518" t="s">
        <v>678</v>
      </c>
    </row>
    <row r="6" ht="15.75" customHeight="1">
      <c r="A6" s="2"/>
    </row>
    <row r="7" s="516" customFormat="1" ht="45.75" customHeight="1">
      <c r="A7" s="517" t="s">
        <v>393</v>
      </c>
    </row>
    <row r="8" ht="15.75" customHeight="1">
      <c r="A8" s="2"/>
    </row>
    <row r="9" ht="46.5" customHeight="1">
      <c r="A9" s="517" t="s">
        <v>394</v>
      </c>
    </row>
    <row r="10" ht="15.75" customHeight="1"/>
    <row r="11" ht="45.75" customHeight="1">
      <c r="A11" s="517" t="s">
        <v>395</v>
      </c>
    </row>
    <row r="12" ht="15.75" customHeight="1">
      <c r="A12" s="2"/>
    </row>
    <row r="13" ht="62.25" customHeight="1">
      <c r="A13" s="517" t="s">
        <v>396</v>
      </c>
    </row>
    <row r="14" ht="15.75" customHeight="1">
      <c r="A14" s="2"/>
    </row>
    <row r="15" ht="32.25" customHeight="1">
      <c r="A15" s="517" t="s">
        <v>397</v>
      </c>
    </row>
    <row r="16" ht="15.75" customHeight="1"/>
    <row r="17" ht="67.5" customHeight="1">
      <c r="A17" s="515" t="s">
        <v>679</v>
      </c>
    </row>
    <row r="18" ht="15.75" customHeight="1"/>
    <row r="19" ht="81" customHeight="1">
      <c r="A19" s="515" t="s">
        <v>398</v>
      </c>
    </row>
    <row r="20" ht="15.75" customHeight="1">
      <c r="A20" s="2"/>
    </row>
    <row r="21" ht="78" customHeight="1">
      <c r="A21" s="517" t="s">
        <v>399</v>
      </c>
    </row>
    <row r="22" ht="15.75" customHeight="1">
      <c r="A22" s="2"/>
    </row>
    <row r="23" ht="44.25" customHeight="1">
      <c r="A23" s="517" t="s">
        <v>400</v>
      </c>
    </row>
    <row r="24" ht="15.75" customHeight="1"/>
    <row r="25" ht="53.25" customHeight="1">
      <c r="A25" s="515" t="s">
        <v>401</v>
      </c>
    </row>
    <row r="26" ht="16.5" customHeight="1">
      <c r="A26" s="2"/>
    </row>
    <row r="27" ht="40.5" customHeight="1">
      <c r="A27" s="518" t="s">
        <v>680</v>
      </c>
    </row>
    <row r="28" ht="16.5" customHeight="1">
      <c r="A28" s="2"/>
    </row>
    <row r="29" ht="69.75" customHeight="1">
      <c r="A29" s="517" t="s">
        <v>402</v>
      </c>
    </row>
    <row r="30" ht="15.75" customHeight="1">
      <c r="A30" s="2"/>
    </row>
    <row r="31" ht="58.5" customHeight="1">
      <c r="A31" s="517" t="s">
        <v>403</v>
      </c>
    </row>
    <row r="33" ht="60.75" customHeight="1">
      <c r="A33" s="517" t="s">
        <v>404</v>
      </c>
    </row>
    <row r="34" ht="15.75">
      <c r="A34" s="2"/>
    </row>
    <row r="35" ht="82.5" customHeight="1">
      <c r="A35" s="517" t="s">
        <v>405</v>
      </c>
    </row>
    <row r="36" ht="15.75">
      <c r="A36" s="514"/>
    </row>
    <row r="37" ht="15.75">
      <c r="A37" s="514"/>
    </row>
    <row r="39" ht="15.75">
      <c r="A39" s="514"/>
    </row>
    <row r="40" ht="15.75">
      <c r="A40" s="514"/>
    </row>
    <row r="42" ht="15.75">
      <c r="A42" s="2"/>
    </row>
    <row r="43" ht="15.75">
      <c r="A43" s="514"/>
    </row>
    <row r="45" ht="15.75">
      <c r="A45" s="514"/>
    </row>
    <row r="46" ht="15.75">
      <c r="A46" s="514"/>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AB42"/>
  <sheetViews>
    <sheetView zoomScalePageLayoutView="0" workbookViewId="0" topLeftCell="A1">
      <selection activeCell="H67" sqref="H67"/>
    </sheetView>
  </sheetViews>
  <sheetFormatPr defaultColWidth="8.796875" defaultRowHeight="15"/>
  <cols>
    <col min="1" max="1" width="20.796875" style="146" customWidth="1"/>
    <col min="2" max="2" width="9.3984375" style="146" customWidth="1"/>
    <col min="3" max="3" width="9.796875" style="146" customWidth="1"/>
    <col min="4" max="4" width="8.796875" style="146" customWidth="1"/>
    <col min="5" max="5" width="12.796875" style="146" customWidth="1"/>
    <col min="6" max="6" width="14" style="146" customWidth="1"/>
    <col min="7" max="12" width="9.796875" style="146" customWidth="1"/>
    <col min="13" max="16384" width="8.8984375" style="146" customWidth="1"/>
  </cols>
  <sheetData>
    <row r="1" spans="1:12" ht="15.75">
      <c r="A1" s="237" t="str">
        <f>inputPrYr!$C$2</f>
        <v>Geary County</v>
      </c>
      <c r="B1" s="90"/>
      <c r="C1" s="90"/>
      <c r="D1" s="90"/>
      <c r="E1" s="90"/>
      <c r="F1" s="90"/>
      <c r="G1" s="90"/>
      <c r="H1" s="90"/>
      <c r="I1" s="90"/>
      <c r="J1" s="90"/>
      <c r="K1" s="90"/>
      <c r="L1" s="262">
        <f>inputPrYr!$C$4</f>
        <v>2012</v>
      </c>
    </row>
    <row r="2" spans="1:12" ht="15.75">
      <c r="A2" s="237"/>
      <c r="B2" s="90"/>
      <c r="C2" s="90"/>
      <c r="D2" s="90"/>
      <c r="E2" s="90"/>
      <c r="F2" s="90"/>
      <c r="G2" s="90"/>
      <c r="H2" s="90"/>
      <c r="I2" s="90"/>
      <c r="J2" s="90"/>
      <c r="K2" s="90"/>
      <c r="L2" s="249"/>
    </row>
    <row r="3" spans="1:12" ht="15.75">
      <c r="A3" s="263" t="s">
        <v>241</v>
      </c>
      <c r="B3" s="98"/>
      <c r="C3" s="98"/>
      <c r="D3" s="98"/>
      <c r="E3" s="98"/>
      <c r="F3" s="98"/>
      <c r="G3" s="98"/>
      <c r="H3" s="98"/>
      <c r="I3" s="98"/>
      <c r="J3" s="98"/>
      <c r="K3" s="98"/>
      <c r="L3" s="98"/>
    </row>
    <row r="4" spans="1:12" ht="15.75">
      <c r="A4" s="90"/>
      <c r="B4" s="264"/>
      <c r="C4" s="264"/>
      <c r="D4" s="264"/>
      <c r="E4" s="264"/>
      <c r="F4" s="264"/>
      <c r="G4" s="264"/>
      <c r="H4" s="264"/>
      <c r="I4" s="264"/>
      <c r="J4" s="264"/>
      <c r="K4" s="264"/>
      <c r="L4" s="264"/>
    </row>
    <row r="5" spans="1:12" ht="15.75">
      <c r="A5" s="90"/>
      <c r="B5" s="265" t="s">
        <v>208</v>
      </c>
      <c r="C5" s="265" t="s">
        <v>208</v>
      </c>
      <c r="D5" s="265" t="s">
        <v>223</v>
      </c>
      <c r="E5" s="265"/>
      <c r="F5" s="265" t="s">
        <v>343</v>
      </c>
      <c r="G5" s="90"/>
      <c r="H5" s="90"/>
      <c r="I5" s="266" t="s">
        <v>209</v>
      </c>
      <c r="J5" s="267"/>
      <c r="K5" s="266" t="s">
        <v>209</v>
      </c>
      <c r="L5" s="267"/>
    </row>
    <row r="6" spans="1:12" ht="15.75">
      <c r="A6" s="90"/>
      <c r="B6" s="268" t="s">
        <v>210</v>
      </c>
      <c r="C6" s="268" t="s">
        <v>344</v>
      </c>
      <c r="D6" s="268" t="s">
        <v>211</v>
      </c>
      <c r="E6" s="268" t="s">
        <v>153</v>
      </c>
      <c r="F6" s="268" t="s">
        <v>287</v>
      </c>
      <c r="G6" s="768" t="s">
        <v>212</v>
      </c>
      <c r="H6" s="769"/>
      <c r="I6" s="770">
        <f>L1-1</f>
        <v>2011</v>
      </c>
      <c r="J6" s="771"/>
      <c r="K6" s="770">
        <f>L1</f>
        <v>2012</v>
      </c>
      <c r="L6" s="771"/>
    </row>
    <row r="7" spans="1:12" ht="15.75">
      <c r="A7" s="270" t="s">
        <v>213</v>
      </c>
      <c r="B7" s="271" t="s">
        <v>214</v>
      </c>
      <c r="C7" s="271" t="s">
        <v>345</v>
      </c>
      <c r="D7" s="271" t="s">
        <v>178</v>
      </c>
      <c r="E7" s="271" t="s">
        <v>215</v>
      </c>
      <c r="F7" s="269" t="str">
        <f>CONCATENATE("Jan 1,",L1-1,"")</f>
        <v>Jan 1,2011</v>
      </c>
      <c r="G7" s="260" t="s">
        <v>223</v>
      </c>
      <c r="H7" s="260" t="s">
        <v>224</v>
      </c>
      <c r="I7" s="260" t="s">
        <v>223</v>
      </c>
      <c r="J7" s="260" t="s">
        <v>224</v>
      </c>
      <c r="K7" s="260" t="s">
        <v>223</v>
      </c>
      <c r="L7" s="260" t="s">
        <v>224</v>
      </c>
    </row>
    <row r="8" spans="1:12" ht="15.75">
      <c r="A8" s="270" t="s">
        <v>216</v>
      </c>
      <c r="B8" s="112"/>
      <c r="C8" s="112"/>
      <c r="D8" s="272"/>
      <c r="E8" s="273"/>
      <c r="F8" s="273"/>
      <c r="G8" s="112"/>
      <c r="H8" s="112"/>
      <c r="I8" s="273"/>
      <c r="J8" s="273"/>
      <c r="K8" s="273"/>
      <c r="L8" s="273"/>
    </row>
    <row r="9" spans="1:12" ht="15.75">
      <c r="A9" s="274" t="s">
        <v>1076</v>
      </c>
      <c r="B9" s="455">
        <v>38961</v>
      </c>
      <c r="C9" s="455">
        <v>11567</v>
      </c>
      <c r="D9" s="275" t="s">
        <v>1077</v>
      </c>
      <c r="E9" s="276">
        <v>34000000</v>
      </c>
      <c r="F9" s="277">
        <v>32990000</v>
      </c>
      <c r="G9" s="278" t="s">
        <v>1078</v>
      </c>
      <c r="H9" s="278">
        <v>40787</v>
      </c>
      <c r="I9" s="277">
        <v>1554606</v>
      </c>
      <c r="J9" s="277">
        <v>520000</v>
      </c>
      <c r="K9" s="277">
        <v>1520806</v>
      </c>
      <c r="L9" s="277">
        <v>590000</v>
      </c>
    </row>
    <row r="10" spans="1:12" ht="15.75">
      <c r="A10" s="455"/>
      <c r="B10" s="455"/>
      <c r="C10" s="455"/>
      <c r="D10" s="275"/>
      <c r="E10" s="276"/>
      <c r="F10" s="277"/>
      <c r="G10" s="278"/>
      <c r="H10" s="278"/>
      <c r="I10" s="277"/>
      <c r="J10" s="277"/>
      <c r="K10" s="277"/>
      <c r="L10" s="277"/>
    </row>
    <row r="11" spans="1:12" ht="15.75">
      <c r="A11" s="274"/>
      <c r="B11" s="455"/>
      <c r="C11" s="455"/>
      <c r="D11" s="275"/>
      <c r="E11" s="276"/>
      <c r="F11" s="277"/>
      <c r="G11" s="278"/>
      <c r="H11" s="278"/>
      <c r="I11" s="277"/>
      <c r="J11" s="277"/>
      <c r="K11" s="277"/>
      <c r="L11" s="277"/>
    </row>
    <row r="12" spans="1:12" ht="15.75">
      <c r="A12" s="274"/>
      <c r="B12" s="455"/>
      <c r="C12" s="455"/>
      <c r="D12" s="275"/>
      <c r="E12" s="276"/>
      <c r="F12" s="277"/>
      <c r="G12" s="278"/>
      <c r="H12" s="278"/>
      <c r="I12" s="277"/>
      <c r="J12" s="277"/>
      <c r="K12" s="277"/>
      <c r="L12" s="277"/>
    </row>
    <row r="13" spans="1:12" ht="15.75">
      <c r="A13" s="274"/>
      <c r="B13" s="455"/>
      <c r="C13" s="455"/>
      <c r="D13" s="275"/>
      <c r="E13" s="276"/>
      <c r="F13" s="277"/>
      <c r="G13" s="278"/>
      <c r="H13" s="278"/>
      <c r="I13" s="277"/>
      <c r="J13" s="277"/>
      <c r="K13" s="277"/>
      <c r="L13" s="277"/>
    </row>
    <row r="14" spans="1:12" ht="15.75">
      <c r="A14" s="274"/>
      <c r="B14" s="455"/>
      <c r="C14" s="455"/>
      <c r="D14" s="275"/>
      <c r="E14" s="276"/>
      <c r="F14" s="277"/>
      <c r="G14" s="278"/>
      <c r="H14" s="278"/>
      <c r="I14" s="277"/>
      <c r="J14" s="277"/>
      <c r="K14" s="277"/>
      <c r="L14" s="277"/>
    </row>
    <row r="15" spans="1:12" ht="15.75">
      <c r="A15" s="274"/>
      <c r="B15" s="455"/>
      <c r="C15" s="455"/>
      <c r="D15" s="275"/>
      <c r="E15" s="276"/>
      <c r="F15" s="277"/>
      <c r="G15" s="278"/>
      <c r="H15" s="278"/>
      <c r="I15" s="277"/>
      <c r="J15" s="277"/>
      <c r="K15" s="277"/>
      <c r="L15" s="277"/>
    </row>
    <row r="16" spans="1:12" ht="15.75">
      <c r="A16" s="274"/>
      <c r="B16" s="455"/>
      <c r="C16" s="455"/>
      <c r="D16" s="275"/>
      <c r="E16" s="276"/>
      <c r="F16" s="277"/>
      <c r="G16" s="278"/>
      <c r="H16" s="278"/>
      <c r="I16" s="277"/>
      <c r="J16" s="277"/>
      <c r="K16" s="277"/>
      <c r="L16" s="277"/>
    </row>
    <row r="17" spans="1:12" ht="15.75">
      <c r="A17" s="274"/>
      <c r="B17" s="455"/>
      <c r="C17" s="455"/>
      <c r="D17" s="275"/>
      <c r="E17" s="276"/>
      <c r="F17" s="277"/>
      <c r="G17" s="278"/>
      <c r="H17" s="278"/>
      <c r="I17" s="277"/>
      <c r="J17" s="277"/>
      <c r="K17" s="277"/>
      <c r="L17" s="277"/>
    </row>
    <row r="18" spans="1:12" ht="15.75">
      <c r="A18" s="274"/>
      <c r="B18" s="455"/>
      <c r="C18" s="455"/>
      <c r="D18" s="275"/>
      <c r="E18" s="276"/>
      <c r="F18" s="277"/>
      <c r="G18" s="278"/>
      <c r="H18" s="278"/>
      <c r="I18" s="277"/>
      <c r="J18" s="277"/>
      <c r="K18" s="277"/>
      <c r="L18" s="277"/>
    </row>
    <row r="19" spans="1:12" ht="15.75">
      <c r="A19" s="279" t="s">
        <v>217</v>
      </c>
      <c r="B19" s="280"/>
      <c r="C19" s="280"/>
      <c r="D19" s="281"/>
      <c r="E19" s="282"/>
      <c r="F19" s="283">
        <f>SUM(F9:F18)</f>
        <v>32990000</v>
      </c>
      <c r="G19" s="284"/>
      <c r="H19" s="284"/>
      <c r="I19" s="283">
        <f>SUM(I9:I18)</f>
        <v>1554606</v>
      </c>
      <c r="J19" s="283">
        <f>SUM(J9:J18)</f>
        <v>520000</v>
      </c>
      <c r="K19" s="283">
        <f>SUM(K9:K18)</f>
        <v>1520806</v>
      </c>
      <c r="L19" s="283">
        <f>SUM(L9:L18)</f>
        <v>590000</v>
      </c>
    </row>
    <row r="20" spans="1:12" ht="15.75">
      <c r="A20" s="260" t="s">
        <v>218</v>
      </c>
      <c r="B20" s="285"/>
      <c r="C20" s="285"/>
      <c r="D20" s="286"/>
      <c r="E20" s="287"/>
      <c r="F20" s="287"/>
      <c r="G20" s="288"/>
      <c r="H20" s="288"/>
      <c r="I20" s="287"/>
      <c r="J20" s="287"/>
      <c r="K20" s="287"/>
      <c r="L20" s="287"/>
    </row>
    <row r="21" spans="1:12" ht="15.75">
      <c r="A21" s="274"/>
      <c r="B21" s="455"/>
      <c r="C21" s="455"/>
      <c r="D21" s="275"/>
      <c r="E21" s="276"/>
      <c r="F21" s="277"/>
      <c r="G21" s="278"/>
      <c r="H21" s="278"/>
      <c r="I21" s="277"/>
      <c r="J21" s="277"/>
      <c r="K21" s="277"/>
      <c r="L21" s="277"/>
    </row>
    <row r="22" spans="1:12" ht="15.75">
      <c r="A22" s="274"/>
      <c r="B22" s="455"/>
      <c r="C22" s="455"/>
      <c r="D22" s="275"/>
      <c r="E22" s="276"/>
      <c r="F22" s="277"/>
      <c r="G22" s="278"/>
      <c r="H22" s="278"/>
      <c r="I22" s="277"/>
      <c r="J22" s="277"/>
      <c r="K22" s="277"/>
      <c r="L22" s="277"/>
    </row>
    <row r="23" spans="1:12" ht="15.75">
      <c r="A23" s="274"/>
      <c r="B23" s="455"/>
      <c r="C23" s="455"/>
      <c r="D23" s="275"/>
      <c r="E23" s="276"/>
      <c r="F23" s="277"/>
      <c r="G23" s="278"/>
      <c r="H23" s="278"/>
      <c r="I23" s="277"/>
      <c r="J23" s="277"/>
      <c r="K23" s="277"/>
      <c r="L23" s="277"/>
    </row>
    <row r="24" spans="1:12" ht="15.75">
      <c r="A24" s="274"/>
      <c r="B24" s="455"/>
      <c r="C24" s="455"/>
      <c r="D24" s="275"/>
      <c r="E24" s="276"/>
      <c r="F24" s="277"/>
      <c r="G24" s="278"/>
      <c r="H24" s="278"/>
      <c r="I24" s="277"/>
      <c r="J24" s="277"/>
      <c r="K24" s="277"/>
      <c r="L24" s="277"/>
    </row>
    <row r="25" spans="1:12" ht="15.75">
      <c r="A25" s="274"/>
      <c r="B25" s="455"/>
      <c r="C25" s="455"/>
      <c r="D25" s="275"/>
      <c r="E25" s="276"/>
      <c r="F25" s="277"/>
      <c r="G25" s="278"/>
      <c r="H25" s="278"/>
      <c r="I25" s="277"/>
      <c r="J25" s="277"/>
      <c r="K25" s="277"/>
      <c r="L25" s="277"/>
    </row>
    <row r="26" spans="1:12" ht="15.75">
      <c r="A26" s="274"/>
      <c r="B26" s="455"/>
      <c r="C26" s="455"/>
      <c r="D26" s="275"/>
      <c r="E26" s="276"/>
      <c r="F26" s="277"/>
      <c r="G26" s="278"/>
      <c r="H26" s="278"/>
      <c r="I26" s="277"/>
      <c r="J26" s="277"/>
      <c r="K26" s="277"/>
      <c r="L26" s="277"/>
    </row>
    <row r="27" spans="1:12" ht="15.75">
      <c r="A27" s="279" t="s">
        <v>219</v>
      </c>
      <c r="B27" s="280"/>
      <c r="C27" s="280"/>
      <c r="D27" s="289"/>
      <c r="E27" s="282"/>
      <c r="F27" s="290">
        <f>SUM(F21:F26)</f>
        <v>0</v>
      </c>
      <c r="G27" s="284"/>
      <c r="H27" s="284"/>
      <c r="I27" s="290">
        <f>SUM(I21:I26)</f>
        <v>0</v>
      </c>
      <c r="J27" s="290">
        <f>SUM(J21:J26)</f>
        <v>0</v>
      </c>
      <c r="K27" s="283">
        <f>SUM(K21:K26)</f>
        <v>0</v>
      </c>
      <c r="L27" s="290">
        <f>SUM(L21:L26)</f>
        <v>0</v>
      </c>
    </row>
    <row r="28" spans="1:12" ht="15.75">
      <c r="A28" s="260" t="s">
        <v>220</v>
      </c>
      <c r="B28" s="285"/>
      <c r="C28" s="285"/>
      <c r="D28" s="286"/>
      <c r="E28" s="287"/>
      <c r="F28" s="291"/>
      <c r="G28" s="288"/>
      <c r="H28" s="288"/>
      <c r="I28" s="287"/>
      <c r="J28" s="287"/>
      <c r="K28" s="287"/>
      <c r="L28" s="287"/>
    </row>
    <row r="29" spans="1:12" ht="15.75">
      <c r="A29" s="274"/>
      <c r="B29" s="455"/>
      <c r="C29" s="455"/>
      <c r="D29" s="275"/>
      <c r="E29" s="276"/>
      <c r="F29" s="277"/>
      <c r="G29" s="278"/>
      <c r="H29" s="278"/>
      <c r="I29" s="277"/>
      <c r="J29" s="277"/>
      <c r="K29" s="277"/>
      <c r="L29" s="277"/>
    </row>
    <row r="30" spans="1:12" ht="15.75">
      <c r="A30" s="274"/>
      <c r="B30" s="455"/>
      <c r="C30" s="455"/>
      <c r="D30" s="275"/>
      <c r="E30" s="276"/>
      <c r="F30" s="277"/>
      <c r="G30" s="278"/>
      <c r="H30" s="278"/>
      <c r="I30" s="277"/>
      <c r="J30" s="277"/>
      <c r="K30" s="277"/>
      <c r="L30" s="277"/>
    </row>
    <row r="31" spans="1:12" ht="15.75">
      <c r="A31" s="274"/>
      <c r="B31" s="455"/>
      <c r="C31" s="455"/>
      <c r="D31" s="275"/>
      <c r="E31" s="276"/>
      <c r="F31" s="277"/>
      <c r="G31" s="278"/>
      <c r="H31" s="278"/>
      <c r="I31" s="277"/>
      <c r="J31" s="277"/>
      <c r="K31" s="277"/>
      <c r="L31" s="277"/>
    </row>
    <row r="32" spans="1:12" ht="15.75">
      <c r="A32" s="274"/>
      <c r="B32" s="455"/>
      <c r="C32" s="455"/>
      <c r="D32" s="275"/>
      <c r="E32" s="276"/>
      <c r="F32" s="277"/>
      <c r="G32" s="278"/>
      <c r="H32" s="278"/>
      <c r="I32" s="277"/>
      <c r="J32" s="277"/>
      <c r="K32" s="277"/>
      <c r="L32" s="277"/>
    </row>
    <row r="33" spans="1:12" ht="15.75">
      <c r="A33" s="274"/>
      <c r="B33" s="455"/>
      <c r="C33" s="455"/>
      <c r="D33" s="275"/>
      <c r="E33" s="276"/>
      <c r="F33" s="277"/>
      <c r="G33" s="278"/>
      <c r="H33" s="278"/>
      <c r="I33" s="277"/>
      <c r="J33" s="277"/>
      <c r="K33" s="277"/>
      <c r="L33" s="277"/>
    </row>
    <row r="34" spans="1:12" ht="15.75">
      <c r="A34" s="274"/>
      <c r="B34" s="455"/>
      <c r="C34" s="455"/>
      <c r="D34" s="275"/>
      <c r="E34" s="276"/>
      <c r="F34" s="277"/>
      <c r="G34" s="278"/>
      <c r="H34" s="278"/>
      <c r="I34" s="277"/>
      <c r="J34" s="277"/>
      <c r="K34" s="277"/>
      <c r="L34" s="277"/>
    </row>
    <row r="35" spans="1:28" ht="15.75">
      <c r="A35" s="274"/>
      <c r="B35" s="455"/>
      <c r="C35" s="455"/>
      <c r="D35" s="275"/>
      <c r="E35" s="276"/>
      <c r="F35" s="277"/>
      <c r="G35" s="278"/>
      <c r="H35" s="278"/>
      <c r="I35" s="277"/>
      <c r="J35" s="277"/>
      <c r="K35" s="277"/>
      <c r="L35" s="277"/>
      <c r="M35" s="77"/>
      <c r="N35" s="77"/>
      <c r="O35" s="77"/>
      <c r="P35" s="77"/>
      <c r="Q35" s="77"/>
      <c r="R35" s="77"/>
      <c r="S35" s="77"/>
      <c r="T35" s="77"/>
      <c r="U35" s="77"/>
      <c r="V35" s="77"/>
      <c r="W35" s="77"/>
      <c r="X35" s="77"/>
      <c r="Y35" s="77"/>
      <c r="Z35" s="77"/>
      <c r="AA35" s="77"/>
      <c r="AB35" s="77"/>
    </row>
    <row r="36" spans="1:12" ht="15.75">
      <c r="A36" s="279" t="s">
        <v>346</v>
      </c>
      <c r="B36" s="279"/>
      <c r="C36" s="279"/>
      <c r="D36" s="289"/>
      <c r="E36" s="282"/>
      <c r="F36" s="290">
        <f>SUM(F29:F35)</f>
        <v>0</v>
      </c>
      <c r="G36" s="282"/>
      <c r="H36" s="282"/>
      <c r="I36" s="290">
        <f>SUM(I29:I35)</f>
        <v>0</v>
      </c>
      <c r="J36" s="290">
        <f>SUM(J29:J35)</f>
        <v>0</v>
      </c>
      <c r="K36" s="290">
        <f>SUM(K29:K35)</f>
        <v>0</v>
      </c>
      <c r="L36" s="290">
        <f>SUM(L29:L35)</f>
        <v>0</v>
      </c>
    </row>
    <row r="37" spans="1:12" ht="15.75">
      <c r="A37" s="279" t="s">
        <v>221</v>
      </c>
      <c r="B37" s="279"/>
      <c r="C37" s="279"/>
      <c r="D37" s="279"/>
      <c r="E37" s="282"/>
      <c r="F37" s="290">
        <f>SUM(F19+F27+F36)</f>
        <v>32990000</v>
      </c>
      <c r="G37" s="282"/>
      <c r="H37" s="282"/>
      <c r="I37" s="290">
        <f>SUM(I19+I27+I36)</f>
        <v>1554606</v>
      </c>
      <c r="J37" s="290">
        <f>SUM(J19+J27+J36)</f>
        <v>520000</v>
      </c>
      <c r="K37" s="290">
        <f>SUM(K19+K27+K36)</f>
        <v>1520806</v>
      </c>
      <c r="L37" s="290">
        <f>SUM(L19+L27+L36)</f>
        <v>590000</v>
      </c>
    </row>
    <row r="38" spans="1:12" ht="15.75">
      <c r="A38" s="77"/>
      <c r="B38" s="77"/>
      <c r="C38" s="77"/>
      <c r="D38" s="77"/>
      <c r="E38" s="77"/>
      <c r="F38" s="77"/>
      <c r="G38" s="77"/>
      <c r="H38" s="77"/>
      <c r="I38" s="77"/>
      <c r="J38" s="77"/>
      <c r="K38" s="77"/>
      <c r="L38" s="77"/>
    </row>
    <row r="39" spans="5:12" ht="15.75">
      <c r="E39" s="292"/>
      <c r="F39" s="292"/>
      <c r="I39" s="292"/>
      <c r="J39" s="292"/>
      <c r="K39" s="292"/>
      <c r="L39" s="292"/>
    </row>
    <row r="40" spans="5:13" ht="15.75">
      <c r="E40" s="77"/>
      <c r="G40" s="293"/>
      <c r="M40" s="77"/>
    </row>
    <row r="41" spans="1:12" ht="15.75">
      <c r="A41" s="77"/>
      <c r="B41" s="77"/>
      <c r="C41" s="77"/>
      <c r="D41" s="77"/>
      <c r="E41" s="77"/>
      <c r="F41" s="77"/>
      <c r="G41" s="77"/>
      <c r="H41" s="77"/>
      <c r="I41" s="77"/>
      <c r="J41" s="77"/>
      <c r="K41" s="77"/>
      <c r="L41" s="77"/>
    </row>
    <row r="42" spans="1:12" ht="15.75">
      <c r="A42" s="77"/>
      <c r="B42" s="77"/>
      <c r="C42" s="77"/>
      <c r="D42" s="77"/>
      <c r="E42" s="77"/>
      <c r="F42" s="77"/>
      <c r="G42" s="77"/>
      <c r="H42" s="77"/>
      <c r="I42" s="77"/>
      <c r="J42" s="77"/>
      <c r="K42" s="77"/>
      <c r="L42" s="77"/>
    </row>
  </sheetData>
  <sheetProtection sheet="1"/>
  <mergeCells count="3">
    <mergeCell ref="G6:H6"/>
    <mergeCell ref="I6:J6"/>
    <mergeCell ref="K6:L6"/>
  </mergeCells>
  <printOptions/>
  <pageMargins left="1" right="0.5" top="0.78" bottom="0.4" header="0.5" footer="0"/>
  <pageSetup blackAndWhite="1" fitToHeight="1" fitToWidth="1" horizontalDpi="120" verticalDpi="120" orientation="landscape" scale="76" r:id="rId1"/>
  <headerFooter alignWithMargins="0">
    <oddHeader>&amp;RState of Kansas
County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48"/>
  <sheetViews>
    <sheetView zoomScalePageLayoutView="0" workbookViewId="0" topLeftCell="C1">
      <selection activeCell="H67" sqref="H67"/>
    </sheetView>
  </sheetViews>
  <sheetFormatPr defaultColWidth="8.796875" defaultRowHeight="15"/>
  <cols>
    <col min="1" max="1" width="25.796875" style="77" customWidth="1"/>
    <col min="2" max="4" width="9.796875" style="77" customWidth="1"/>
    <col min="5" max="5" width="17.09765625" style="77" customWidth="1"/>
    <col min="6" max="8" width="15.796875" style="77" customWidth="1"/>
    <col min="9" max="16384" width="8.8984375" style="77" customWidth="1"/>
  </cols>
  <sheetData>
    <row r="1" spans="1:8" ht="27" customHeight="1">
      <c r="A1" s="237" t="str">
        <f>inputPrYr!$C$2</f>
        <v>Geary County</v>
      </c>
      <c r="B1" s="90"/>
      <c r="C1" s="90"/>
      <c r="D1" s="90"/>
      <c r="E1" s="90"/>
      <c r="F1" s="90"/>
      <c r="G1" s="90"/>
      <c r="H1" s="294">
        <f>inputPrYr!C4</f>
        <v>2012</v>
      </c>
    </row>
    <row r="2" spans="1:8" ht="15.75">
      <c r="A2" s="90"/>
      <c r="B2" s="90"/>
      <c r="C2" s="90"/>
      <c r="D2" s="90"/>
      <c r="E2" s="90"/>
      <c r="F2" s="90"/>
      <c r="G2" s="90"/>
      <c r="H2" s="249"/>
    </row>
    <row r="3" spans="1:8" ht="15.75">
      <c r="A3" s="90"/>
      <c r="B3" s="98"/>
      <c r="C3" s="98"/>
      <c r="D3" s="98"/>
      <c r="E3" s="98"/>
      <c r="F3" s="98"/>
      <c r="G3" s="98"/>
      <c r="H3" s="295"/>
    </row>
    <row r="4" spans="1:8" ht="15.75">
      <c r="A4" s="263" t="s">
        <v>234</v>
      </c>
      <c r="B4" s="98"/>
      <c r="C4" s="98"/>
      <c r="D4" s="98"/>
      <c r="E4" s="98"/>
      <c r="F4" s="98"/>
      <c r="G4" s="98"/>
      <c r="H4" s="98"/>
    </row>
    <row r="5" spans="1:8" ht="15.75">
      <c r="A5" s="118"/>
      <c r="B5" s="264"/>
      <c r="C5" s="264"/>
      <c r="D5" s="264"/>
      <c r="E5" s="264"/>
      <c r="F5" s="264"/>
      <c r="G5" s="264"/>
      <c r="H5" s="264"/>
    </row>
    <row r="6" spans="1:8" ht="15.75">
      <c r="A6" s="296"/>
      <c r="B6" s="297"/>
      <c r="C6" s="297"/>
      <c r="D6" s="297"/>
      <c r="E6" s="265" t="s">
        <v>133</v>
      </c>
      <c r="F6" s="297"/>
      <c r="G6" s="297"/>
      <c r="H6" s="297"/>
    </row>
    <row r="7" spans="1:8" ht="15.75">
      <c r="A7" s="296"/>
      <c r="B7" s="268"/>
      <c r="C7" s="268" t="s">
        <v>222</v>
      </c>
      <c r="D7" s="268" t="s">
        <v>223</v>
      </c>
      <c r="E7" s="268" t="s">
        <v>153</v>
      </c>
      <c r="F7" s="268" t="s">
        <v>224</v>
      </c>
      <c r="G7" s="268" t="s">
        <v>225</v>
      </c>
      <c r="H7" s="268" t="s">
        <v>225</v>
      </c>
    </row>
    <row r="8" spans="1:8" ht="15.75">
      <c r="A8" s="296"/>
      <c r="B8" s="268" t="s">
        <v>226</v>
      </c>
      <c r="C8" s="268" t="s">
        <v>227</v>
      </c>
      <c r="D8" s="268" t="s">
        <v>211</v>
      </c>
      <c r="E8" s="268" t="s">
        <v>228</v>
      </c>
      <c r="F8" s="268" t="s">
        <v>268</v>
      </c>
      <c r="G8" s="268" t="s">
        <v>229</v>
      </c>
      <c r="H8" s="268" t="s">
        <v>229</v>
      </c>
    </row>
    <row r="9" spans="1:8" ht="15.75">
      <c r="A9" s="298" t="s">
        <v>230</v>
      </c>
      <c r="B9" s="271" t="s">
        <v>208</v>
      </c>
      <c r="C9" s="299" t="s">
        <v>231</v>
      </c>
      <c r="D9" s="271" t="s">
        <v>178</v>
      </c>
      <c r="E9" s="299" t="s">
        <v>288</v>
      </c>
      <c r="F9" s="300" t="str">
        <f>CONCATENATE("Jan 1,",H1-1,"")</f>
        <v>Jan 1,2011</v>
      </c>
      <c r="G9" s="271">
        <f>H1-1</f>
        <v>2011</v>
      </c>
      <c r="H9" s="271">
        <f>H1</f>
        <v>2012</v>
      </c>
    </row>
    <row r="10" spans="1:8" ht="15.75">
      <c r="A10" s="301" t="s">
        <v>1079</v>
      </c>
      <c r="B10" s="454">
        <v>39266</v>
      </c>
      <c r="C10" s="302">
        <v>48</v>
      </c>
      <c r="D10" s="303">
        <v>4.45</v>
      </c>
      <c r="E10" s="116">
        <v>490000</v>
      </c>
      <c r="F10" s="116">
        <v>122500</v>
      </c>
      <c r="G10" s="116">
        <v>125226</v>
      </c>
      <c r="H10" s="116">
        <v>0</v>
      </c>
    </row>
    <row r="11" spans="1:8" ht="15.75">
      <c r="A11" s="301"/>
      <c r="B11" s="301"/>
      <c r="C11" s="302"/>
      <c r="D11" s="303"/>
      <c r="E11" s="116"/>
      <c r="F11" s="116"/>
      <c r="G11" s="116"/>
      <c r="H11" s="116"/>
    </row>
    <row r="12" spans="1:8" ht="15.75">
      <c r="A12" s="301"/>
      <c r="B12" s="454"/>
      <c r="C12" s="302"/>
      <c r="D12" s="303"/>
      <c r="E12" s="116"/>
      <c r="F12" s="116"/>
      <c r="G12" s="116"/>
      <c r="H12" s="116"/>
    </row>
    <row r="13" spans="1:8" ht="15.75">
      <c r="A13" s="301"/>
      <c r="B13" s="301"/>
      <c r="C13" s="302"/>
      <c r="D13" s="303"/>
      <c r="E13" s="116"/>
      <c r="F13" s="116"/>
      <c r="G13" s="116"/>
      <c r="H13" s="116"/>
    </row>
    <row r="14" spans="1:8" ht="15.75">
      <c r="A14" s="301"/>
      <c r="B14" s="301"/>
      <c r="C14" s="302"/>
      <c r="D14" s="303"/>
      <c r="E14" s="116"/>
      <c r="F14" s="116"/>
      <c r="G14" s="116"/>
      <c r="H14" s="116"/>
    </row>
    <row r="15" spans="1:8" ht="15.75">
      <c r="A15" s="301"/>
      <c r="B15" s="301"/>
      <c r="C15" s="302"/>
      <c r="D15" s="303"/>
      <c r="E15" s="116"/>
      <c r="F15" s="116"/>
      <c r="G15" s="116"/>
      <c r="H15" s="116"/>
    </row>
    <row r="16" spans="1:8" ht="15.75">
      <c r="A16" s="301"/>
      <c r="B16" s="301"/>
      <c r="C16" s="302"/>
      <c r="D16" s="303"/>
      <c r="E16" s="116"/>
      <c r="F16" s="116"/>
      <c r="G16" s="116"/>
      <c r="H16" s="116"/>
    </row>
    <row r="17" spans="1:8" ht="15.75">
      <c r="A17" s="301"/>
      <c r="B17" s="301"/>
      <c r="C17" s="302"/>
      <c r="D17" s="303"/>
      <c r="E17" s="116"/>
      <c r="F17" s="116"/>
      <c r="G17" s="116"/>
      <c r="H17" s="116"/>
    </row>
    <row r="18" spans="1:8" ht="15.75">
      <c r="A18" s="301"/>
      <c r="B18" s="301"/>
      <c r="C18" s="302"/>
      <c r="D18" s="303"/>
      <c r="E18" s="116"/>
      <c r="F18" s="116"/>
      <c r="G18" s="116"/>
      <c r="H18" s="116"/>
    </row>
    <row r="19" spans="1:8" ht="15.75">
      <c r="A19" s="301"/>
      <c r="B19" s="301"/>
      <c r="C19" s="302"/>
      <c r="D19" s="303"/>
      <c r="E19" s="116"/>
      <c r="F19" s="116"/>
      <c r="G19" s="116"/>
      <c r="H19" s="116"/>
    </row>
    <row r="20" spans="1:8" ht="15.75">
      <c r="A20" s="301"/>
      <c r="B20" s="301"/>
      <c r="C20" s="302"/>
      <c r="D20" s="303"/>
      <c r="E20" s="116"/>
      <c r="F20" s="116"/>
      <c r="G20" s="116"/>
      <c r="H20" s="116"/>
    </row>
    <row r="21" spans="1:8" ht="15.75">
      <c r="A21" s="301"/>
      <c r="B21" s="301"/>
      <c r="C21" s="302"/>
      <c r="D21" s="303"/>
      <c r="E21" s="116"/>
      <c r="F21" s="116"/>
      <c r="G21" s="116"/>
      <c r="H21" s="116"/>
    </row>
    <row r="22" spans="1:8" ht="15.75">
      <c r="A22" s="301"/>
      <c r="B22" s="301"/>
      <c r="C22" s="302"/>
      <c r="D22" s="303"/>
      <c r="E22" s="116"/>
      <c r="F22" s="116"/>
      <c r="G22" s="116"/>
      <c r="H22" s="116"/>
    </row>
    <row r="23" spans="1:8" ht="15.75">
      <c r="A23" s="301"/>
      <c r="B23" s="301"/>
      <c r="C23" s="302"/>
      <c r="D23" s="303"/>
      <c r="E23" s="116"/>
      <c r="F23" s="116"/>
      <c r="G23" s="116"/>
      <c r="H23" s="116"/>
    </row>
    <row r="24" spans="1:8" ht="15.75">
      <c r="A24" s="301"/>
      <c r="B24" s="301"/>
      <c r="C24" s="302"/>
      <c r="D24" s="303"/>
      <c r="E24" s="116"/>
      <c r="F24" s="116"/>
      <c r="G24" s="116"/>
      <c r="H24" s="116"/>
    </row>
    <row r="25" spans="1:8" ht="15.75">
      <c r="A25" s="301"/>
      <c r="B25" s="301"/>
      <c r="C25" s="302"/>
      <c r="D25" s="303"/>
      <c r="E25" s="116"/>
      <c r="F25" s="116"/>
      <c r="G25" s="116"/>
      <c r="H25" s="116"/>
    </row>
    <row r="26" spans="1:8" ht="15.75">
      <c r="A26" s="301"/>
      <c r="B26" s="301"/>
      <c r="C26" s="302"/>
      <c r="D26" s="303"/>
      <c r="E26" s="116"/>
      <c r="F26" s="116"/>
      <c r="G26" s="116"/>
      <c r="H26" s="116"/>
    </row>
    <row r="27" spans="1:8" ht="15.75">
      <c r="A27" s="301"/>
      <c r="B27" s="301"/>
      <c r="C27" s="302"/>
      <c r="D27" s="303"/>
      <c r="E27" s="116"/>
      <c r="F27" s="116"/>
      <c r="G27" s="116"/>
      <c r="H27" s="116"/>
    </row>
    <row r="28" spans="1:8" ht="15.75">
      <c r="A28" s="301"/>
      <c r="B28" s="301"/>
      <c r="C28" s="302"/>
      <c r="D28" s="303"/>
      <c r="E28" s="116"/>
      <c r="F28" s="116"/>
      <c r="G28" s="116"/>
      <c r="H28" s="116"/>
    </row>
    <row r="29" spans="1:8" ht="15.75">
      <c r="A29" s="301"/>
      <c r="B29" s="301"/>
      <c r="C29" s="302"/>
      <c r="D29" s="303"/>
      <c r="E29" s="116"/>
      <c r="F29" s="116"/>
      <c r="G29" s="116"/>
      <c r="H29" s="116"/>
    </row>
    <row r="30" spans="1:8" ht="15.75">
      <c r="A30" s="301"/>
      <c r="B30" s="301"/>
      <c r="C30" s="302"/>
      <c r="D30" s="303"/>
      <c r="E30" s="116"/>
      <c r="F30" s="116"/>
      <c r="G30" s="116"/>
      <c r="H30" s="116"/>
    </row>
    <row r="31" spans="1:8" ht="15.75">
      <c r="A31" s="301"/>
      <c r="B31" s="301"/>
      <c r="C31" s="302"/>
      <c r="D31" s="303"/>
      <c r="E31" s="116"/>
      <c r="F31" s="116"/>
      <c r="G31" s="116"/>
      <c r="H31" s="116"/>
    </row>
    <row r="32" spans="1:8" ht="15.75">
      <c r="A32" s="301"/>
      <c r="B32" s="301"/>
      <c r="C32" s="302"/>
      <c r="D32" s="303"/>
      <c r="E32" s="116"/>
      <c r="F32" s="116"/>
      <c r="G32" s="116"/>
      <c r="H32" s="116"/>
    </row>
    <row r="33" spans="1:8" ht="15.75">
      <c r="A33" s="301"/>
      <c r="B33" s="301"/>
      <c r="C33" s="302"/>
      <c r="D33" s="303"/>
      <c r="E33" s="116"/>
      <c r="F33" s="116"/>
      <c r="G33" s="116"/>
      <c r="H33" s="116"/>
    </row>
    <row r="34" spans="1:8" ht="15.75">
      <c r="A34" s="301"/>
      <c r="B34" s="301"/>
      <c r="C34" s="302"/>
      <c r="D34" s="303"/>
      <c r="E34" s="116"/>
      <c r="F34" s="116"/>
      <c r="G34" s="116"/>
      <c r="H34" s="116"/>
    </row>
    <row r="35" spans="1:8" ht="15.75">
      <c r="A35" s="301"/>
      <c r="B35" s="301"/>
      <c r="C35" s="302"/>
      <c r="D35" s="303"/>
      <c r="E35" s="116"/>
      <c r="F35" s="116"/>
      <c r="G35" s="116"/>
      <c r="H35" s="116"/>
    </row>
    <row r="36" spans="1:8" ht="15.75">
      <c r="A36" s="301"/>
      <c r="B36" s="301"/>
      <c r="C36" s="302"/>
      <c r="D36" s="303"/>
      <c r="E36" s="116"/>
      <c r="F36" s="116"/>
      <c r="G36" s="116"/>
      <c r="H36" s="116"/>
    </row>
    <row r="37" spans="1:9" ht="16.5" thickBot="1">
      <c r="A37" s="270" t="s">
        <v>159</v>
      </c>
      <c r="B37" s="90"/>
      <c r="C37" s="90"/>
      <c r="D37" s="90"/>
      <c r="E37" s="90"/>
      <c r="F37" s="304">
        <f>SUM(F10:F36)</f>
        <v>122500</v>
      </c>
      <c r="G37" s="304">
        <f>SUM(G10:G36)</f>
        <v>125226</v>
      </c>
      <c r="H37" s="304">
        <f>SUM(H10:H36)</f>
        <v>0</v>
      </c>
      <c r="I37" s="305"/>
    </row>
    <row r="38" spans="1:8" ht="16.5" thickTop="1">
      <c r="A38" s="90"/>
      <c r="B38" s="90"/>
      <c r="C38" s="90"/>
      <c r="D38" s="90"/>
      <c r="E38" s="90"/>
      <c r="F38" s="90"/>
      <c r="G38" s="237"/>
      <c r="H38" s="237"/>
    </row>
    <row r="39" spans="1:8" ht="15.75">
      <c r="A39" s="306" t="s">
        <v>90</v>
      </c>
      <c r="B39" s="307"/>
      <c r="C39" s="307"/>
      <c r="D39" s="307"/>
      <c r="E39" s="307"/>
      <c r="F39" s="307"/>
      <c r="G39" s="237"/>
      <c r="H39" s="237"/>
    </row>
    <row r="40" spans="1:8" ht="15.75">
      <c r="A40" s="146"/>
      <c r="B40" s="146"/>
      <c r="C40" s="293"/>
      <c r="D40" s="146"/>
      <c r="E40" s="146"/>
      <c r="F40" s="146"/>
      <c r="G40" s="292"/>
      <c r="H40" s="292"/>
    </row>
    <row r="41" spans="1:8" ht="15.75">
      <c r="A41" s="146"/>
      <c r="B41" s="146"/>
      <c r="C41" s="146"/>
      <c r="D41" s="146"/>
      <c r="E41" s="146"/>
      <c r="F41" s="146"/>
      <c r="G41" s="146"/>
      <c r="H41" s="146"/>
    </row>
    <row r="42" spans="1:8" ht="15.75">
      <c r="A42" s="146"/>
      <c r="B42" s="146"/>
      <c r="C42" s="146"/>
      <c r="D42" s="146"/>
      <c r="E42" s="146"/>
      <c r="F42" s="146"/>
      <c r="G42" s="146"/>
      <c r="H42" s="146"/>
    </row>
    <row r="43" spans="1:8" ht="15.75">
      <c r="A43" s="146"/>
      <c r="B43" s="146"/>
      <c r="C43" s="146"/>
      <c r="D43" s="146"/>
      <c r="E43" s="146"/>
      <c r="F43" s="146"/>
      <c r="G43" s="146"/>
      <c r="H43" s="146"/>
    </row>
    <row r="44" spans="1:8" ht="15.75">
      <c r="A44" s="146"/>
      <c r="B44" s="146"/>
      <c r="C44" s="146"/>
      <c r="D44" s="146"/>
      <c r="E44" s="146"/>
      <c r="F44" s="146"/>
      <c r="G44" s="146"/>
      <c r="H44" s="146"/>
    </row>
    <row r="45" spans="1:8" ht="15.75">
      <c r="A45" s="146"/>
      <c r="B45" s="146"/>
      <c r="C45" s="146"/>
      <c r="D45" s="146"/>
      <c r="E45" s="146"/>
      <c r="F45" s="146"/>
      <c r="G45" s="146"/>
      <c r="H45" s="146"/>
    </row>
    <row r="46" spans="1:8" ht="15.75">
      <c r="A46" s="146"/>
      <c r="B46" s="146"/>
      <c r="C46" s="146"/>
      <c r="D46" s="146"/>
      <c r="E46" s="146"/>
      <c r="F46" s="146"/>
      <c r="G46" s="146"/>
      <c r="H46" s="146"/>
    </row>
    <row r="47" spans="1:8" ht="15.75">
      <c r="A47" s="146"/>
      <c r="B47" s="146"/>
      <c r="C47" s="146"/>
      <c r="D47" s="146"/>
      <c r="E47" s="146"/>
      <c r="F47" s="146"/>
      <c r="G47" s="146"/>
      <c r="H47" s="146"/>
    </row>
    <row r="48" spans="1:8" ht="15.75">
      <c r="A48" s="146"/>
      <c r="B48" s="146"/>
      <c r="C48" s="146"/>
      <c r="D48" s="146"/>
      <c r="E48" s="146"/>
      <c r="F48" s="146"/>
      <c r="G48" s="146"/>
      <c r="H48" s="146"/>
    </row>
  </sheetData>
  <sheetProtection sheet="1"/>
  <printOptions/>
  <pageMargins left="1" right="0.5" top="0.78" bottom="0.4" header="0.5" footer="0"/>
  <pageSetup blackAndWhite="1" fitToHeight="1" fitToWidth="1" horizontalDpi="120" verticalDpi="120" orientation="landscape" scale="84" r:id="rId1"/>
  <headerFooter alignWithMargins="0">
    <oddHeader>&amp;RState of Kansas
County
</oddHeader>
    <oddFooter>&amp;CPage No. 6</oddFooter>
  </headerFooter>
</worksheet>
</file>

<file path=xl/worksheets/sheet13.xml><?xml version="1.0" encoding="utf-8"?>
<worksheet xmlns="http://schemas.openxmlformats.org/spreadsheetml/2006/main" xmlns:r="http://schemas.openxmlformats.org/officeDocument/2006/relationships">
  <dimension ref="B1:J133"/>
  <sheetViews>
    <sheetView zoomScalePageLayoutView="0" workbookViewId="0" topLeftCell="A40">
      <selection activeCell="H67" sqref="H67"/>
    </sheetView>
  </sheetViews>
  <sheetFormatPr defaultColWidth="8.796875" defaultRowHeight="15"/>
  <cols>
    <col min="1" max="1" width="2.3984375" style="77" customWidth="1"/>
    <col min="2" max="2" width="32.296875" style="77" customWidth="1"/>
    <col min="3" max="4" width="15.796875" style="77" customWidth="1"/>
    <col min="5" max="5" width="16.19921875" style="77" customWidth="1"/>
    <col min="6" max="6" width="7.3984375" style="77" customWidth="1"/>
    <col min="7" max="7" width="12.296875" style="77" customWidth="1"/>
    <col min="8" max="8" width="8.8984375" style="77" customWidth="1"/>
    <col min="9" max="9" width="5" style="77" customWidth="1"/>
    <col min="10" max="10" width="7.796875" style="77" customWidth="1"/>
    <col min="11" max="16384" width="8.8984375" style="77" customWidth="1"/>
  </cols>
  <sheetData>
    <row r="1" spans="2:5" ht="15.75">
      <c r="B1" s="237" t="str">
        <f>inputPrYr!C2</f>
        <v>Geary County</v>
      </c>
      <c r="C1" s="90"/>
      <c r="D1" s="90"/>
      <c r="E1" s="294">
        <f>inputPrYr!C4</f>
        <v>2012</v>
      </c>
    </row>
    <row r="2" spans="2:5" ht="15.75">
      <c r="B2" s="90"/>
      <c r="C2" s="90"/>
      <c r="D2" s="90"/>
      <c r="E2" s="249"/>
    </row>
    <row r="3" spans="2:5" ht="15.75">
      <c r="B3" s="155" t="s">
        <v>239</v>
      </c>
      <c r="C3" s="90"/>
      <c r="D3" s="90"/>
      <c r="E3" s="308"/>
    </row>
    <row r="4" spans="2:5" ht="15.75">
      <c r="B4" s="309" t="s">
        <v>162</v>
      </c>
      <c r="C4" s="478" t="s">
        <v>192</v>
      </c>
      <c r="D4" s="477" t="s">
        <v>326</v>
      </c>
      <c r="E4" s="479" t="s">
        <v>327</v>
      </c>
    </row>
    <row r="5" spans="2:5" ht="15.75">
      <c r="B5" s="512" t="str">
        <f>inputPrYr!B16</f>
        <v>General</v>
      </c>
      <c r="C5" s="459">
        <f>E1-2</f>
        <v>2010</v>
      </c>
      <c r="D5" s="459">
        <f>E1-1</f>
        <v>2011</v>
      </c>
      <c r="E5" s="310">
        <f>E1</f>
        <v>2012</v>
      </c>
    </row>
    <row r="6" spans="2:5" ht="15.75">
      <c r="B6" s="311" t="s">
        <v>281</v>
      </c>
      <c r="C6" s="456">
        <v>3528874</v>
      </c>
      <c r="D6" s="460">
        <f>C114</f>
        <v>3078061</v>
      </c>
      <c r="E6" s="273">
        <f>D114</f>
        <v>1391487</v>
      </c>
    </row>
    <row r="7" spans="2:5" ht="15.75">
      <c r="B7" s="298" t="s">
        <v>283</v>
      </c>
      <c r="C7" s="313"/>
      <c r="D7" s="313"/>
      <c r="E7" s="130"/>
    </row>
    <row r="8" spans="2:5" ht="15.75">
      <c r="B8" s="311" t="s">
        <v>163</v>
      </c>
      <c r="C8" s="456">
        <v>4161543</v>
      </c>
      <c r="D8" s="456">
        <v>4605792</v>
      </c>
      <c r="E8" s="230" t="s">
        <v>149</v>
      </c>
    </row>
    <row r="9" spans="2:5" ht="15.75">
      <c r="B9" s="311" t="s">
        <v>164</v>
      </c>
      <c r="C9" s="456">
        <v>85832</v>
      </c>
      <c r="D9" s="456">
        <v>50000</v>
      </c>
      <c r="E9" s="314">
        <v>60000</v>
      </c>
    </row>
    <row r="10" spans="2:5" ht="15.75">
      <c r="B10" s="311" t="s">
        <v>165</v>
      </c>
      <c r="C10" s="456">
        <v>383706</v>
      </c>
      <c r="D10" s="456">
        <v>477900</v>
      </c>
      <c r="E10" s="273">
        <f>mvalloc!D8</f>
        <v>516012</v>
      </c>
    </row>
    <row r="11" spans="2:5" ht="15.75">
      <c r="B11" s="311" t="s">
        <v>166</v>
      </c>
      <c r="C11" s="456">
        <v>4493</v>
      </c>
      <c r="D11" s="456">
        <v>5371</v>
      </c>
      <c r="E11" s="273">
        <f>mvalloc!E8</f>
        <v>5996</v>
      </c>
    </row>
    <row r="12" spans="2:5" ht="15.75">
      <c r="B12" s="313" t="s">
        <v>263</v>
      </c>
      <c r="C12" s="456">
        <v>6378</v>
      </c>
      <c r="D12" s="456">
        <v>7657</v>
      </c>
      <c r="E12" s="273">
        <f>mvalloc!F8</f>
        <v>8449</v>
      </c>
    </row>
    <row r="13" spans="2:5" ht="15.75">
      <c r="B13" s="311" t="s">
        <v>265</v>
      </c>
      <c r="C13" s="456"/>
      <c r="D13" s="456"/>
      <c r="E13" s="273">
        <f>inputOth!E11</f>
        <v>0</v>
      </c>
    </row>
    <row r="14" spans="2:5" ht="15.75">
      <c r="B14" s="311" t="s">
        <v>331</v>
      </c>
      <c r="C14" s="456"/>
      <c r="D14" s="456"/>
      <c r="E14" s="273">
        <f>inputOth!E18</f>
        <v>0</v>
      </c>
    </row>
    <row r="15" spans="2:5" ht="15.75">
      <c r="B15" s="311" t="s">
        <v>332</v>
      </c>
      <c r="C15" s="456"/>
      <c r="D15" s="456"/>
      <c r="E15" s="273">
        <f>inputOth!E19</f>
        <v>0</v>
      </c>
    </row>
    <row r="16" spans="2:5" ht="15.75">
      <c r="B16" s="311" t="s">
        <v>333</v>
      </c>
      <c r="C16" s="456"/>
      <c r="D16" s="456"/>
      <c r="E16" s="273">
        <f>mvalloc!G8</f>
        <v>0</v>
      </c>
    </row>
    <row r="17" spans="2:5" ht="15.75">
      <c r="B17" s="315" t="s">
        <v>169</v>
      </c>
      <c r="C17" s="456"/>
      <c r="D17" s="456"/>
      <c r="E17" s="314"/>
    </row>
    <row r="18" spans="2:5" ht="15.75">
      <c r="B18" s="315" t="s">
        <v>167</v>
      </c>
      <c r="C18" s="456">
        <v>761</v>
      </c>
      <c r="D18" s="456">
        <v>733</v>
      </c>
      <c r="E18" s="314">
        <v>795</v>
      </c>
    </row>
    <row r="19" spans="2:5" ht="15.75">
      <c r="B19" s="315"/>
      <c r="C19" s="456"/>
      <c r="D19" s="456"/>
      <c r="E19" s="314"/>
    </row>
    <row r="20" spans="2:5" ht="15.75">
      <c r="B20" s="316" t="s">
        <v>1096</v>
      </c>
      <c r="C20" s="456">
        <v>2021970</v>
      </c>
      <c r="D20" s="456">
        <v>1700000</v>
      </c>
      <c r="E20" s="314">
        <v>1850000</v>
      </c>
    </row>
    <row r="21" spans="2:5" ht="15.75">
      <c r="B21" s="676" t="s">
        <v>897</v>
      </c>
      <c r="C21" s="456">
        <v>199145</v>
      </c>
      <c r="D21" s="456">
        <v>120000</v>
      </c>
      <c r="E21" s="314">
        <v>140000</v>
      </c>
    </row>
    <row r="22" spans="2:5" ht="15.75">
      <c r="B22" s="676" t="s">
        <v>898</v>
      </c>
      <c r="C22" s="456">
        <v>344505</v>
      </c>
      <c r="D22" s="456">
        <v>300000</v>
      </c>
      <c r="E22" s="314">
        <v>300000</v>
      </c>
    </row>
    <row r="23" spans="2:5" ht="15.75">
      <c r="B23" s="676" t="s">
        <v>899</v>
      </c>
      <c r="C23" s="456">
        <v>60677</v>
      </c>
      <c r="D23" s="456">
        <v>60000</v>
      </c>
      <c r="E23" s="314">
        <v>60000</v>
      </c>
    </row>
    <row r="24" spans="2:5" ht="15.75">
      <c r="B24" s="676" t="s">
        <v>900</v>
      </c>
      <c r="C24" s="456">
        <v>125881</v>
      </c>
      <c r="D24" s="456">
        <v>150000</v>
      </c>
      <c r="E24" s="314">
        <v>175000</v>
      </c>
    </row>
    <row r="25" spans="2:5" ht="15.75">
      <c r="B25" s="676" t="s">
        <v>901</v>
      </c>
      <c r="C25" s="456">
        <v>14885</v>
      </c>
      <c r="D25" s="456">
        <v>20000</v>
      </c>
      <c r="E25" s="314">
        <v>20000</v>
      </c>
    </row>
    <row r="26" spans="2:5" ht="15.75">
      <c r="B26" s="676" t="s">
        <v>902</v>
      </c>
      <c r="C26" s="456">
        <v>30025</v>
      </c>
      <c r="D26" s="456">
        <v>30000</v>
      </c>
      <c r="E26" s="314">
        <v>30000</v>
      </c>
    </row>
    <row r="27" spans="2:5" ht="15.75">
      <c r="B27" s="676" t="s">
        <v>903</v>
      </c>
      <c r="C27" s="456">
        <v>14436</v>
      </c>
      <c r="D27" s="456">
        <v>15000</v>
      </c>
      <c r="E27" s="314">
        <v>10000</v>
      </c>
    </row>
    <row r="28" spans="2:5" ht="15.75">
      <c r="B28" s="676" t="s">
        <v>904</v>
      </c>
      <c r="C28" s="456">
        <v>434852</v>
      </c>
      <c r="D28" s="456">
        <v>435000</v>
      </c>
      <c r="E28" s="314">
        <v>435000</v>
      </c>
    </row>
    <row r="29" spans="2:5" ht="15.75">
      <c r="B29" s="676" t="s">
        <v>905</v>
      </c>
      <c r="C29" s="456">
        <v>17434</v>
      </c>
      <c r="D29" s="456">
        <v>25000</v>
      </c>
      <c r="E29" s="314">
        <v>15000</v>
      </c>
    </row>
    <row r="30" spans="2:5" ht="15.75">
      <c r="B30" s="676" t="s">
        <v>906</v>
      </c>
      <c r="C30" s="456">
        <v>144690</v>
      </c>
      <c r="D30" s="456">
        <v>70000</v>
      </c>
      <c r="E30" s="314">
        <v>80000</v>
      </c>
    </row>
    <row r="31" spans="2:5" ht="15.75">
      <c r="B31" s="676" t="s">
        <v>907</v>
      </c>
      <c r="C31" s="456">
        <v>6097</v>
      </c>
      <c r="D31" s="456">
        <v>1200</v>
      </c>
      <c r="E31" s="314">
        <v>2500</v>
      </c>
    </row>
    <row r="32" spans="2:5" ht="15.75">
      <c r="B32" s="676" t="s">
        <v>161</v>
      </c>
      <c r="C32" s="456">
        <v>34689</v>
      </c>
      <c r="D32" s="456">
        <v>35000</v>
      </c>
      <c r="E32" s="314">
        <v>35000</v>
      </c>
    </row>
    <row r="33" spans="2:5" ht="15.75">
      <c r="B33" s="676" t="s">
        <v>908</v>
      </c>
      <c r="C33" s="456">
        <f>3462+30954</f>
        <v>34416</v>
      </c>
      <c r="D33" s="456"/>
      <c r="E33" s="314"/>
    </row>
    <row r="34" spans="2:5" ht="15.75">
      <c r="B34" s="676" t="s">
        <v>909</v>
      </c>
      <c r="C34" s="456">
        <v>2615</v>
      </c>
      <c r="D34" s="456">
        <v>2000</v>
      </c>
      <c r="E34" s="314">
        <v>2000</v>
      </c>
    </row>
    <row r="35" spans="2:5" ht="15.75">
      <c r="B35" s="676" t="s">
        <v>910</v>
      </c>
      <c r="C35" s="456">
        <v>13078</v>
      </c>
      <c r="D35" s="456"/>
      <c r="E35" s="314"/>
    </row>
    <row r="36" spans="2:5" ht="15.75">
      <c r="B36" s="676"/>
      <c r="C36" s="456"/>
      <c r="D36" s="456"/>
      <c r="E36" s="314"/>
    </row>
    <row r="37" spans="2:5" ht="15.75">
      <c r="B37" s="676" t="s">
        <v>911</v>
      </c>
      <c r="C37" s="456">
        <v>132</v>
      </c>
      <c r="D37" s="456"/>
      <c r="E37" s="314"/>
    </row>
    <row r="38" spans="2:5" ht="15.75">
      <c r="B38" s="676" t="s">
        <v>912</v>
      </c>
      <c r="C38" s="456">
        <v>9442</v>
      </c>
      <c r="D38" s="456">
        <v>10000</v>
      </c>
      <c r="E38" s="314">
        <v>8500</v>
      </c>
    </row>
    <row r="39" spans="2:5" ht="15.75">
      <c r="B39" s="676" t="s">
        <v>913</v>
      </c>
      <c r="C39" s="456">
        <v>18000</v>
      </c>
      <c r="D39" s="456">
        <v>18000</v>
      </c>
      <c r="E39" s="314">
        <v>18000</v>
      </c>
    </row>
    <row r="40" spans="2:5" ht="15.75">
      <c r="B40" s="676" t="s">
        <v>914</v>
      </c>
      <c r="C40" s="456">
        <v>185</v>
      </c>
      <c r="D40" s="456"/>
      <c r="E40" s="314"/>
    </row>
    <row r="41" spans="2:5" ht="15.75">
      <c r="B41" s="676" t="s">
        <v>915</v>
      </c>
      <c r="C41" s="456">
        <v>104636</v>
      </c>
      <c r="D41" s="456">
        <v>351</v>
      </c>
      <c r="E41" s="314">
        <v>222</v>
      </c>
    </row>
    <row r="42" spans="2:5" ht="15.75">
      <c r="B42" s="676" t="s">
        <v>916</v>
      </c>
      <c r="C42" s="456">
        <v>65</v>
      </c>
      <c r="D42" s="456"/>
      <c r="E42" s="314"/>
    </row>
    <row r="43" spans="2:5" ht="15.75">
      <c r="B43" s="676" t="s">
        <v>917</v>
      </c>
      <c r="C43" s="456">
        <v>63139</v>
      </c>
      <c r="D43" s="456">
        <v>50000</v>
      </c>
      <c r="E43" s="314">
        <v>50000</v>
      </c>
    </row>
    <row r="44" spans="2:5" ht="15.75">
      <c r="B44" s="676" t="s">
        <v>918</v>
      </c>
      <c r="C44" s="456">
        <v>17000</v>
      </c>
      <c r="D44" s="456">
        <v>8900</v>
      </c>
      <c r="E44" s="314">
        <v>9281</v>
      </c>
    </row>
    <row r="45" spans="2:5" ht="15.75">
      <c r="B45" s="676" t="s">
        <v>919</v>
      </c>
      <c r="C45" s="456">
        <v>2</v>
      </c>
      <c r="D45" s="456"/>
      <c r="E45" s="314">
        <v>4</v>
      </c>
    </row>
    <row r="46" spans="2:5" ht="15.75">
      <c r="B46" s="676" t="s">
        <v>1090</v>
      </c>
      <c r="C46" s="456">
        <v>8200</v>
      </c>
      <c r="D46" s="456"/>
      <c r="E46" s="314"/>
    </row>
    <row r="47" spans="2:5" ht="15.75">
      <c r="B47" s="676" t="s">
        <v>920</v>
      </c>
      <c r="C47" s="456">
        <v>22457</v>
      </c>
      <c r="D47" s="456">
        <v>600</v>
      </c>
      <c r="E47" s="314">
        <v>500</v>
      </c>
    </row>
    <row r="48" spans="2:5" ht="15.75">
      <c r="B48" s="315" t="s">
        <v>1070</v>
      </c>
      <c r="C48" s="456">
        <v>119</v>
      </c>
      <c r="D48" s="456"/>
      <c r="E48" s="314"/>
    </row>
    <row r="49" spans="2:5" ht="15.75">
      <c r="B49" s="315" t="s">
        <v>1073</v>
      </c>
      <c r="C49" s="456"/>
      <c r="D49" s="456"/>
      <c r="E49" s="314">
        <v>27084</v>
      </c>
    </row>
    <row r="50" spans="2:5" ht="15.75">
      <c r="B50" s="315" t="s">
        <v>168</v>
      </c>
      <c r="C50" s="456">
        <v>1153</v>
      </c>
      <c r="D50" s="456">
        <v>1000</v>
      </c>
      <c r="E50" s="314">
        <v>1000</v>
      </c>
    </row>
    <row r="51" spans="2:5" ht="15.75">
      <c r="B51" s="316" t="s">
        <v>170</v>
      </c>
      <c r="C51" s="456">
        <v>48971</v>
      </c>
      <c r="D51" s="456">
        <v>100000</v>
      </c>
      <c r="E51" s="314">
        <v>45000</v>
      </c>
    </row>
    <row r="52" spans="2:5" ht="15.75">
      <c r="B52" s="317" t="s">
        <v>76</v>
      </c>
      <c r="C52" s="456">
        <f>88181+7260-7960+5600</f>
        <v>93081</v>
      </c>
      <c r="D52" s="456"/>
      <c r="E52" s="314"/>
    </row>
    <row r="53" spans="2:5" ht="15.75">
      <c r="B53" s="317" t="s">
        <v>682</v>
      </c>
      <c r="C53" s="457">
        <f>IF(C54*0.1&lt;C52,"Exceed 10% Rule","")</f>
      </c>
      <c r="D53" s="457">
        <f>IF(D54*0.1&lt;D52,"Exceed 10% Rule","")</f>
      </c>
      <c r="E53" s="351">
        <f>IF(E54*0.1+E120&lt;E52,"Exceed 10% Rule","")</f>
      </c>
    </row>
    <row r="54" spans="2:5" ht="15.75">
      <c r="B54" s="319" t="s">
        <v>171</v>
      </c>
      <c r="C54" s="458">
        <f>SUM(C8:C52)</f>
        <v>8528690</v>
      </c>
      <c r="D54" s="458">
        <f>SUM(D8:D52)</f>
        <v>8299504</v>
      </c>
      <c r="E54" s="358">
        <f>SUM(E9:E52)</f>
        <v>3905343</v>
      </c>
    </row>
    <row r="55" spans="2:5" ht="15.75">
      <c r="B55" s="319" t="s">
        <v>172</v>
      </c>
      <c r="C55" s="458">
        <f>C6+C54</f>
        <v>12057564</v>
      </c>
      <c r="D55" s="458">
        <f>D6+D54</f>
        <v>11377565</v>
      </c>
      <c r="E55" s="358">
        <f>E6+E54</f>
        <v>5296830</v>
      </c>
    </row>
    <row r="56" spans="2:5" ht="15.75">
      <c r="B56" s="90"/>
      <c r="C56" s="237"/>
      <c r="D56" s="237"/>
      <c r="E56" s="237"/>
    </row>
    <row r="57" spans="2:5" ht="15.75">
      <c r="B57" s="780" t="s">
        <v>291</v>
      </c>
      <c r="C57" s="780"/>
      <c r="D57" s="780"/>
      <c r="E57" s="780"/>
    </row>
    <row r="58" spans="2:5" ht="15.75">
      <c r="B58" s="237" t="str">
        <f>inputPrYr!C2</f>
        <v>Geary County</v>
      </c>
      <c r="C58" s="237"/>
      <c r="D58" s="237"/>
      <c r="E58" s="294">
        <f>inputPrYr!C4</f>
        <v>2012</v>
      </c>
    </row>
    <row r="59" spans="2:5" ht="15.75">
      <c r="B59" s="90"/>
      <c r="C59" s="237"/>
      <c r="D59" s="237"/>
      <c r="E59" s="249"/>
    </row>
    <row r="60" spans="2:5" ht="15.75">
      <c r="B60" s="321" t="s">
        <v>237</v>
      </c>
      <c r="C60" s="322"/>
      <c r="D60" s="322"/>
      <c r="E60" s="322"/>
    </row>
    <row r="61" spans="2:5" ht="15.75">
      <c r="B61" s="90" t="s">
        <v>162</v>
      </c>
      <c r="C61" s="478" t="s">
        <v>192</v>
      </c>
      <c r="D61" s="477" t="s">
        <v>326</v>
      </c>
      <c r="E61" s="479" t="str">
        <f>E4</f>
        <v>Proposed Budget Year</v>
      </c>
    </row>
    <row r="62" spans="2:5" ht="15.75">
      <c r="B62" s="118" t="s">
        <v>174</v>
      </c>
      <c r="C62" s="459">
        <f>E58-2</f>
        <v>2010</v>
      </c>
      <c r="D62" s="459">
        <f>E58-1</f>
        <v>2011</v>
      </c>
      <c r="E62" s="323">
        <f>E5</f>
        <v>2012</v>
      </c>
    </row>
    <row r="63" spans="2:5" ht="15.75">
      <c r="B63" s="319" t="s">
        <v>172</v>
      </c>
      <c r="C63" s="460">
        <f>C55</f>
        <v>12057564</v>
      </c>
      <c r="D63" s="460">
        <f>D55</f>
        <v>11377565</v>
      </c>
      <c r="E63" s="273">
        <f>E55</f>
        <v>5296830</v>
      </c>
    </row>
    <row r="64" spans="2:5" ht="15.75">
      <c r="B64" s="311" t="s">
        <v>175</v>
      </c>
      <c r="C64" s="460"/>
      <c r="D64" s="460"/>
      <c r="E64" s="273"/>
    </row>
    <row r="65" spans="2:5" ht="15.75">
      <c r="B65" s="313" t="str">
        <f>'gen-detail'!A7</f>
        <v>County Commission</v>
      </c>
      <c r="C65" s="460">
        <f>'gen-detail'!B13</f>
        <v>108804</v>
      </c>
      <c r="D65" s="460">
        <f>'gen-detail'!C13</f>
        <v>108562</v>
      </c>
      <c r="E65" s="273">
        <f>'gen-detail'!D13</f>
        <v>110238</v>
      </c>
    </row>
    <row r="66" spans="2:5" ht="15.75">
      <c r="B66" s="313" t="str">
        <f>'gen-detail'!A14</f>
        <v>County Clerk</v>
      </c>
      <c r="C66" s="460">
        <f>'gen-detail'!B19</f>
        <v>205952</v>
      </c>
      <c r="D66" s="460">
        <f>'gen-detail'!C19</f>
        <v>216298</v>
      </c>
      <c r="E66" s="273">
        <f>'gen-detail'!D19</f>
        <v>220357</v>
      </c>
    </row>
    <row r="67" spans="2:5" ht="15.75">
      <c r="B67" s="313" t="str">
        <f>'gen-detail'!A20</f>
        <v>County Treasurer</v>
      </c>
      <c r="C67" s="460">
        <f>'gen-detail'!B25</f>
        <v>186018</v>
      </c>
      <c r="D67" s="460">
        <f>'gen-detail'!C25</f>
        <v>202983</v>
      </c>
      <c r="E67" s="273">
        <f>'gen-detail'!D25</f>
        <v>202741</v>
      </c>
    </row>
    <row r="68" spans="2:5" ht="15.75">
      <c r="B68" s="313" t="str">
        <f>'gen-detail'!A26</f>
        <v>County Attorney </v>
      </c>
      <c r="C68" s="460">
        <f>'gen-detail'!B33</f>
        <v>716528</v>
      </c>
      <c r="D68" s="460">
        <f>'gen-detail'!C33</f>
        <v>758130</v>
      </c>
      <c r="E68" s="273">
        <f>'gen-detail'!D33</f>
        <v>782137</v>
      </c>
    </row>
    <row r="69" spans="2:5" ht="15.75">
      <c r="B69" s="313" t="str">
        <f>'gen-detail'!A34</f>
        <v>Register of Deeds</v>
      </c>
      <c r="C69" s="460">
        <f>'gen-detail'!B39</f>
        <v>159774</v>
      </c>
      <c r="D69" s="460">
        <f>'gen-detail'!C39</f>
        <v>166816</v>
      </c>
      <c r="E69" s="273">
        <f>'gen-detail'!D39</f>
        <v>169229</v>
      </c>
    </row>
    <row r="70" spans="2:5" ht="15.75">
      <c r="B70" s="313" t="str">
        <f>'gen-detail'!A40</f>
        <v>Sheriff</v>
      </c>
      <c r="C70" s="460">
        <f>'gen-detail'!B45</f>
        <v>4484968</v>
      </c>
      <c r="D70" s="460">
        <f>'gen-detail'!C45</f>
        <v>4845565</v>
      </c>
      <c r="E70" s="273">
        <f>'gen-detail'!D45</f>
        <v>4831508</v>
      </c>
    </row>
    <row r="71" spans="2:5" ht="15.75">
      <c r="B71" s="313" t="str">
        <f>'gen-detail'!A46</f>
        <v>District Court</v>
      </c>
      <c r="C71" s="460">
        <f>'gen-detail'!B51</f>
        <v>875553</v>
      </c>
      <c r="D71" s="460">
        <f>'gen-detail'!C51</f>
        <v>865458</v>
      </c>
      <c r="E71" s="273">
        <f>'gen-detail'!D51</f>
        <v>869767</v>
      </c>
    </row>
    <row r="72" spans="2:5" ht="15.75">
      <c r="B72" s="313" t="str">
        <f>'gen-detail'!A52</f>
        <v>Human Resources</v>
      </c>
      <c r="C72" s="460">
        <f>'gen-detail'!B57</f>
        <v>107918</v>
      </c>
      <c r="D72" s="460">
        <f>'gen-detail'!C57</f>
        <v>111934</v>
      </c>
      <c r="E72" s="273">
        <f>'gen-detail'!D57</f>
        <v>113796</v>
      </c>
    </row>
    <row r="73" spans="2:5" ht="15.75">
      <c r="B73" s="313" t="str">
        <f>'gen-detail'!A69</f>
        <v>Courthouse General</v>
      </c>
      <c r="C73" s="460">
        <f>'gen-detail'!B76</f>
        <v>550622</v>
      </c>
      <c r="D73" s="460">
        <f>'gen-detail'!C76</f>
        <v>736778</v>
      </c>
      <c r="E73" s="273">
        <f>'gen-detail'!D76</f>
        <v>669518</v>
      </c>
    </row>
    <row r="74" spans="2:5" ht="15.75">
      <c r="B74" s="313" t="str">
        <f>'gen-detail'!A77</f>
        <v>Emergency Management</v>
      </c>
      <c r="C74" s="460">
        <f>'gen-detail'!B82</f>
        <v>94332</v>
      </c>
      <c r="D74" s="460">
        <f>'gen-detail'!C82</f>
        <v>93607</v>
      </c>
      <c r="E74" s="273">
        <f>'gen-detail'!D82</f>
        <v>97839</v>
      </c>
    </row>
    <row r="75" spans="2:5" ht="15.75">
      <c r="B75" s="313" t="str">
        <f>'gen-detail'!A83</f>
        <v>GIS Committee</v>
      </c>
      <c r="C75" s="460">
        <f>'gen-detail'!B88</f>
        <v>59961</v>
      </c>
      <c r="D75" s="460">
        <f>'gen-detail'!C88</f>
        <v>55800</v>
      </c>
      <c r="E75" s="273">
        <f>'gen-detail'!D88</f>
        <v>55100</v>
      </c>
    </row>
    <row r="76" spans="2:5" ht="15.75">
      <c r="B76" s="313">
        <f>'gen-detail'!A89</f>
        <v>0</v>
      </c>
      <c r="C76" s="460">
        <f>'gen-detail'!B94</f>
        <v>0</v>
      </c>
      <c r="D76" s="460">
        <f>'gen-detail'!C94</f>
        <v>0</v>
      </c>
      <c r="E76" s="273">
        <f>'gen-detail'!D94</f>
        <v>0</v>
      </c>
    </row>
    <row r="77" spans="2:5" ht="15.75">
      <c r="B77" s="313">
        <f>'gen-detail'!A95</f>
        <v>0</v>
      </c>
      <c r="C77" s="460">
        <f>'gen-detail'!B100</f>
        <v>0</v>
      </c>
      <c r="D77" s="460">
        <f>'gen-detail'!C100</f>
        <v>0</v>
      </c>
      <c r="E77" s="273">
        <f>'gen-detail'!D100</f>
        <v>0</v>
      </c>
    </row>
    <row r="78" spans="2:5" ht="15.75">
      <c r="B78" s="313">
        <f>'gen-detail'!A101</f>
        <v>0</v>
      </c>
      <c r="C78" s="460">
        <f>'gen-detail'!B106</f>
        <v>0</v>
      </c>
      <c r="D78" s="460">
        <f>'gen-detail'!C106</f>
        <v>0</v>
      </c>
      <c r="E78" s="273">
        <f>'gen-detail'!D106</f>
        <v>0</v>
      </c>
    </row>
    <row r="79" spans="2:5" ht="15.75">
      <c r="B79" s="313">
        <f>'gen-detail'!A107</f>
        <v>0</v>
      </c>
      <c r="C79" s="460">
        <f>'gen-detail'!B112</f>
        <v>0</v>
      </c>
      <c r="D79" s="460">
        <f>'gen-detail'!C112</f>
        <v>0</v>
      </c>
      <c r="E79" s="273">
        <f>'gen-detail'!D112</f>
        <v>0</v>
      </c>
    </row>
    <row r="80" spans="2:5" ht="15.75">
      <c r="B80" s="324" t="s">
        <v>29</v>
      </c>
      <c r="C80" s="513">
        <f>SUM(C65:C79)</f>
        <v>7550430</v>
      </c>
      <c r="D80" s="513">
        <f>SUM(D65:D79)</f>
        <v>8161931</v>
      </c>
      <c r="E80" s="355">
        <f>SUM(E65:E79)</f>
        <v>8122230</v>
      </c>
    </row>
    <row r="81" spans="2:5" ht="15.75">
      <c r="B81" s="678" t="s">
        <v>930</v>
      </c>
      <c r="C81" s="456"/>
      <c r="D81" s="456"/>
      <c r="E81" s="116"/>
    </row>
    <row r="82" spans="2:5" ht="15.75">
      <c r="B82" s="678" t="s">
        <v>931</v>
      </c>
      <c r="C82" s="456">
        <v>93819</v>
      </c>
      <c r="D82" s="456">
        <v>93000</v>
      </c>
      <c r="E82" s="116">
        <v>94860</v>
      </c>
    </row>
    <row r="83" spans="2:5" ht="15.75">
      <c r="B83" s="678" t="s">
        <v>1071</v>
      </c>
      <c r="C83" s="456"/>
      <c r="D83" s="456"/>
      <c r="E83" s="116">
        <v>7500</v>
      </c>
    </row>
    <row r="84" spans="2:5" ht="15.75">
      <c r="B84" s="678" t="s">
        <v>932</v>
      </c>
      <c r="C84" s="456">
        <v>25000</v>
      </c>
      <c r="D84" s="456">
        <v>25000</v>
      </c>
      <c r="E84" s="116">
        <v>25000</v>
      </c>
    </row>
    <row r="85" spans="2:5" ht="15.75">
      <c r="B85" s="678" t="s">
        <v>933</v>
      </c>
      <c r="C85" s="456">
        <v>368569</v>
      </c>
      <c r="D85" s="456">
        <v>622160</v>
      </c>
      <c r="E85" s="116">
        <v>577555</v>
      </c>
    </row>
    <row r="86" spans="2:5" ht="15.75">
      <c r="B86" s="678" t="s">
        <v>934</v>
      </c>
      <c r="C86" s="456">
        <v>56901</v>
      </c>
      <c r="D86" s="456">
        <v>45000</v>
      </c>
      <c r="E86" s="116">
        <v>60000</v>
      </c>
    </row>
    <row r="87" spans="2:5" ht="15.75">
      <c r="B87" s="678" t="s">
        <v>935</v>
      </c>
      <c r="C87" s="456"/>
      <c r="D87" s="456">
        <v>24000</v>
      </c>
      <c r="E87" s="116">
        <v>24000</v>
      </c>
    </row>
    <row r="88" spans="2:5" ht="15.75">
      <c r="B88" s="678" t="s">
        <v>936</v>
      </c>
      <c r="C88" s="456">
        <v>8255</v>
      </c>
      <c r="D88" s="456">
        <v>9658</v>
      </c>
      <c r="E88" s="116">
        <v>8868</v>
      </c>
    </row>
    <row r="89" spans="2:5" ht="15.75">
      <c r="B89" s="678" t="s">
        <v>937</v>
      </c>
      <c r="C89" s="456">
        <v>12000</v>
      </c>
      <c r="D89" s="456">
        <v>12000</v>
      </c>
      <c r="E89" s="116">
        <v>0</v>
      </c>
    </row>
    <row r="90" spans="2:5" ht="15.75">
      <c r="B90" s="678" t="s">
        <v>938</v>
      </c>
      <c r="C90" s="456">
        <v>108000</v>
      </c>
      <c r="D90" s="456">
        <v>109000</v>
      </c>
      <c r="E90" s="116">
        <v>108000</v>
      </c>
    </row>
    <row r="91" spans="2:5" ht="15.75">
      <c r="B91" s="678"/>
      <c r="C91" s="456"/>
      <c r="D91" s="456"/>
      <c r="E91" s="116"/>
    </row>
    <row r="92" spans="2:5" ht="15.75">
      <c r="B92" s="678" t="s">
        <v>939</v>
      </c>
      <c r="C92" s="456"/>
      <c r="D92" s="456">
        <v>92000</v>
      </c>
      <c r="E92" s="116">
        <v>93840</v>
      </c>
    </row>
    <row r="93" spans="2:5" ht="15.75">
      <c r="B93" s="678" t="s">
        <v>940</v>
      </c>
      <c r="C93" s="456">
        <v>385000</v>
      </c>
      <c r="D93" s="456">
        <v>375000</v>
      </c>
      <c r="E93" s="116">
        <v>377000</v>
      </c>
    </row>
    <row r="94" spans="2:5" ht="15.75">
      <c r="B94" s="678" t="s">
        <v>941</v>
      </c>
      <c r="C94" s="456">
        <v>18592</v>
      </c>
      <c r="D94" s="456">
        <v>20957</v>
      </c>
      <c r="E94" s="116">
        <v>20014</v>
      </c>
    </row>
    <row r="95" spans="2:5" ht="15.75">
      <c r="B95" s="678" t="s">
        <v>942</v>
      </c>
      <c r="C95" s="456">
        <v>6400</v>
      </c>
      <c r="D95" s="456">
        <v>100000</v>
      </c>
      <c r="E95" s="116">
        <v>100000</v>
      </c>
    </row>
    <row r="96" spans="2:5" ht="15.75">
      <c r="B96" s="678" t="s">
        <v>943</v>
      </c>
      <c r="C96" s="456"/>
      <c r="D96" s="456">
        <v>300</v>
      </c>
      <c r="E96" s="116">
        <v>300</v>
      </c>
    </row>
    <row r="97" spans="2:5" ht="15.75">
      <c r="B97" s="678" t="s">
        <v>944</v>
      </c>
      <c r="C97" s="456">
        <v>130692</v>
      </c>
      <c r="D97" s="456">
        <v>125226</v>
      </c>
      <c r="E97" s="116">
        <v>0</v>
      </c>
    </row>
    <row r="98" spans="2:5" ht="15.75">
      <c r="B98" s="678" t="s">
        <v>945</v>
      </c>
      <c r="C98" s="456"/>
      <c r="D98" s="456">
        <v>500</v>
      </c>
      <c r="E98" s="116">
        <v>500</v>
      </c>
    </row>
    <row r="99" spans="2:5" ht="15.75">
      <c r="B99" s="678" t="s">
        <v>946</v>
      </c>
      <c r="C99" s="456">
        <v>500</v>
      </c>
      <c r="D99" s="456">
        <v>500</v>
      </c>
      <c r="E99" s="116">
        <v>300</v>
      </c>
    </row>
    <row r="100" spans="2:5" ht="15.75">
      <c r="B100" s="678" t="s">
        <v>947</v>
      </c>
      <c r="C100" s="456">
        <v>2611</v>
      </c>
      <c r="D100" s="456">
        <v>4346</v>
      </c>
      <c r="E100" s="116">
        <v>4460</v>
      </c>
    </row>
    <row r="101" spans="2:5" ht="15.75">
      <c r="B101" s="678" t="s">
        <v>948</v>
      </c>
      <c r="C101" s="456">
        <v>13750</v>
      </c>
      <c r="D101" s="456">
        <v>12000</v>
      </c>
      <c r="E101" s="116">
        <v>12000</v>
      </c>
    </row>
    <row r="102" spans="2:5" ht="15.75">
      <c r="B102" s="678" t="s">
        <v>949</v>
      </c>
      <c r="C102" s="456">
        <v>989</v>
      </c>
      <c r="D102" s="456">
        <v>1500</v>
      </c>
      <c r="E102" s="116">
        <v>7500</v>
      </c>
    </row>
    <row r="103" spans="2:5" ht="15.75">
      <c r="B103" s="678"/>
      <c r="C103" s="456"/>
      <c r="D103" s="456">
        <v>0</v>
      </c>
      <c r="E103" s="116"/>
    </row>
    <row r="104" spans="2:5" ht="15.75">
      <c r="B104" s="678" t="s">
        <v>950</v>
      </c>
      <c r="C104" s="456">
        <v>45920</v>
      </c>
      <c r="D104" s="456">
        <v>50000</v>
      </c>
      <c r="E104" s="116">
        <v>51000</v>
      </c>
    </row>
    <row r="105" spans="2:5" ht="15.75">
      <c r="B105" s="678" t="s">
        <v>951</v>
      </c>
      <c r="C105" s="456">
        <v>2000</v>
      </c>
      <c r="D105" s="456">
        <v>2000</v>
      </c>
      <c r="E105" s="116">
        <v>2000</v>
      </c>
    </row>
    <row r="106" spans="2:5" ht="15.75">
      <c r="B106" s="325" t="s">
        <v>1072</v>
      </c>
      <c r="C106" s="456"/>
      <c r="D106" s="456"/>
      <c r="E106" s="116">
        <v>50000</v>
      </c>
    </row>
    <row r="107" spans="2:5" ht="15.75">
      <c r="B107" s="325" t="s">
        <v>1060</v>
      </c>
      <c r="C107" s="456">
        <v>150000</v>
      </c>
      <c r="D107" s="456">
        <v>0</v>
      </c>
      <c r="E107" s="116">
        <v>0</v>
      </c>
    </row>
    <row r="108" spans="2:5" ht="15.75">
      <c r="B108" s="325" t="s">
        <v>1061</v>
      </c>
      <c r="C108" s="456">
        <v>75</v>
      </c>
      <c r="D108" s="456"/>
      <c r="E108" s="116"/>
    </row>
    <row r="109" spans="2:5" ht="15.75">
      <c r="B109" s="325"/>
      <c r="C109" s="456"/>
      <c r="D109" s="456"/>
      <c r="E109" s="116"/>
    </row>
    <row r="110" spans="2:5" ht="15.75">
      <c r="B110" s="325" t="s">
        <v>1088</v>
      </c>
      <c r="C110" s="456"/>
      <c r="D110" s="456"/>
      <c r="E110" s="116">
        <v>154000</v>
      </c>
    </row>
    <row r="111" spans="2:5" ht="15.75">
      <c r="B111" s="317" t="s">
        <v>76</v>
      </c>
      <c r="C111" s="456"/>
      <c r="D111" s="456">
        <v>100000</v>
      </c>
      <c r="E111" s="116">
        <v>100000</v>
      </c>
    </row>
    <row r="112" spans="2:10" ht="15.75">
      <c r="B112" s="317" t="s">
        <v>681</v>
      </c>
      <c r="C112" s="457">
        <f>IF(C113*0.1&lt;C111,"Exceed 10% Rule","")</f>
      </c>
      <c r="D112" s="457">
        <f>IF(D113*0.1&lt;D111,"Exceed 10% Rule","")</f>
      </c>
      <c r="E112" s="351">
        <f>IF(E113*0.1&lt;E111,"Exceed 10% Rule","")</f>
      </c>
      <c r="G112" s="776" t="str">
        <f>CONCATENATE("Projected Carryover Into ",E1+1,"")</f>
        <v>Projected Carryover Into 2013</v>
      </c>
      <c r="H112" s="777"/>
      <c r="I112" s="777"/>
      <c r="J112" s="778"/>
    </row>
    <row r="113" spans="2:10" ht="15.75">
      <c r="B113" s="319" t="s">
        <v>176</v>
      </c>
      <c r="C113" s="458">
        <f>SUM(C80:C111)</f>
        <v>8979503</v>
      </c>
      <c r="D113" s="458">
        <f>SUM(D80:D111)</f>
        <v>9986078</v>
      </c>
      <c r="E113" s="358">
        <f>SUM(E80:E111)</f>
        <v>10000927</v>
      </c>
      <c r="G113" s="545"/>
      <c r="H113" s="544"/>
      <c r="I113" s="544"/>
      <c r="J113" s="546"/>
    </row>
    <row r="114" spans="2:10" ht="15.75">
      <c r="B114" s="151" t="s">
        <v>282</v>
      </c>
      <c r="C114" s="461">
        <f>C55-C113</f>
        <v>3078061</v>
      </c>
      <c r="D114" s="461">
        <f>D55-D113</f>
        <v>1391487</v>
      </c>
      <c r="E114" s="230" t="s">
        <v>149</v>
      </c>
      <c r="G114" s="531">
        <f>D114</f>
        <v>1391487</v>
      </c>
      <c r="H114" s="529" t="str">
        <f>CONCATENATE("",E1-1," Ending Cash Balance (est.)")</f>
        <v>2011 Ending Cash Balance (est.)</v>
      </c>
      <c r="I114" s="528"/>
      <c r="J114" s="546"/>
    </row>
    <row r="115" spans="2:10" ht="15.75">
      <c r="B115" s="295" t="str">
        <f>CONCATENATE("",E$1-2,"/",E$1-1," Budget Authority Amount:")</f>
        <v>2010/2011 Budget Authority Amount:</v>
      </c>
      <c r="C115" s="287">
        <f>inputOth!$B31</f>
        <v>10052705</v>
      </c>
      <c r="D115" s="287">
        <f>inputPrYr!$D16</f>
        <v>9986078</v>
      </c>
      <c r="E115" s="230" t="s">
        <v>149</v>
      </c>
      <c r="F115" s="327"/>
      <c r="G115" s="531">
        <f>E54</f>
        <v>3905343</v>
      </c>
      <c r="H115" s="527" t="str">
        <f>CONCATENATE("",E1," Non-AV Receipts (est.)")</f>
        <v>2012 Non-AV Receipts (est.)</v>
      </c>
      <c r="I115" s="528"/>
      <c r="J115" s="546"/>
    </row>
    <row r="116" spans="2:10" ht="15.75">
      <c r="B116" s="295"/>
      <c r="C116" s="772" t="s">
        <v>684</v>
      </c>
      <c r="D116" s="773"/>
      <c r="E116" s="116"/>
      <c r="F116" s="530">
        <f>IF(E113/0.95-E113&lt;E116,"Exceeds 5%","")</f>
      </c>
      <c r="G116" s="526">
        <f>E120</f>
        <v>5009863.305</v>
      </c>
      <c r="H116" s="527" t="str">
        <f>CONCATENATE("",E1," Ad Valorem Tax (est.)")</f>
        <v>2012 Ad Valorem Tax (est.)</v>
      </c>
      <c r="I116" s="528"/>
      <c r="J116" s="546"/>
    </row>
    <row r="117" spans="2:10" ht="15.75">
      <c r="B117" s="534" t="str">
        <f>CONCATENATE(C132,"     ",D132)</f>
        <v>     </v>
      </c>
      <c r="C117" s="774" t="s">
        <v>685</v>
      </c>
      <c r="D117" s="775"/>
      <c r="E117" s="273">
        <f>E113+E116</f>
        <v>10000927</v>
      </c>
      <c r="G117" s="531">
        <f>SUM(G114:G116)</f>
        <v>10306693.305</v>
      </c>
      <c r="H117" s="527" t="str">
        <f>CONCATENATE("Total ",E1," Resources Available")</f>
        <v>Total 2012 Resources Available</v>
      </c>
      <c r="I117" s="528"/>
      <c r="J117" s="546"/>
    </row>
    <row r="118" spans="2:10" ht="15.75">
      <c r="B118" s="534" t="str">
        <f>CONCATENATE(C133,"     ",D133)</f>
        <v>     </v>
      </c>
      <c r="C118" s="328"/>
      <c r="D118" s="249" t="s">
        <v>177</v>
      </c>
      <c r="E118" s="123">
        <f>IF(E117-E55&gt;0,E117-E55,0)</f>
        <v>4704097</v>
      </c>
      <c r="G118" s="525"/>
      <c r="H118" s="527"/>
      <c r="I118" s="527"/>
      <c r="J118" s="546"/>
    </row>
    <row r="119" spans="2:10" ht="15.75">
      <c r="B119" s="295"/>
      <c r="C119" s="532" t="s">
        <v>686</v>
      </c>
      <c r="D119" s="505">
        <f>inputOth!$E$24</f>
        <v>0.065</v>
      </c>
      <c r="E119" s="273">
        <f>IF(D119&gt;0,(E118*D119),0)</f>
        <v>305766.305</v>
      </c>
      <c r="G119" s="526">
        <f>C113*0.05+C113</f>
        <v>9428478.15</v>
      </c>
      <c r="H119" s="527" t="str">
        <f>CONCATENATE("Less ",E1-2," Expenditures + 5%")</f>
        <v>Less 2010 Expenditures + 5%</v>
      </c>
      <c r="I119" s="528"/>
      <c r="J119" s="546"/>
    </row>
    <row r="120" spans="2:10" ht="15.75">
      <c r="B120" s="90"/>
      <c r="C120" s="781" t="str">
        <f>CONCATENATE("Amount of  ",$E$1-1," Ad Valorem Tax")</f>
        <v>Amount of  2011 Ad Valorem Tax</v>
      </c>
      <c r="D120" s="782"/>
      <c r="E120" s="355">
        <f>E118+E119</f>
        <v>5009863.305</v>
      </c>
      <c r="G120" s="524">
        <f>G117-G119</f>
        <v>878215.1549999993</v>
      </c>
      <c r="H120" s="523" t="str">
        <f>CONCATENATE("Projected ",E1," Carryover (est.)")</f>
        <v>Projected 2012 Carryover (est.)</v>
      </c>
      <c r="I120" s="502"/>
      <c r="J120" s="501"/>
    </row>
    <row r="121" spans="2:10" ht="15.75">
      <c r="B121" s="90"/>
      <c r="C121" s="90"/>
      <c r="D121" s="90"/>
      <c r="E121" s="90"/>
      <c r="G121" s="541"/>
      <c r="H121" s="541"/>
      <c r="I121" s="541"/>
      <c r="J121" s="541"/>
    </row>
    <row r="122" spans="2:10" ht="15.75">
      <c r="B122" s="780" t="s">
        <v>292</v>
      </c>
      <c r="C122" s="780"/>
      <c r="D122" s="780"/>
      <c r="E122" s="780"/>
      <c r="G122" s="500">
        <f>IF(inputOth!E6=0,"",ROUND(general!E120/inputOth!E6*1000,3))</f>
        <v>22.753</v>
      </c>
      <c r="H122" s="499" t="str">
        <f>CONCATENATE("Projected ",E1-1," Mill Rate (est.)")</f>
        <v>Projected 2011 Mill Rate (est.)</v>
      </c>
      <c r="I122" s="498"/>
      <c r="J122" s="497"/>
    </row>
    <row r="123" spans="7:10" ht="15.75">
      <c r="G123" s="547"/>
      <c r="H123" s="547"/>
      <c r="I123" s="547"/>
      <c r="J123" s="547"/>
    </row>
    <row r="124" spans="7:10" ht="15.75">
      <c r="G124" s="776" t="str">
        <f>CONCATENATE("Desired Carryover Into ",E1+1,"")</f>
        <v>Desired Carryover Into 2013</v>
      </c>
      <c r="H124" s="779"/>
      <c r="I124" s="779"/>
      <c r="J124" s="778"/>
    </row>
    <row r="125" spans="7:10" ht="15.75">
      <c r="G125" s="496"/>
      <c r="H125" s="544"/>
      <c r="I125" s="527"/>
      <c r="J125" s="495"/>
    </row>
    <row r="126" spans="7:10" ht="15.75">
      <c r="G126" s="494" t="s">
        <v>687</v>
      </c>
      <c r="H126" s="527"/>
      <c r="I126" s="527"/>
      <c r="J126" s="493"/>
    </row>
    <row r="127" spans="7:10" ht="15.75">
      <c r="G127" s="496" t="s">
        <v>688</v>
      </c>
      <c r="H127" s="544"/>
      <c r="I127" s="544"/>
      <c r="J127" s="492">
        <f>IF(J126=0,"",ROUND((J126+E120-G120)/inputOth!E6*1000,3)-general!G122)</f>
      </c>
    </row>
    <row r="128" spans="7:10" ht="15.75">
      <c r="G128" s="491" t="str">
        <f>CONCATENATE("",E1," Total Expenditures Must Be:")</f>
        <v>2012 Total Expenditures Must Be:</v>
      </c>
      <c r="H128" s="490"/>
      <c r="I128" s="489"/>
      <c r="J128" s="488">
        <f>IF((J126&gt;0),(E113+J126-G120),0)</f>
        <v>0</v>
      </c>
    </row>
    <row r="132" spans="3:4" ht="15.75" hidden="1">
      <c r="C132" s="77">
        <f>IF(C113&gt;C115,"See Tab A","")</f>
      </c>
      <c r="D132" s="77">
        <f>IF(D113&gt;D115,"See Tab C","")</f>
      </c>
    </row>
    <row r="133" spans="3:4" ht="15.75" hidden="1">
      <c r="C133" s="77">
        <f>IF(C114&lt;0,"See Tab B","")</f>
      </c>
      <c r="D133" s="77">
        <f>IF(D114&lt;0,"See Tab D","")</f>
      </c>
    </row>
  </sheetData>
  <sheetProtection sheet="1"/>
  <mergeCells count="7">
    <mergeCell ref="C116:D116"/>
    <mergeCell ref="C117:D117"/>
    <mergeCell ref="G112:J112"/>
    <mergeCell ref="G124:J124"/>
    <mergeCell ref="B57:E57"/>
    <mergeCell ref="B122:E122"/>
    <mergeCell ref="C120:D120"/>
  </mergeCells>
  <conditionalFormatting sqref="E111">
    <cfRule type="cellIs" priority="2" dxfId="426" operator="greaterThan" stopIfTrue="1">
      <formula>$E$113*0.1</formula>
    </cfRule>
  </conditionalFormatting>
  <conditionalFormatting sqref="E116">
    <cfRule type="cellIs" priority="3" dxfId="426" operator="greaterThan" stopIfTrue="1">
      <formula>$E$113/0.95-$E$113</formula>
    </cfRule>
  </conditionalFormatting>
  <conditionalFormatting sqref="D111">
    <cfRule type="cellIs" priority="4" dxfId="2" operator="greaterThan" stopIfTrue="1">
      <formula>$D$113*0.1</formula>
    </cfRule>
  </conditionalFormatting>
  <conditionalFormatting sqref="C111">
    <cfRule type="cellIs" priority="5" dxfId="2" operator="greaterThan" stopIfTrue="1">
      <formula>$C$113*0.1</formula>
    </cfRule>
  </conditionalFormatting>
  <conditionalFormatting sqref="C114">
    <cfRule type="cellIs" priority="6" dxfId="2" operator="lessThan" stopIfTrue="1">
      <formula>0</formula>
    </cfRule>
  </conditionalFormatting>
  <conditionalFormatting sqref="D113">
    <cfRule type="cellIs" priority="7" dxfId="2" operator="greaterThan" stopIfTrue="1">
      <formula>$D$115</formula>
    </cfRule>
  </conditionalFormatting>
  <conditionalFormatting sqref="C113">
    <cfRule type="cellIs" priority="8" dxfId="2" operator="greaterThan" stopIfTrue="1">
      <formula>$C$115</formula>
    </cfRule>
  </conditionalFormatting>
  <conditionalFormatting sqref="C52">
    <cfRule type="cellIs" priority="10" dxfId="2" operator="greaterThan" stopIfTrue="1">
      <formula>$C$54*0.1</formula>
    </cfRule>
  </conditionalFormatting>
  <conditionalFormatting sqref="E52">
    <cfRule type="cellIs" priority="11" dxfId="426" operator="greaterThan" stopIfTrue="1">
      <formula>$E$54*0.1+E120</formula>
    </cfRule>
  </conditionalFormatting>
  <conditionalFormatting sqref="D114">
    <cfRule type="cellIs" priority="1" dxfId="0" operator="lessThan" stopIfTrue="1">
      <formula>0</formula>
    </cfRule>
  </conditionalFormatting>
  <printOptions/>
  <pageMargins left="1" right="0.5" top="0.81" bottom="0.36" header="0.5" footer="0"/>
  <pageSetup blackAndWhite="1" fitToHeight="2" horizontalDpi="120" verticalDpi="120" orientation="portrait" scale="70" r:id="rId1"/>
  <headerFooter alignWithMargins="0">
    <oddHeader>&amp;RState of Kansas
County
</oddHeader>
  </headerFooter>
  <rowBreaks count="1" manualBreakCount="1">
    <brk id="57" max="255" man="1"/>
  </rowBreaks>
  <colBreaks count="1" manualBreakCount="1">
    <brk id="5" max="65535" man="1"/>
  </colBreaks>
</worksheet>
</file>

<file path=xl/worksheets/sheet14.xml><?xml version="1.0" encoding="utf-8"?>
<worksheet xmlns="http://schemas.openxmlformats.org/spreadsheetml/2006/main" xmlns:r="http://schemas.openxmlformats.org/officeDocument/2006/relationships">
  <dimension ref="A1:D224"/>
  <sheetViews>
    <sheetView zoomScalePageLayoutView="0" workbookViewId="0" topLeftCell="A65">
      <selection activeCell="H67" sqref="H67"/>
    </sheetView>
  </sheetViews>
  <sheetFormatPr defaultColWidth="8.796875" defaultRowHeight="15"/>
  <cols>
    <col min="1" max="1" width="30.796875" style="77" customWidth="1"/>
    <col min="2" max="3" width="15.796875" style="77" customWidth="1"/>
    <col min="4" max="4" width="16.09765625" style="77" customWidth="1"/>
    <col min="5" max="16384" width="8.8984375" style="77" customWidth="1"/>
  </cols>
  <sheetData>
    <row r="1" spans="1:4" ht="15.75">
      <c r="A1" s="237" t="str">
        <f>inputPrYr!C2</f>
        <v>Geary County</v>
      </c>
      <c r="B1" s="90"/>
      <c r="C1" s="309"/>
      <c r="D1" s="90">
        <f>inputPrYr!C4</f>
        <v>2012</v>
      </c>
    </row>
    <row r="2" spans="1:4" ht="15.75">
      <c r="A2" s="90"/>
      <c r="B2" s="90"/>
      <c r="C2" s="90"/>
      <c r="D2" s="309"/>
    </row>
    <row r="3" spans="1:4" ht="15.75">
      <c r="A3" s="155" t="s">
        <v>238</v>
      </c>
      <c r="B3" s="322"/>
      <c r="C3" s="322"/>
      <c r="D3" s="322"/>
    </row>
    <row r="4" spans="1:4" ht="15.75">
      <c r="A4" s="309" t="s">
        <v>162</v>
      </c>
      <c r="B4" s="577" t="str">
        <f>general!C4</f>
        <v>Prior Year Actual</v>
      </c>
      <c r="C4" s="479" t="str">
        <f>general!D4</f>
        <v>Current Year Estimate</v>
      </c>
      <c r="D4" s="479" t="str">
        <f>general!E4</f>
        <v>Proposed Budget Year</v>
      </c>
    </row>
    <row r="5" spans="1:4" ht="15.75">
      <c r="A5" s="510" t="s">
        <v>683</v>
      </c>
      <c r="B5" s="323">
        <f>general!C5</f>
        <v>2010</v>
      </c>
      <c r="C5" s="323">
        <f>general!D5</f>
        <v>2011</v>
      </c>
      <c r="D5" s="310">
        <f>general!E5</f>
        <v>2012</v>
      </c>
    </row>
    <row r="6" spans="1:4" ht="15.75">
      <c r="A6" s="270" t="s">
        <v>175</v>
      </c>
      <c r="B6" s="130"/>
      <c r="C6" s="130"/>
      <c r="D6" s="130"/>
    </row>
    <row r="7" spans="1:4" ht="15.75">
      <c r="A7" s="331" t="s">
        <v>184</v>
      </c>
      <c r="B7" s="130"/>
      <c r="C7" s="130"/>
      <c r="D7" s="130"/>
    </row>
    <row r="8" spans="1:4" ht="15.75">
      <c r="A8" s="114" t="s">
        <v>180</v>
      </c>
      <c r="B8" s="314">
        <v>98572</v>
      </c>
      <c r="C8" s="314">
        <v>83812</v>
      </c>
      <c r="D8" s="314">
        <v>85488</v>
      </c>
    </row>
    <row r="9" spans="1:4" ht="15.75">
      <c r="A9" s="114" t="s">
        <v>181</v>
      </c>
      <c r="B9" s="314">
        <v>9893</v>
      </c>
      <c r="C9" s="679">
        <v>22250</v>
      </c>
      <c r="D9" s="314">
        <v>22250</v>
      </c>
    </row>
    <row r="10" spans="1:4" ht="15.75">
      <c r="A10" s="114" t="s">
        <v>182</v>
      </c>
      <c r="B10" s="314">
        <v>339</v>
      </c>
      <c r="C10" s="679">
        <v>2000</v>
      </c>
      <c r="D10" s="314">
        <v>2000</v>
      </c>
    </row>
    <row r="11" spans="1:4" ht="15.75">
      <c r="A11" s="114" t="s">
        <v>183</v>
      </c>
      <c r="B11" s="314">
        <v>0</v>
      </c>
      <c r="C11" s="679">
        <v>500</v>
      </c>
      <c r="D11" s="314">
        <v>500</v>
      </c>
    </row>
    <row r="12" spans="1:4" ht="15.75">
      <c r="A12" s="301"/>
      <c r="B12" s="314"/>
      <c r="C12" s="314"/>
      <c r="D12" s="314"/>
    </row>
    <row r="13" spans="1:4" ht="15.75">
      <c r="A13" s="309" t="s">
        <v>133</v>
      </c>
      <c r="B13" s="332">
        <f>SUM(B8:B12)</f>
        <v>108804</v>
      </c>
      <c r="C13" s="332">
        <f>SUM(C8:C12)</f>
        <v>108562</v>
      </c>
      <c r="D13" s="332">
        <f>SUM(D8:D12)</f>
        <v>110238</v>
      </c>
    </row>
    <row r="14" spans="1:4" ht="15.75">
      <c r="A14" s="331" t="s">
        <v>152</v>
      </c>
      <c r="B14" s="130"/>
      <c r="C14" s="130"/>
      <c r="D14" s="130"/>
    </row>
    <row r="15" spans="1:4" ht="15.75">
      <c r="A15" s="114" t="s">
        <v>180</v>
      </c>
      <c r="B15" s="314">
        <v>201092</v>
      </c>
      <c r="C15" s="679">
        <v>202978</v>
      </c>
      <c r="D15" s="314">
        <v>207037</v>
      </c>
    </row>
    <row r="16" spans="1:4" ht="15.75">
      <c r="A16" s="114" t="s">
        <v>181</v>
      </c>
      <c r="B16" s="314">
        <v>3133</v>
      </c>
      <c r="C16" s="679">
        <v>6500</v>
      </c>
      <c r="D16" s="314">
        <v>6500</v>
      </c>
    </row>
    <row r="17" spans="1:4" ht="15.75">
      <c r="A17" s="114" t="s">
        <v>182</v>
      </c>
      <c r="B17" s="314">
        <v>1228</v>
      </c>
      <c r="C17" s="679">
        <v>2500</v>
      </c>
      <c r="D17" s="314">
        <v>2500</v>
      </c>
    </row>
    <row r="18" spans="1:4" ht="15.75">
      <c r="A18" s="114" t="s">
        <v>183</v>
      </c>
      <c r="B18" s="314">
        <v>499</v>
      </c>
      <c r="C18" s="679">
        <v>4320</v>
      </c>
      <c r="D18" s="314">
        <v>4320</v>
      </c>
    </row>
    <row r="19" spans="1:4" ht="15.75">
      <c r="A19" s="309" t="s">
        <v>133</v>
      </c>
      <c r="B19" s="332">
        <f>SUM(B15:B18)</f>
        <v>205952</v>
      </c>
      <c r="C19" s="332">
        <f>SUM(C15:C18)</f>
        <v>216298</v>
      </c>
      <c r="D19" s="332">
        <f>SUM(D15:D18)</f>
        <v>220357</v>
      </c>
    </row>
    <row r="20" spans="1:4" ht="15.75">
      <c r="A20" s="331" t="s">
        <v>185</v>
      </c>
      <c r="B20" s="130"/>
      <c r="C20" s="130"/>
      <c r="D20" s="130"/>
    </row>
    <row r="21" spans="1:4" ht="15.75">
      <c r="A21" s="114" t="s">
        <v>180</v>
      </c>
      <c r="B21" s="314">
        <v>178240</v>
      </c>
      <c r="C21" s="679">
        <v>184783</v>
      </c>
      <c r="D21" s="314">
        <v>185041</v>
      </c>
    </row>
    <row r="22" spans="1:4" ht="15.75">
      <c r="A22" s="114" t="s">
        <v>181</v>
      </c>
      <c r="B22" s="314">
        <v>5674</v>
      </c>
      <c r="C22" s="679">
        <v>10200</v>
      </c>
      <c r="D22" s="314">
        <v>9200</v>
      </c>
    </row>
    <row r="23" spans="1:4" ht="15.75">
      <c r="A23" s="114" t="s">
        <v>182</v>
      </c>
      <c r="B23" s="314">
        <v>2104</v>
      </c>
      <c r="C23" s="679">
        <v>4000</v>
      </c>
      <c r="D23" s="314">
        <v>5000</v>
      </c>
    </row>
    <row r="24" spans="1:4" ht="15.75">
      <c r="A24" s="114" t="s">
        <v>183</v>
      </c>
      <c r="B24" s="314">
        <v>0</v>
      </c>
      <c r="C24" s="679">
        <v>4000</v>
      </c>
      <c r="D24" s="314">
        <v>3500</v>
      </c>
    </row>
    <row r="25" spans="1:4" ht="15.75">
      <c r="A25" s="309" t="s">
        <v>133</v>
      </c>
      <c r="B25" s="332">
        <f>SUM(B21:B24)</f>
        <v>186018</v>
      </c>
      <c r="C25" s="332">
        <f>SUM(C21:C24)</f>
        <v>202983</v>
      </c>
      <c r="D25" s="332">
        <f>SUM(D21:D24)</f>
        <v>202741</v>
      </c>
    </row>
    <row r="26" spans="1:4" ht="15.75">
      <c r="A26" s="331" t="s">
        <v>921</v>
      </c>
      <c r="B26" s="130"/>
      <c r="C26" s="130"/>
      <c r="D26" s="130"/>
    </row>
    <row r="27" spans="1:4" ht="15.75">
      <c r="A27" s="114" t="s">
        <v>180</v>
      </c>
      <c r="B27" s="314">
        <v>588000</v>
      </c>
      <c r="C27" s="679">
        <v>588330</v>
      </c>
      <c r="D27" s="314">
        <v>600097</v>
      </c>
    </row>
    <row r="28" spans="1:4" ht="15.75">
      <c r="A28" s="114" t="s">
        <v>181</v>
      </c>
      <c r="B28" s="314">
        <v>96894</v>
      </c>
      <c r="C28" s="679">
        <v>124800</v>
      </c>
      <c r="D28" s="314">
        <v>124800</v>
      </c>
    </row>
    <row r="29" spans="1:4" ht="15.75">
      <c r="A29" s="114" t="s">
        <v>182</v>
      </c>
      <c r="B29" s="314">
        <v>17100</v>
      </c>
      <c r="C29" s="679">
        <v>20000</v>
      </c>
      <c r="D29" s="314">
        <v>20000</v>
      </c>
    </row>
    <row r="30" spans="1:4" ht="15.75">
      <c r="A30" s="114" t="s">
        <v>183</v>
      </c>
      <c r="B30" s="314">
        <v>4699</v>
      </c>
      <c r="C30" s="679">
        <v>10000</v>
      </c>
      <c r="D30" s="314">
        <v>10000</v>
      </c>
    </row>
    <row r="31" spans="1:4" ht="15.75">
      <c r="A31" s="114" t="s">
        <v>922</v>
      </c>
      <c r="B31" s="314">
        <v>9835</v>
      </c>
      <c r="C31" s="679">
        <v>15000</v>
      </c>
      <c r="D31" s="314">
        <v>15000</v>
      </c>
    </row>
    <row r="32" spans="1:4" ht="15.75">
      <c r="A32" s="114" t="s">
        <v>937</v>
      </c>
      <c r="B32" s="314">
        <v>0</v>
      </c>
      <c r="C32" s="679">
        <v>0</v>
      </c>
      <c r="D32" s="314">
        <v>12240</v>
      </c>
    </row>
    <row r="33" spans="1:4" ht="15.75">
      <c r="A33" s="309" t="s">
        <v>133</v>
      </c>
      <c r="B33" s="332">
        <f>SUM(B27:B32)</f>
        <v>716528</v>
      </c>
      <c r="C33" s="332">
        <f>SUM(C27:C32)</f>
        <v>758130</v>
      </c>
      <c r="D33" s="332">
        <f>SUM(D27:D32)</f>
        <v>782137</v>
      </c>
    </row>
    <row r="34" spans="1:4" ht="15.75">
      <c r="A34" s="331" t="s">
        <v>187</v>
      </c>
      <c r="B34" s="130"/>
      <c r="C34" s="130"/>
      <c r="D34" s="130"/>
    </row>
    <row r="35" spans="1:4" ht="15.75">
      <c r="A35" s="114" t="s">
        <v>180</v>
      </c>
      <c r="B35" s="314">
        <v>151678</v>
      </c>
      <c r="C35" s="679">
        <v>155666</v>
      </c>
      <c r="D35" s="314">
        <v>158779</v>
      </c>
    </row>
    <row r="36" spans="1:4" ht="15.75">
      <c r="A36" s="114" t="s">
        <v>181</v>
      </c>
      <c r="B36" s="314">
        <v>6018</v>
      </c>
      <c r="C36" s="679">
        <v>6500</v>
      </c>
      <c r="D36" s="314">
        <v>6300</v>
      </c>
    </row>
    <row r="37" spans="1:4" ht="15.75">
      <c r="A37" s="114" t="s">
        <v>182</v>
      </c>
      <c r="B37" s="314">
        <v>2078</v>
      </c>
      <c r="C37" s="679">
        <v>4500</v>
      </c>
      <c r="D37" s="314">
        <v>4000</v>
      </c>
    </row>
    <row r="38" spans="1:4" ht="15.75">
      <c r="A38" s="316" t="s">
        <v>183</v>
      </c>
      <c r="B38" s="314">
        <v>0</v>
      </c>
      <c r="C38" s="679">
        <v>150</v>
      </c>
      <c r="D38" s="314">
        <v>150</v>
      </c>
    </row>
    <row r="39" spans="1:4" ht="15.75">
      <c r="A39" s="309" t="s">
        <v>133</v>
      </c>
      <c r="B39" s="332">
        <f>SUM(B35:B38)</f>
        <v>159774</v>
      </c>
      <c r="C39" s="332">
        <f>SUM(C35:C38)</f>
        <v>166816</v>
      </c>
      <c r="D39" s="332">
        <f>SUM(D35:D38)</f>
        <v>169229</v>
      </c>
    </row>
    <row r="40" spans="1:4" ht="15.75">
      <c r="A40" s="331" t="s">
        <v>923</v>
      </c>
      <c r="B40" s="130"/>
      <c r="C40" s="130"/>
      <c r="D40" s="130"/>
    </row>
    <row r="41" spans="1:4" ht="15.75">
      <c r="A41" s="114" t="s">
        <v>180</v>
      </c>
      <c r="B41" s="314">
        <v>3041632</v>
      </c>
      <c r="C41" s="679">
        <v>3112250</v>
      </c>
      <c r="D41" s="314">
        <v>3151800</v>
      </c>
    </row>
    <row r="42" spans="1:4" ht="15.75">
      <c r="A42" s="114" t="s">
        <v>181</v>
      </c>
      <c r="B42" s="314">
        <v>1221242</v>
      </c>
      <c r="C42" s="679">
        <v>1435315</v>
      </c>
      <c r="D42" s="314">
        <v>1381708</v>
      </c>
    </row>
    <row r="43" spans="1:4" ht="15.75">
      <c r="A43" s="114" t="s">
        <v>182</v>
      </c>
      <c r="B43" s="314">
        <v>179813</v>
      </c>
      <c r="C43" s="679">
        <v>196000</v>
      </c>
      <c r="D43" s="314">
        <v>196000</v>
      </c>
    </row>
    <row r="44" spans="1:4" ht="15.75">
      <c r="A44" s="114" t="s">
        <v>183</v>
      </c>
      <c r="B44" s="314">
        <v>42281</v>
      </c>
      <c r="C44" s="679">
        <v>102000</v>
      </c>
      <c r="D44" s="314">
        <v>102000</v>
      </c>
    </row>
    <row r="45" spans="1:4" ht="15.75">
      <c r="A45" s="309" t="s">
        <v>133</v>
      </c>
      <c r="B45" s="332">
        <f>SUM(B41:B44)</f>
        <v>4484968</v>
      </c>
      <c r="C45" s="332">
        <f>SUM(C41:C44)</f>
        <v>4845565</v>
      </c>
      <c r="D45" s="332">
        <f>SUM(D41:D44)</f>
        <v>4831508</v>
      </c>
    </row>
    <row r="46" spans="1:4" ht="15.75">
      <c r="A46" s="331" t="s">
        <v>160</v>
      </c>
      <c r="B46" s="130"/>
      <c r="C46" s="130"/>
      <c r="D46" s="130"/>
    </row>
    <row r="47" spans="1:4" ht="15.75">
      <c r="A47" s="114" t="s">
        <v>180</v>
      </c>
      <c r="B47" s="314"/>
      <c r="C47" s="679"/>
      <c r="D47" s="314"/>
    </row>
    <row r="48" spans="1:4" ht="15.75">
      <c r="A48" s="114" t="s">
        <v>181</v>
      </c>
      <c r="B48" s="314">
        <v>811388</v>
      </c>
      <c r="C48" s="679">
        <v>840293</v>
      </c>
      <c r="D48" s="314">
        <v>844517</v>
      </c>
    </row>
    <row r="49" spans="1:4" ht="15.75">
      <c r="A49" s="114" t="s">
        <v>182</v>
      </c>
      <c r="B49" s="314">
        <v>44411</v>
      </c>
      <c r="C49" s="679">
        <v>25165</v>
      </c>
      <c r="D49" s="314">
        <v>25250</v>
      </c>
    </row>
    <row r="50" spans="1:4" ht="15.75">
      <c r="A50" s="114" t="s">
        <v>183</v>
      </c>
      <c r="B50" s="314">
        <v>19754</v>
      </c>
      <c r="C50" s="679">
        <v>0</v>
      </c>
      <c r="D50" s="314">
        <v>0</v>
      </c>
    </row>
    <row r="51" spans="1:4" ht="15.75">
      <c r="A51" s="309" t="s">
        <v>133</v>
      </c>
      <c r="B51" s="332">
        <f>SUM(B47:B50)</f>
        <v>875553</v>
      </c>
      <c r="C51" s="332">
        <f>SUM(C47:C50)</f>
        <v>865458</v>
      </c>
      <c r="D51" s="332">
        <f>SUM(D47:D50)</f>
        <v>869767</v>
      </c>
    </row>
    <row r="52" spans="1:4" ht="15.75">
      <c r="A52" s="331" t="s">
        <v>924</v>
      </c>
      <c r="B52" s="130"/>
      <c r="C52" s="130"/>
      <c r="D52" s="130"/>
    </row>
    <row r="53" spans="1:4" ht="15.75">
      <c r="A53" s="114" t="s">
        <v>180</v>
      </c>
      <c r="B53" s="314">
        <v>92946</v>
      </c>
      <c r="C53" s="679">
        <v>93584</v>
      </c>
      <c r="D53" s="314">
        <v>94946</v>
      </c>
    </row>
    <row r="54" spans="1:4" ht="15.75">
      <c r="A54" s="114" t="s">
        <v>181</v>
      </c>
      <c r="B54" s="314">
        <v>9138</v>
      </c>
      <c r="C54" s="679">
        <v>13525</v>
      </c>
      <c r="D54" s="314">
        <v>12975</v>
      </c>
    </row>
    <row r="55" spans="1:4" ht="15.75">
      <c r="A55" s="114" t="s">
        <v>182</v>
      </c>
      <c r="B55" s="314">
        <v>3154</v>
      </c>
      <c r="C55" s="679">
        <v>3825</v>
      </c>
      <c r="D55" s="314">
        <v>4375</v>
      </c>
    </row>
    <row r="56" spans="1:4" ht="15.75">
      <c r="A56" s="114" t="s">
        <v>183</v>
      </c>
      <c r="B56" s="314">
        <v>2680</v>
      </c>
      <c r="C56" s="679">
        <v>1000</v>
      </c>
      <c r="D56" s="314">
        <v>1500</v>
      </c>
    </row>
    <row r="57" spans="1:4" ht="15.75">
      <c r="A57" s="309" t="s">
        <v>133</v>
      </c>
      <c r="B57" s="326">
        <f>SUM(B53:B56)</f>
        <v>107918</v>
      </c>
      <c r="C57" s="326">
        <f>SUM(C53:C56)</f>
        <v>111934</v>
      </c>
      <c r="D57" s="326">
        <f>SUM(D53:D56)</f>
        <v>113796</v>
      </c>
    </row>
    <row r="58" spans="1:4" ht="15.75">
      <c r="A58" s="90"/>
      <c r="B58" s="130"/>
      <c r="C58" s="130"/>
      <c r="D58" s="130"/>
    </row>
    <row r="59" spans="1:4" ht="15.75">
      <c r="A59" s="309" t="s">
        <v>309</v>
      </c>
      <c r="B59" s="320">
        <f>B13+B19+B25+B33+B39+B45+B51+B57</f>
        <v>6845515</v>
      </c>
      <c r="C59" s="320">
        <f>C13+C19+C25+C33+C39+C45+C51+C57</f>
        <v>7275746</v>
      </c>
      <c r="D59" s="320">
        <f>D13+D19+D25+D33+D39+D45+D51+D57</f>
        <v>7299773</v>
      </c>
    </row>
    <row r="60" spans="1:4" ht="15.75">
      <c r="A60" s="90"/>
      <c r="B60" s="237"/>
      <c r="C60" s="237"/>
      <c r="D60" s="237"/>
    </row>
    <row r="61" spans="1:4" ht="15.75">
      <c r="A61" s="783" t="s">
        <v>293</v>
      </c>
      <c r="B61" s="783"/>
      <c r="C61" s="783"/>
      <c r="D61" s="783"/>
    </row>
    <row r="62" spans="1:4" ht="15.75">
      <c r="A62" s="90"/>
      <c r="B62" s="237"/>
      <c r="C62" s="237"/>
      <c r="D62" s="237"/>
    </row>
    <row r="63" spans="1:4" ht="15.75">
      <c r="A63" s="237" t="str">
        <f>inputPrYr!C2</f>
        <v>Geary County</v>
      </c>
      <c r="B63" s="237"/>
      <c r="C63" s="89"/>
      <c r="D63" s="333">
        <f>D1</f>
        <v>2012</v>
      </c>
    </row>
    <row r="64" spans="1:4" ht="15.75">
      <c r="A64" s="90"/>
      <c r="B64" s="237"/>
      <c r="C64" s="237"/>
      <c r="D64" s="89"/>
    </row>
    <row r="65" spans="1:4" ht="15.75">
      <c r="A65" s="321" t="s">
        <v>237</v>
      </c>
      <c r="B65" s="334"/>
      <c r="C65" s="334"/>
      <c r="D65" s="334"/>
    </row>
    <row r="66" spans="1:4" ht="15.75">
      <c r="A66" s="90" t="s">
        <v>162</v>
      </c>
      <c r="B66" s="577" t="str">
        <f aca="true" t="shared" si="0" ref="B66:D67">B4</f>
        <v>Prior Year Actual</v>
      </c>
      <c r="C66" s="479" t="str">
        <f t="shared" si="0"/>
        <v>Current Year Estimate</v>
      </c>
      <c r="D66" s="479" t="str">
        <f t="shared" si="0"/>
        <v>Proposed Budget Year</v>
      </c>
    </row>
    <row r="67" spans="1:4" ht="15.75">
      <c r="A67" s="118" t="s">
        <v>179</v>
      </c>
      <c r="B67" s="323">
        <f t="shared" si="0"/>
        <v>2010</v>
      </c>
      <c r="C67" s="323">
        <f t="shared" si="0"/>
        <v>2011</v>
      </c>
      <c r="D67" s="323">
        <f t="shared" si="0"/>
        <v>2012</v>
      </c>
    </row>
    <row r="68" spans="1:4" ht="15.75">
      <c r="A68" s="309" t="s">
        <v>175</v>
      </c>
      <c r="B68" s="130"/>
      <c r="C68" s="130"/>
      <c r="D68" s="130"/>
    </row>
    <row r="69" spans="1:4" ht="15.75">
      <c r="A69" s="331" t="s">
        <v>925</v>
      </c>
      <c r="B69" s="130"/>
      <c r="C69" s="130"/>
      <c r="D69" s="130"/>
    </row>
    <row r="70" spans="1:4" ht="15.75">
      <c r="A70" s="114" t="s">
        <v>180</v>
      </c>
      <c r="B70" s="314">
        <v>736</v>
      </c>
      <c r="C70" s="679">
        <v>878</v>
      </c>
      <c r="D70" s="314">
        <v>918</v>
      </c>
    </row>
    <row r="71" spans="1:4" ht="15.75">
      <c r="A71" s="114" t="s">
        <v>181</v>
      </c>
      <c r="B71" s="314">
        <v>516726</v>
      </c>
      <c r="C71" s="679">
        <v>658400</v>
      </c>
      <c r="D71" s="314">
        <v>580000</v>
      </c>
    </row>
    <row r="72" spans="1:4" ht="15.75">
      <c r="A72" s="114" t="s">
        <v>182</v>
      </c>
      <c r="B72" s="314">
        <v>15639</v>
      </c>
      <c r="C72" s="679">
        <v>37500</v>
      </c>
      <c r="D72" s="314">
        <v>48600</v>
      </c>
    </row>
    <row r="73" spans="1:4" ht="15.75">
      <c r="A73" s="114" t="s">
        <v>183</v>
      </c>
      <c r="B73" s="314">
        <v>660</v>
      </c>
      <c r="C73" s="679">
        <v>10000</v>
      </c>
      <c r="D73" s="314">
        <v>10000</v>
      </c>
    </row>
    <row r="74" spans="1:4" ht="15.75">
      <c r="A74" s="677" t="s">
        <v>926</v>
      </c>
      <c r="B74" s="314">
        <v>6861</v>
      </c>
      <c r="C74" s="679">
        <v>20000</v>
      </c>
      <c r="D74" s="314">
        <v>20000</v>
      </c>
    </row>
    <row r="75" spans="1:4" ht="15.75">
      <c r="A75" s="677" t="s">
        <v>927</v>
      </c>
      <c r="B75" s="314">
        <v>10000</v>
      </c>
      <c r="C75" s="679">
        <v>10000</v>
      </c>
      <c r="D75" s="314">
        <v>10000</v>
      </c>
    </row>
    <row r="76" spans="1:4" ht="15.75">
      <c r="A76" s="335" t="s">
        <v>133</v>
      </c>
      <c r="B76" s="332">
        <f>SUM(B70:B75)</f>
        <v>550622</v>
      </c>
      <c r="C76" s="332">
        <f>SUM(C70:C75)</f>
        <v>736778</v>
      </c>
      <c r="D76" s="332">
        <f>SUM(D70:D75)</f>
        <v>669518</v>
      </c>
    </row>
    <row r="77" spans="1:4" ht="15.75">
      <c r="A77" s="331" t="s">
        <v>928</v>
      </c>
      <c r="B77" s="130"/>
      <c r="C77" s="130"/>
      <c r="D77" s="130"/>
    </row>
    <row r="78" spans="1:4" ht="15.75">
      <c r="A78" s="114" t="s">
        <v>180</v>
      </c>
      <c r="B78" s="314">
        <v>64384</v>
      </c>
      <c r="C78" s="679">
        <v>62832</v>
      </c>
      <c r="D78" s="314">
        <v>64089</v>
      </c>
    </row>
    <row r="79" spans="1:4" ht="15.75">
      <c r="A79" s="114" t="s">
        <v>181</v>
      </c>
      <c r="B79" s="314">
        <v>20930</v>
      </c>
      <c r="C79" s="679">
        <v>17975</v>
      </c>
      <c r="D79" s="314">
        <v>17780</v>
      </c>
    </row>
    <row r="80" spans="1:4" ht="15.75">
      <c r="A80" s="114" t="s">
        <v>182</v>
      </c>
      <c r="B80" s="314">
        <v>9018</v>
      </c>
      <c r="C80" s="679">
        <v>12800</v>
      </c>
      <c r="D80" s="314">
        <v>15970</v>
      </c>
    </row>
    <row r="81" spans="1:4" ht="15.75">
      <c r="A81" s="114" t="s">
        <v>183</v>
      </c>
      <c r="B81" s="314">
        <v>0</v>
      </c>
      <c r="C81" s="679">
        <v>0</v>
      </c>
      <c r="D81" s="314">
        <v>0</v>
      </c>
    </row>
    <row r="82" spans="1:4" ht="15.75">
      <c r="A82" s="309" t="s">
        <v>133</v>
      </c>
      <c r="B82" s="326">
        <f>SUM(B78:B81)</f>
        <v>94332</v>
      </c>
      <c r="C82" s="326">
        <f>SUM(C78:C81)</f>
        <v>93607</v>
      </c>
      <c r="D82" s="326">
        <f>SUM(D78:D81)</f>
        <v>97839</v>
      </c>
    </row>
    <row r="83" spans="1:4" ht="15.75">
      <c r="A83" s="331" t="s">
        <v>929</v>
      </c>
      <c r="B83" s="130"/>
      <c r="C83" s="130"/>
      <c r="D83" s="130"/>
    </row>
    <row r="84" spans="1:4" ht="15.75">
      <c r="A84" s="114" t="s">
        <v>180</v>
      </c>
      <c r="B84" s="314"/>
      <c r="C84" s="679"/>
      <c r="D84" s="314"/>
    </row>
    <row r="85" spans="1:4" ht="15.75">
      <c r="A85" s="114" t="s">
        <v>181</v>
      </c>
      <c r="B85" s="314">
        <f>21166+37350</f>
        <v>58516</v>
      </c>
      <c r="C85" s="679">
        <v>37800</v>
      </c>
      <c r="D85" s="314">
        <v>42100</v>
      </c>
    </row>
    <row r="86" spans="1:4" ht="15.75">
      <c r="A86" s="114" t="s">
        <v>182</v>
      </c>
      <c r="B86" s="314">
        <v>1445</v>
      </c>
      <c r="C86" s="679">
        <v>10000</v>
      </c>
      <c r="D86" s="314">
        <v>5000</v>
      </c>
    </row>
    <row r="87" spans="1:4" ht="15.75">
      <c r="A87" s="114" t="s">
        <v>183</v>
      </c>
      <c r="B87" s="314">
        <v>0</v>
      </c>
      <c r="C87" s="679">
        <v>8000</v>
      </c>
      <c r="D87" s="314">
        <v>8000</v>
      </c>
    </row>
    <row r="88" spans="1:4" ht="15.75">
      <c r="A88" s="309" t="s">
        <v>133</v>
      </c>
      <c r="B88" s="326">
        <f>SUM(B84:B87)</f>
        <v>59961</v>
      </c>
      <c r="C88" s="326">
        <f>SUM(C84:C87)</f>
        <v>55800</v>
      </c>
      <c r="D88" s="326">
        <f>SUM(D84:D87)</f>
        <v>55100</v>
      </c>
    </row>
    <row r="89" spans="1:4" ht="15.75">
      <c r="A89" s="331"/>
      <c r="B89" s="130"/>
      <c r="C89" s="130"/>
      <c r="D89" s="130"/>
    </row>
    <row r="90" spans="1:4" ht="15.75">
      <c r="A90" s="114"/>
      <c r="B90" s="314"/>
      <c r="C90" s="314"/>
      <c r="D90" s="314"/>
    </row>
    <row r="91" spans="1:4" ht="15.75">
      <c r="A91" s="114"/>
      <c r="B91" s="314"/>
      <c r="C91" s="314"/>
      <c r="D91" s="314"/>
    </row>
    <row r="92" spans="1:4" ht="15.75">
      <c r="A92" s="114"/>
      <c r="B92" s="314"/>
      <c r="C92" s="314"/>
      <c r="D92" s="314"/>
    </row>
    <row r="93" spans="1:4" ht="15.75">
      <c r="A93" s="301"/>
      <c r="B93" s="314"/>
      <c r="C93" s="314"/>
      <c r="D93" s="314"/>
    </row>
    <row r="94" spans="1:4" ht="15.75">
      <c r="A94" s="309" t="s">
        <v>133</v>
      </c>
      <c r="B94" s="326">
        <f>SUM(B90:B93)</f>
        <v>0</v>
      </c>
      <c r="C94" s="326">
        <f>SUM(C90:C93)</f>
        <v>0</v>
      </c>
      <c r="D94" s="326">
        <f>SUM(D90:D93)</f>
        <v>0</v>
      </c>
    </row>
    <row r="95" spans="1:4" ht="15.75">
      <c r="A95" s="331"/>
      <c r="B95" s="130"/>
      <c r="C95" s="130"/>
      <c r="D95" s="130"/>
    </row>
    <row r="96" spans="1:4" ht="15.75">
      <c r="A96" s="114"/>
      <c r="B96" s="314"/>
      <c r="C96" s="314"/>
      <c r="D96" s="314"/>
    </row>
    <row r="97" spans="1:4" ht="15.75">
      <c r="A97" s="114"/>
      <c r="B97" s="314"/>
      <c r="C97" s="314"/>
      <c r="D97" s="314"/>
    </row>
    <row r="98" spans="1:4" ht="15.75">
      <c r="A98" s="114"/>
      <c r="B98" s="314"/>
      <c r="C98" s="314"/>
      <c r="D98" s="314"/>
    </row>
    <row r="99" spans="1:4" ht="15.75">
      <c r="A99" s="114"/>
      <c r="B99" s="314"/>
      <c r="C99" s="314"/>
      <c r="D99" s="314"/>
    </row>
    <row r="100" spans="1:4" ht="15.75">
      <c r="A100" s="309" t="s">
        <v>133</v>
      </c>
      <c r="B100" s="326">
        <f>SUM(B96:B99)</f>
        <v>0</v>
      </c>
      <c r="C100" s="326">
        <f>SUM(C96:C99)</f>
        <v>0</v>
      </c>
      <c r="D100" s="326">
        <f>SUM(D96:D99)</f>
        <v>0</v>
      </c>
    </row>
    <row r="101" spans="1:4" ht="15.75">
      <c r="A101" s="331"/>
      <c r="B101" s="130"/>
      <c r="C101" s="130"/>
      <c r="D101" s="130"/>
    </row>
    <row r="102" spans="1:4" ht="15.75">
      <c r="A102" s="114"/>
      <c r="B102" s="314"/>
      <c r="C102" s="314"/>
      <c r="D102" s="314"/>
    </row>
    <row r="103" spans="1:4" ht="15.75">
      <c r="A103" s="114"/>
      <c r="B103" s="314"/>
      <c r="C103" s="314"/>
      <c r="D103" s="314"/>
    </row>
    <row r="104" spans="1:4" ht="15.75">
      <c r="A104" s="114"/>
      <c r="B104" s="314"/>
      <c r="C104" s="314"/>
      <c r="D104" s="314"/>
    </row>
    <row r="105" spans="1:4" ht="15.75">
      <c r="A105" s="114"/>
      <c r="B105" s="314"/>
      <c r="C105" s="314"/>
      <c r="D105" s="314"/>
    </row>
    <row r="106" spans="1:4" ht="15.75">
      <c r="A106" s="309" t="s">
        <v>133</v>
      </c>
      <c r="B106" s="326">
        <f>SUM(B102:B105)</f>
        <v>0</v>
      </c>
      <c r="C106" s="326">
        <f>SUM(C102:C105)</f>
        <v>0</v>
      </c>
      <c r="D106" s="326">
        <f>SUM(D102:D105)</f>
        <v>0</v>
      </c>
    </row>
    <row r="107" spans="1:4" ht="15.75">
      <c r="A107" s="331"/>
      <c r="B107" s="130"/>
      <c r="C107" s="130"/>
      <c r="D107" s="130"/>
    </row>
    <row r="108" spans="1:4" ht="15.75">
      <c r="A108" s="114"/>
      <c r="B108" s="314"/>
      <c r="C108" s="314"/>
      <c r="D108" s="314"/>
    </row>
    <row r="109" spans="1:4" ht="15.75">
      <c r="A109" s="114"/>
      <c r="B109" s="314"/>
      <c r="C109" s="314"/>
      <c r="D109" s="314"/>
    </row>
    <row r="110" spans="1:4" ht="15.75">
      <c r="A110" s="114"/>
      <c r="B110" s="314"/>
      <c r="C110" s="314"/>
      <c r="D110" s="314"/>
    </row>
    <row r="111" spans="1:4" ht="15.75">
      <c r="A111" s="114"/>
      <c r="B111" s="314"/>
      <c r="C111" s="314"/>
      <c r="D111" s="314"/>
    </row>
    <row r="112" spans="1:4" ht="15.75">
      <c r="A112" s="309" t="s">
        <v>133</v>
      </c>
      <c r="B112" s="326">
        <f>SUM(B108:B111)</f>
        <v>0</v>
      </c>
      <c r="C112" s="326">
        <f>SUM(C108:C111)</f>
        <v>0</v>
      </c>
      <c r="D112" s="326">
        <f>SUM(D108:D111)</f>
        <v>0</v>
      </c>
    </row>
    <row r="113" spans="1:4" ht="15.75">
      <c r="A113" s="90"/>
      <c r="B113" s="130"/>
      <c r="C113" s="130"/>
      <c r="D113" s="130"/>
    </row>
    <row r="114" spans="1:4" ht="15.75">
      <c r="A114" s="309" t="s">
        <v>310</v>
      </c>
      <c r="B114" s="320">
        <f>B76+B82+B88+B94+B100+B106+B112</f>
        <v>704915</v>
      </c>
      <c r="C114" s="320">
        <f>C76+C82+C88+C94+C100+C106+C112</f>
        <v>886185</v>
      </c>
      <c r="D114" s="320">
        <f>D76+D82+D88+D94+D100+D106+D112</f>
        <v>822457</v>
      </c>
    </row>
    <row r="115" spans="1:4" ht="15.75">
      <c r="A115" s="309"/>
      <c r="B115" s="130"/>
      <c r="C115" s="130"/>
      <c r="D115" s="130"/>
    </row>
    <row r="116" spans="1:4" ht="15.75">
      <c r="A116" s="309" t="s">
        <v>311</v>
      </c>
      <c r="B116" s="326">
        <f>B59</f>
        <v>6845515</v>
      </c>
      <c r="C116" s="326">
        <f>C59</f>
        <v>7275746</v>
      </c>
      <c r="D116" s="326">
        <f>D59</f>
        <v>7299773</v>
      </c>
    </row>
    <row r="117" spans="1:4" ht="15.75">
      <c r="A117" s="90"/>
      <c r="B117" s="130"/>
      <c r="C117" s="130"/>
      <c r="D117" s="130"/>
    </row>
    <row r="118" spans="1:4" ht="16.5" thickBot="1">
      <c r="A118" s="270" t="s">
        <v>30</v>
      </c>
      <c r="B118" s="336">
        <f>SUM(B114:B116)</f>
        <v>7550430</v>
      </c>
      <c r="C118" s="336">
        <f>SUM(C114:C116)</f>
        <v>8161931</v>
      </c>
      <c r="D118" s="336">
        <f>SUM(D114:D116)</f>
        <v>8122230</v>
      </c>
    </row>
    <row r="119" spans="1:4" ht="16.5" thickTop="1">
      <c r="A119" s="337" t="s">
        <v>31</v>
      </c>
      <c r="B119" s="338"/>
      <c r="C119" s="338"/>
      <c r="D119" s="338"/>
    </row>
    <row r="120" spans="1:4" ht="15.75">
      <c r="A120" s="783"/>
      <c r="B120" s="783"/>
      <c r="C120" s="783"/>
      <c r="D120" s="783"/>
    </row>
    <row r="121" spans="1:4" ht="15.75">
      <c r="A121" s="783" t="s">
        <v>294</v>
      </c>
      <c r="B121" s="783"/>
      <c r="C121" s="783"/>
      <c r="D121" s="783"/>
    </row>
    <row r="122" spans="2:4" ht="15.75">
      <c r="B122" s="339"/>
      <c r="C122" s="339"/>
      <c r="D122" s="339"/>
    </row>
    <row r="123" spans="2:4" ht="15.75">
      <c r="B123" s="339"/>
      <c r="C123" s="339"/>
      <c r="D123" s="339"/>
    </row>
    <row r="124" spans="2:4" ht="15.75">
      <c r="B124" s="339"/>
      <c r="C124" s="339"/>
      <c r="D124" s="339"/>
    </row>
    <row r="125" spans="2:4" ht="15.75">
      <c r="B125" s="339"/>
      <c r="C125" s="339"/>
      <c r="D125" s="339"/>
    </row>
    <row r="126" spans="2:4" ht="15.75">
      <c r="B126" s="339"/>
      <c r="C126" s="339"/>
      <c r="D126" s="339"/>
    </row>
    <row r="127" spans="2:4" ht="15.75">
      <c r="B127" s="339"/>
      <c r="C127" s="339"/>
      <c r="D127" s="339"/>
    </row>
    <row r="128" spans="2:4" ht="15.75">
      <c r="B128" s="339"/>
      <c r="C128" s="339"/>
      <c r="D128" s="339"/>
    </row>
    <row r="129" spans="2:4" ht="15.75">
      <c r="B129" s="339"/>
      <c r="C129" s="339"/>
      <c r="D129" s="339"/>
    </row>
    <row r="130" spans="2:4" ht="15.75">
      <c r="B130" s="339"/>
      <c r="C130" s="339"/>
      <c r="D130" s="339"/>
    </row>
    <row r="131" spans="2:4" ht="15.75">
      <c r="B131" s="339"/>
      <c r="C131" s="339"/>
      <c r="D131" s="339"/>
    </row>
    <row r="132" spans="2:4" ht="15.75">
      <c r="B132" s="339"/>
      <c r="C132" s="339"/>
      <c r="D132" s="339"/>
    </row>
    <row r="133" spans="2:4" ht="15.75">
      <c r="B133" s="339"/>
      <c r="C133" s="339"/>
      <c r="D133" s="339"/>
    </row>
    <row r="134" spans="2:4" ht="15.75">
      <c r="B134" s="339"/>
      <c r="C134" s="339"/>
      <c r="D134" s="339"/>
    </row>
    <row r="135" spans="2:4" ht="15.75">
      <c r="B135" s="339"/>
      <c r="C135" s="339"/>
      <c r="D135" s="339"/>
    </row>
    <row r="136" spans="2:4" ht="15.75">
      <c r="B136" s="339"/>
      <c r="C136" s="339"/>
      <c r="D136" s="339"/>
    </row>
    <row r="137" spans="2:4" ht="15.75">
      <c r="B137" s="339"/>
      <c r="C137" s="339"/>
      <c r="D137" s="339"/>
    </row>
    <row r="138" spans="2:4" ht="15.75">
      <c r="B138" s="339"/>
      <c r="C138" s="339"/>
      <c r="D138" s="339"/>
    </row>
    <row r="139" spans="2:4" ht="15.75">
      <c r="B139" s="339"/>
      <c r="C139" s="339"/>
      <c r="D139" s="339"/>
    </row>
    <row r="140" spans="2:4" ht="15.75">
      <c r="B140" s="339"/>
      <c r="C140" s="339"/>
      <c r="D140" s="339"/>
    </row>
    <row r="141" spans="2:4" ht="15.75">
      <c r="B141" s="339"/>
      <c r="C141" s="339"/>
      <c r="D141" s="339"/>
    </row>
    <row r="142" spans="2:4" ht="15.75">
      <c r="B142" s="339"/>
      <c r="C142" s="339"/>
      <c r="D142" s="339"/>
    </row>
    <row r="143" spans="2:4" ht="15.75">
      <c r="B143" s="339"/>
      <c r="C143" s="339"/>
      <c r="D143" s="339"/>
    </row>
    <row r="144" spans="2:4" ht="15.75">
      <c r="B144" s="339"/>
      <c r="C144" s="339"/>
      <c r="D144" s="339"/>
    </row>
    <row r="145" spans="2:4" ht="15.75">
      <c r="B145" s="339"/>
      <c r="C145" s="339"/>
      <c r="D145" s="339"/>
    </row>
    <row r="146" spans="2:4" ht="15.75">
      <c r="B146" s="339"/>
      <c r="C146" s="339"/>
      <c r="D146" s="339"/>
    </row>
    <row r="147" spans="2:4" ht="15.75">
      <c r="B147" s="339"/>
      <c r="C147" s="339"/>
      <c r="D147" s="339"/>
    </row>
    <row r="148" spans="2:4" ht="15.75">
      <c r="B148" s="339"/>
      <c r="C148" s="339"/>
      <c r="D148" s="339"/>
    </row>
    <row r="149" spans="2:4" ht="15.75">
      <c r="B149" s="339"/>
      <c r="C149" s="339"/>
      <c r="D149" s="339"/>
    </row>
    <row r="150" spans="2:4" ht="15.75">
      <c r="B150" s="339"/>
      <c r="C150" s="339"/>
      <c r="D150" s="339"/>
    </row>
    <row r="151" spans="2:4" ht="15.75">
      <c r="B151" s="339"/>
      <c r="C151" s="339"/>
      <c r="D151" s="339"/>
    </row>
    <row r="152" spans="2:4" ht="15.75">
      <c r="B152" s="339"/>
      <c r="C152" s="339"/>
      <c r="D152" s="339"/>
    </row>
    <row r="153" spans="2:4" ht="15.75">
      <c r="B153" s="339"/>
      <c r="C153" s="339"/>
      <c r="D153" s="339"/>
    </row>
    <row r="154" spans="2:4" ht="15.75">
      <c r="B154" s="339"/>
      <c r="C154" s="339"/>
      <c r="D154" s="339"/>
    </row>
    <row r="155" spans="2:4" ht="15.75">
      <c r="B155" s="339"/>
      <c r="C155" s="339"/>
      <c r="D155" s="339"/>
    </row>
    <row r="156" spans="2:4" ht="15.75">
      <c r="B156" s="339"/>
      <c r="C156" s="339"/>
      <c r="D156" s="339"/>
    </row>
    <row r="157" spans="2:4" ht="15.75">
      <c r="B157" s="339"/>
      <c r="C157" s="339"/>
      <c r="D157" s="339"/>
    </row>
    <row r="158" spans="2:4" ht="15.75">
      <c r="B158" s="339"/>
      <c r="C158" s="339"/>
      <c r="D158" s="339"/>
    </row>
    <row r="159" spans="2:4" ht="15.75">
      <c r="B159" s="339"/>
      <c r="C159" s="339"/>
      <c r="D159" s="339"/>
    </row>
    <row r="160" spans="2:4" ht="15.75">
      <c r="B160" s="339"/>
      <c r="C160" s="339"/>
      <c r="D160" s="339"/>
    </row>
    <row r="161" spans="2:4" ht="15.75">
      <c r="B161" s="339"/>
      <c r="C161" s="339"/>
      <c r="D161" s="339"/>
    </row>
    <row r="162" spans="2:4" ht="15.75">
      <c r="B162" s="339"/>
      <c r="C162" s="339"/>
      <c r="D162" s="339"/>
    </row>
    <row r="163" spans="2:4" ht="15.75">
      <c r="B163" s="339"/>
      <c r="C163" s="339"/>
      <c r="D163" s="339"/>
    </row>
    <row r="164" spans="2:4" ht="15.75">
      <c r="B164" s="339"/>
      <c r="C164" s="339"/>
      <c r="D164" s="339"/>
    </row>
    <row r="165" spans="2:4" ht="15.75">
      <c r="B165" s="339"/>
      <c r="C165" s="339"/>
      <c r="D165" s="339"/>
    </row>
    <row r="166" spans="2:4" ht="15.75">
      <c r="B166" s="339"/>
      <c r="C166" s="339"/>
      <c r="D166" s="339"/>
    </row>
    <row r="167" spans="2:4" ht="15.75">
      <c r="B167" s="339"/>
      <c r="C167" s="339"/>
      <c r="D167" s="339"/>
    </row>
    <row r="168" spans="2:4" ht="15.75">
      <c r="B168" s="339"/>
      <c r="C168" s="339"/>
      <c r="D168" s="339"/>
    </row>
    <row r="169" spans="2:4" ht="15.75">
      <c r="B169" s="339"/>
      <c r="C169" s="339"/>
      <c r="D169" s="339"/>
    </row>
    <row r="170" spans="2:4" ht="15.75">
      <c r="B170" s="339"/>
      <c r="C170" s="339"/>
      <c r="D170" s="339"/>
    </row>
    <row r="171" spans="2:4" ht="15.75">
      <c r="B171" s="339"/>
      <c r="C171" s="339"/>
      <c r="D171" s="339"/>
    </row>
    <row r="172" spans="2:4" ht="15.75">
      <c r="B172" s="339"/>
      <c r="C172" s="339"/>
      <c r="D172" s="339"/>
    </row>
    <row r="173" spans="2:4" ht="15.75">
      <c r="B173" s="339"/>
      <c r="C173" s="339"/>
      <c r="D173" s="339"/>
    </row>
    <row r="174" spans="2:4" ht="15.75">
      <c r="B174" s="339"/>
      <c r="C174" s="339"/>
      <c r="D174" s="339"/>
    </row>
    <row r="175" spans="2:4" ht="15.75">
      <c r="B175" s="339"/>
      <c r="C175" s="339"/>
      <c r="D175" s="339"/>
    </row>
    <row r="176" spans="2:4" ht="15.75">
      <c r="B176" s="339"/>
      <c r="C176" s="339"/>
      <c r="D176" s="339"/>
    </row>
    <row r="177" spans="2:4" ht="15.75">
      <c r="B177" s="339"/>
      <c r="C177" s="339"/>
      <c r="D177" s="339"/>
    </row>
    <row r="178" spans="2:4" ht="15.75">
      <c r="B178" s="339"/>
      <c r="C178" s="339"/>
      <c r="D178" s="339"/>
    </row>
    <row r="179" spans="2:4" ht="15.75">
      <c r="B179" s="339"/>
      <c r="C179" s="339"/>
      <c r="D179" s="339"/>
    </row>
    <row r="180" spans="2:4" ht="15.75">
      <c r="B180" s="339"/>
      <c r="C180" s="339"/>
      <c r="D180" s="339"/>
    </row>
    <row r="181" spans="2:4" ht="15.75">
      <c r="B181" s="339"/>
      <c r="C181" s="339"/>
      <c r="D181" s="339"/>
    </row>
    <row r="182" spans="2:4" ht="15.75">
      <c r="B182" s="339"/>
      <c r="C182" s="339"/>
      <c r="D182" s="339"/>
    </row>
    <row r="183" spans="2:4" ht="15.75">
      <c r="B183" s="339"/>
      <c r="C183" s="339"/>
      <c r="D183" s="339"/>
    </row>
    <row r="184" spans="2:4" ht="15.75">
      <c r="B184" s="339"/>
      <c r="C184" s="339"/>
      <c r="D184" s="339"/>
    </row>
    <row r="185" spans="2:4" ht="15.75">
      <c r="B185" s="339"/>
      <c r="C185" s="339"/>
      <c r="D185" s="339"/>
    </row>
    <row r="186" spans="2:4" ht="15.75">
      <c r="B186" s="339"/>
      <c r="C186" s="339"/>
      <c r="D186" s="339"/>
    </row>
    <row r="187" spans="2:4" ht="15.75">
      <c r="B187" s="339"/>
      <c r="C187" s="339"/>
      <c r="D187" s="339"/>
    </row>
    <row r="188" spans="2:4" ht="15.75">
      <c r="B188" s="339"/>
      <c r="C188" s="339"/>
      <c r="D188" s="339"/>
    </row>
    <row r="189" spans="2:4" ht="15.75">
      <c r="B189" s="339"/>
      <c r="C189" s="339"/>
      <c r="D189" s="339"/>
    </row>
    <row r="190" spans="2:4" ht="15.75">
      <c r="B190" s="339"/>
      <c r="C190" s="339"/>
      <c r="D190" s="339"/>
    </row>
    <row r="191" spans="2:4" ht="15.75">
      <c r="B191" s="339"/>
      <c r="C191" s="339"/>
      <c r="D191" s="339"/>
    </row>
    <row r="192" spans="2:4" ht="15.75">
      <c r="B192" s="339"/>
      <c r="C192" s="339"/>
      <c r="D192" s="339"/>
    </row>
    <row r="193" spans="2:4" ht="15.75">
      <c r="B193" s="339"/>
      <c r="C193" s="339"/>
      <c r="D193" s="339"/>
    </row>
    <row r="194" spans="2:4" ht="15.75">
      <c r="B194" s="339"/>
      <c r="C194" s="339"/>
      <c r="D194" s="339"/>
    </row>
    <row r="195" spans="2:4" ht="15.75">
      <c r="B195" s="339"/>
      <c r="C195" s="339"/>
      <c r="D195" s="339"/>
    </row>
    <row r="196" spans="2:4" ht="15.75">
      <c r="B196" s="339"/>
      <c r="C196" s="339"/>
      <c r="D196" s="339"/>
    </row>
    <row r="197" spans="2:4" ht="15.75">
      <c r="B197" s="339"/>
      <c r="C197" s="339"/>
      <c r="D197" s="339"/>
    </row>
    <row r="198" spans="2:4" ht="15.75">
      <c r="B198" s="339"/>
      <c r="C198" s="339"/>
      <c r="D198" s="339"/>
    </row>
    <row r="199" spans="2:4" ht="15.75">
      <c r="B199" s="339"/>
      <c r="C199" s="339"/>
      <c r="D199" s="339"/>
    </row>
    <row r="200" spans="2:4" ht="15.75">
      <c r="B200" s="339"/>
      <c r="C200" s="339"/>
      <c r="D200" s="339"/>
    </row>
    <row r="201" spans="2:4" ht="15.75">
      <c r="B201" s="339"/>
      <c r="C201" s="339"/>
      <c r="D201" s="339"/>
    </row>
    <row r="202" spans="2:4" ht="15.75">
      <c r="B202" s="339"/>
      <c r="C202" s="339"/>
      <c r="D202" s="339"/>
    </row>
    <row r="203" spans="2:4" ht="15.75">
      <c r="B203" s="339"/>
      <c r="C203" s="339"/>
      <c r="D203" s="339"/>
    </row>
    <row r="204" spans="2:4" ht="15.75">
      <c r="B204" s="339"/>
      <c r="C204" s="339"/>
      <c r="D204" s="339"/>
    </row>
    <row r="205" spans="2:4" ht="15.75">
      <c r="B205" s="339"/>
      <c r="C205" s="339"/>
      <c r="D205" s="339"/>
    </row>
    <row r="206" spans="2:4" ht="15.75">
      <c r="B206" s="339"/>
      <c r="C206" s="339"/>
      <c r="D206" s="339"/>
    </row>
    <row r="207" spans="2:4" ht="15.75">
      <c r="B207" s="339"/>
      <c r="C207" s="339"/>
      <c r="D207" s="339"/>
    </row>
    <row r="208" spans="2:4" ht="15.75">
      <c r="B208" s="339"/>
      <c r="C208" s="339"/>
      <c r="D208" s="339"/>
    </row>
    <row r="209" spans="2:4" ht="15.75">
      <c r="B209" s="339"/>
      <c r="C209" s="339"/>
      <c r="D209" s="339"/>
    </row>
    <row r="210" spans="2:4" ht="15.75">
      <c r="B210" s="339"/>
      <c r="C210" s="339"/>
      <c r="D210" s="339"/>
    </row>
    <row r="211" spans="2:4" ht="15.75">
      <c r="B211" s="339"/>
      <c r="C211" s="339"/>
      <c r="D211" s="339"/>
    </row>
    <row r="212" spans="2:4" ht="15.75">
      <c r="B212" s="339"/>
      <c r="C212" s="339"/>
      <c r="D212" s="339"/>
    </row>
    <row r="213" spans="2:4" ht="15.75">
      <c r="B213" s="339"/>
      <c r="C213" s="339"/>
      <c r="D213" s="339"/>
    </row>
    <row r="214" spans="2:4" ht="15.75">
      <c r="B214" s="339"/>
      <c r="C214" s="339"/>
      <c r="D214" s="339"/>
    </row>
    <row r="215" spans="2:4" ht="15.75">
      <c r="B215" s="339"/>
      <c r="C215" s="339"/>
      <c r="D215" s="339"/>
    </row>
    <row r="216" spans="2:4" ht="15.75">
      <c r="B216" s="339"/>
      <c r="C216" s="339"/>
      <c r="D216" s="339"/>
    </row>
    <row r="217" spans="2:4" ht="15.75">
      <c r="B217" s="339"/>
      <c r="C217" s="339"/>
      <c r="D217" s="339"/>
    </row>
    <row r="218" spans="2:4" ht="15.75">
      <c r="B218" s="339"/>
      <c r="C218" s="339"/>
      <c r="D218" s="339"/>
    </row>
    <row r="219" spans="2:4" ht="15.75">
      <c r="B219" s="339"/>
      <c r="C219" s="339"/>
      <c r="D219" s="339"/>
    </row>
    <row r="220" spans="2:4" ht="15.75">
      <c r="B220" s="339"/>
      <c r="C220" s="339"/>
      <c r="D220" s="339"/>
    </row>
    <row r="221" spans="2:4" ht="15.75">
      <c r="B221" s="339"/>
      <c r="C221" s="339"/>
      <c r="D221" s="339"/>
    </row>
    <row r="222" spans="2:4" ht="15.75">
      <c r="B222" s="339"/>
      <c r="C222" s="339"/>
      <c r="D222" s="339"/>
    </row>
    <row r="223" spans="2:4" ht="15.75">
      <c r="B223" s="339"/>
      <c r="C223" s="339"/>
      <c r="D223" s="339"/>
    </row>
    <row r="224" spans="2:4" ht="15.75">
      <c r="B224" s="339"/>
      <c r="C224" s="339"/>
      <c r="D224" s="339"/>
    </row>
  </sheetData>
  <sheetProtection/>
  <mergeCells count="3">
    <mergeCell ref="A121:D121"/>
    <mergeCell ref="A61:D61"/>
    <mergeCell ref="A120:D120"/>
  </mergeCells>
  <printOptions/>
  <pageMargins left="1.12" right="0.5" top="0.74" bottom="0.34" header="0.5" footer="0"/>
  <pageSetup blackAndWhite="1" horizontalDpi="120" verticalDpi="120" orientation="portrait" scale="71" r:id="rId1"/>
  <headerFooter alignWithMargins="0">
    <oddHeader>&amp;RState of Kansas
County
</oddHeader>
  </headerFooter>
  <rowBreaks count="1" manualBreakCount="1">
    <brk id="61" max="255" man="1"/>
  </rowBreaks>
</worksheet>
</file>

<file path=xl/worksheets/sheet15.xml><?xml version="1.0" encoding="utf-8"?>
<worksheet xmlns="http://schemas.openxmlformats.org/spreadsheetml/2006/main" xmlns:r="http://schemas.openxmlformats.org/officeDocument/2006/relationships">
  <sheetPr>
    <pageSetUpPr fitToPage="1"/>
  </sheetPr>
  <dimension ref="B1:I67"/>
  <sheetViews>
    <sheetView zoomScalePageLayoutView="0" workbookViewId="0" topLeftCell="A11">
      <selection activeCell="H67" sqref="H67"/>
    </sheetView>
  </sheetViews>
  <sheetFormatPr defaultColWidth="8.796875" defaultRowHeight="15"/>
  <cols>
    <col min="1" max="1" width="2.3984375" style="146" customWidth="1"/>
    <col min="2" max="2" width="31.09765625" style="146" customWidth="1"/>
    <col min="3" max="4" width="16.19921875" style="146" customWidth="1"/>
    <col min="5" max="5" width="16.296875" style="146" customWidth="1"/>
    <col min="6" max="6" width="7.3984375" style="146" customWidth="1"/>
    <col min="7" max="7" width="9.09765625" style="146" customWidth="1"/>
    <col min="8" max="16384" width="8.8984375" style="146" customWidth="1"/>
  </cols>
  <sheetData>
    <row r="1" spans="2:5" ht="15.75">
      <c r="B1" s="237" t="str">
        <f>inputPrYr!C2</f>
        <v>Geary County</v>
      </c>
      <c r="C1" s="90"/>
      <c r="D1" s="90"/>
      <c r="E1" s="262">
        <f>inputPrYr!$C$4</f>
        <v>2012</v>
      </c>
    </row>
    <row r="2" spans="2:5" ht="15.75">
      <c r="B2" s="90"/>
      <c r="C2" s="90"/>
      <c r="D2" s="90"/>
      <c r="E2" s="249"/>
    </row>
    <row r="3" spans="2:5" ht="15.75">
      <c r="B3" s="155" t="s">
        <v>239</v>
      </c>
      <c r="C3" s="340"/>
      <c r="D3" s="340"/>
      <c r="E3" s="341"/>
    </row>
    <row r="4" spans="2:5" ht="15.75">
      <c r="B4" s="90"/>
      <c r="C4" s="334"/>
      <c r="D4" s="334"/>
      <c r="E4" s="334"/>
    </row>
    <row r="5" spans="2:5" ht="15.75">
      <c r="B5" s="89" t="s">
        <v>162</v>
      </c>
      <c r="C5" s="478" t="s">
        <v>192</v>
      </c>
      <c r="D5" s="477" t="s">
        <v>326</v>
      </c>
      <c r="E5" s="479" t="s">
        <v>327</v>
      </c>
    </row>
    <row r="6" spans="2:5" ht="15.75">
      <c r="B6" s="512" t="str">
        <f>inputPrYr!B17</f>
        <v>Debt Service (14)</v>
      </c>
      <c r="C6" s="269">
        <f>E1-2</f>
        <v>2010</v>
      </c>
      <c r="D6" s="269">
        <f>E1-1</f>
        <v>2011</v>
      </c>
      <c r="E6" s="310">
        <f>E1</f>
        <v>2012</v>
      </c>
    </row>
    <row r="7" spans="2:5" ht="15.75">
      <c r="B7" s="151" t="s">
        <v>281</v>
      </c>
      <c r="C7" s="463">
        <v>94987</v>
      </c>
      <c r="D7" s="465">
        <f>C47</f>
        <v>573</v>
      </c>
      <c r="E7" s="342">
        <f>D47</f>
        <v>222</v>
      </c>
    </row>
    <row r="8" spans="2:5" ht="15.75">
      <c r="B8" s="343" t="s">
        <v>283</v>
      </c>
      <c r="C8" s="464"/>
      <c r="D8" s="465"/>
      <c r="E8" s="342"/>
    </row>
    <row r="9" spans="2:5" ht="15.75">
      <c r="B9" s="151" t="s">
        <v>163</v>
      </c>
      <c r="C9" s="456"/>
      <c r="D9" s="462">
        <f>inputPrYr!E17</f>
        <v>0</v>
      </c>
      <c r="E9" s="344" t="s">
        <v>149</v>
      </c>
    </row>
    <row r="10" spans="2:5" ht="15.75">
      <c r="B10" s="151" t="s">
        <v>164</v>
      </c>
      <c r="C10" s="456">
        <v>222</v>
      </c>
      <c r="D10" s="456"/>
      <c r="E10" s="345"/>
    </row>
    <row r="11" spans="2:5" ht="15.75">
      <c r="B11" s="151" t="s">
        <v>165</v>
      </c>
      <c r="C11" s="456"/>
      <c r="D11" s="456"/>
      <c r="E11" s="346" t="str">
        <f>mvalloc!D9</f>
        <v> </v>
      </c>
    </row>
    <row r="12" spans="2:5" ht="15.75">
      <c r="B12" s="151" t="s">
        <v>166</v>
      </c>
      <c r="C12" s="456"/>
      <c r="D12" s="456"/>
      <c r="E12" s="346" t="str">
        <f>mvalloc!E9</f>
        <v> </v>
      </c>
    </row>
    <row r="13" spans="2:5" ht="15.75">
      <c r="B13" s="347" t="s">
        <v>263</v>
      </c>
      <c r="C13" s="456"/>
      <c r="D13" s="456"/>
      <c r="E13" s="346" t="str">
        <f>mvalloc!F9</f>
        <v> </v>
      </c>
    </row>
    <row r="14" spans="2:5" ht="15.75">
      <c r="B14" s="347" t="s">
        <v>333</v>
      </c>
      <c r="C14" s="456"/>
      <c r="D14" s="456"/>
      <c r="E14" s="346" t="str">
        <f>mvalloc!G9</f>
        <v> </v>
      </c>
    </row>
    <row r="15" spans="2:5" ht="15.75">
      <c r="B15" s="347"/>
      <c r="C15" s="456"/>
      <c r="D15" s="456"/>
      <c r="E15" s="346"/>
    </row>
    <row r="16" spans="2:5" ht="15.75">
      <c r="B16" s="347"/>
      <c r="C16" s="456"/>
      <c r="D16" s="456"/>
      <c r="E16" s="346"/>
    </row>
    <row r="17" spans="2:5" ht="15.75">
      <c r="B17" s="348" t="s">
        <v>1087</v>
      </c>
      <c r="C17" s="456">
        <v>10000</v>
      </c>
      <c r="D17" s="456"/>
      <c r="E17" s="345"/>
    </row>
    <row r="18" spans="2:5" ht="15.75">
      <c r="B18" s="348"/>
      <c r="C18" s="456"/>
      <c r="D18" s="456"/>
      <c r="E18" s="349"/>
    </row>
    <row r="19" spans="2:5" ht="15.75">
      <c r="B19" s="348"/>
      <c r="C19" s="456"/>
      <c r="D19" s="456"/>
      <c r="E19" s="345"/>
    </row>
    <row r="20" spans="2:5" ht="15.75">
      <c r="B20" s="348"/>
      <c r="C20" s="456"/>
      <c r="D20" s="456"/>
      <c r="E20" s="345"/>
    </row>
    <row r="21" spans="2:5" ht="15.75">
      <c r="B21" s="348"/>
      <c r="C21" s="456"/>
      <c r="D21" s="456"/>
      <c r="E21" s="345"/>
    </row>
    <row r="22" spans="2:5" ht="15.75">
      <c r="B22" s="348"/>
      <c r="C22" s="456"/>
      <c r="D22" s="456"/>
      <c r="E22" s="345"/>
    </row>
    <row r="23" spans="2:5" ht="15.75">
      <c r="B23" s="348" t="s">
        <v>328</v>
      </c>
      <c r="C23" s="456"/>
      <c r="D23" s="456"/>
      <c r="E23" s="345"/>
    </row>
    <row r="24" spans="2:5" ht="15.75">
      <c r="B24" s="350" t="s">
        <v>170</v>
      </c>
      <c r="C24" s="456"/>
      <c r="D24" s="456"/>
      <c r="E24" s="345"/>
    </row>
    <row r="25" spans="2:5" ht="15.75">
      <c r="B25" s="317" t="s">
        <v>76</v>
      </c>
      <c r="C25" s="456"/>
      <c r="D25" s="456"/>
      <c r="E25" s="345"/>
    </row>
    <row r="26" spans="2:5" ht="15.75">
      <c r="B26" s="317" t="s">
        <v>77</v>
      </c>
      <c r="C26" s="457">
        <f>IF(C27*0.1&lt;C25,"Exceed 10% Rule","")</f>
      </c>
      <c r="D26" s="457">
        <f>IF(D27*0.1&lt;D25,"Exceed 10% Rule","")</f>
      </c>
      <c r="E26" s="351">
        <f>IF(E27*0.1+E53&lt;E25,"Exceed 10% Rule","")</f>
      </c>
    </row>
    <row r="27" spans="2:5" ht="15.75">
      <c r="B27" s="319" t="s">
        <v>171</v>
      </c>
      <c r="C27" s="466">
        <f>SUM(C9:C25)</f>
        <v>10222</v>
      </c>
      <c r="D27" s="467">
        <f>SUM(D9:D25)</f>
        <v>0</v>
      </c>
      <c r="E27" s="352">
        <f>SUM(E9:E25)</f>
        <v>0</v>
      </c>
    </row>
    <row r="28" spans="2:5" ht="15.75">
      <c r="B28" s="319" t="s">
        <v>172</v>
      </c>
      <c r="C28" s="467">
        <f>C7+C27</f>
        <v>105209</v>
      </c>
      <c r="D28" s="467">
        <f>D7+D27</f>
        <v>573</v>
      </c>
      <c r="E28" s="353">
        <f>E7+E27</f>
        <v>222</v>
      </c>
    </row>
    <row r="29" spans="2:5" ht="15.75">
      <c r="B29" s="343" t="s">
        <v>175</v>
      </c>
      <c r="C29" s="464"/>
      <c r="D29" s="464"/>
      <c r="E29" s="346"/>
    </row>
    <row r="30" spans="2:5" ht="15.75">
      <c r="B30" s="325"/>
      <c r="C30" s="456"/>
      <c r="D30" s="456"/>
      <c r="E30" s="345"/>
    </row>
    <row r="31" spans="2:5" ht="15.75">
      <c r="B31" s="325" t="s">
        <v>952</v>
      </c>
      <c r="C31" s="456">
        <v>104636</v>
      </c>
      <c r="D31" s="456">
        <v>351</v>
      </c>
      <c r="E31" s="345">
        <v>222</v>
      </c>
    </row>
    <row r="32" spans="2:5" ht="15.75">
      <c r="B32" s="325"/>
      <c r="C32" s="456"/>
      <c r="D32" s="456"/>
      <c r="E32" s="345"/>
    </row>
    <row r="33" spans="2:5" ht="15.75">
      <c r="B33" s="325"/>
      <c r="C33" s="456"/>
      <c r="D33" s="456"/>
      <c r="E33" s="345"/>
    </row>
    <row r="34" spans="2:5" ht="15.75">
      <c r="B34" s="325"/>
      <c r="C34" s="456"/>
      <c r="D34" s="456"/>
      <c r="E34" s="345"/>
    </row>
    <row r="35" spans="2:5" ht="15.75">
      <c r="B35" s="325"/>
      <c r="C35" s="456"/>
      <c r="D35" s="456"/>
      <c r="E35" s="345"/>
    </row>
    <row r="36" spans="2:5" ht="15.75">
      <c r="B36" s="325"/>
      <c r="C36" s="456"/>
      <c r="D36" s="456"/>
      <c r="E36" s="345"/>
    </row>
    <row r="37" spans="2:5" ht="15.75">
      <c r="B37" s="325"/>
      <c r="C37" s="456"/>
      <c r="D37" s="456"/>
      <c r="E37" s="345"/>
    </row>
    <row r="38" spans="2:5" ht="15.75">
      <c r="B38" s="325"/>
      <c r="C38" s="456"/>
      <c r="D38" s="456"/>
      <c r="E38" s="345"/>
    </row>
    <row r="39" spans="2:5" ht="15.75">
      <c r="B39" s="325"/>
      <c r="C39" s="456"/>
      <c r="D39" s="456"/>
      <c r="E39" s="345"/>
    </row>
    <row r="40" spans="2:5" ht="15.75">
      <c r="B40" s="325"/>
      <c r="C40" s="456"/>
      <c r="D40" s="456"/>
      <c r="E40" s="345"/>
    </row>
    <row r="41" spans="2:5" ht="15.75">
      <c r="B41" s="325"/>
      <c r="C41" s="456"/>
      <c r="D41" s="456"/>
      <c r="E41" s="345"/>
    </row>
    <row r="42" spans="2:5" ht="15.75">
      <c r="B42" s="325"/>
      <c r="C42" s="456"/>
      <c r="D42" s="456"/>
      <c r="E42" s="345"/>
    </row>
    <row r="43" spans="2:5" ht="15.75">
      <c r="B43" s="317" t="s">
        <v>78</v>
      </c>
      <c r="C43" s="456"/>
      <c r="D43" s="456"/>
      <c r="E43" s="326">
        <f>Nhood!E7</f>
      </c>
    </row>
    <row r="44" spans="2:5" ht="15.75">
      <c r="B44" s="317" t="s">
        <v>76</v>
      </c>
      <c r="C44" s="456"/>
      <c r="D44" s="456"/>
      <c r="E44" s="345"/>
    </row>
    <row r="45" spans="2:9" ht="15.75">
      <c r="B45" s="317" t="s">
        <v>79</v>
      </c>
      <c r="C45" s="457">
        <f>IF(C46*0.1&lt;C44,"Exceed 10% Rule","")</f>
      </c>
      <c r="D45" s="457">
        <f>IF(D46*0.1&lt;D44,"Exceed 10% Rule","")</f>
      </c>
      <c r="E45" s="351">
        <f>IF(E46*0.1&lt;E44,"Exceed 10% Rule","")</f>
      </c>
      <c r="G45" s="784" t="str">
        <f>CONCATENATE("Projected Carryover Into ",E1+1,"")</f>
        <v>Projected Carryover Into 2013</v>
      </c>
      <c r="H45" s="785"/>
      <c r="I45" s="786"/>
    </row>
    <row r="46" spans="2:9" ht="15.75">
      <c r="B46" s="319" t="s">
        <v>176</v>
      </c>
      <c r="C46" s="466">
        <f>SUM(C30:C44)</f>
        <v>104636</v>
      </c>
      <c r="D46" s="467">
        <f>SUM(D30:D44)</f>
        <v>351</v>
      </c>
      <c r="E46" s="352">
        <f>SUM(E30:E44)</f>
        <v>222</v>
      </c>
      <c r="G46" s="545"/>
      <c r="H46" s="544"/>
      <c r="I46" s="546"/>
    </row>
    <row r="47" spans="2:9" ht="15.75">
      <c r="B47" s="151" t="s">
        <v>282</v>
      </c>
      <c r="C47" s="468">
        <f>C28-C46</f>
        <v>573</v>
      </c>
      <c r="D47" s="468">
        <f>D28-D46</f>
        <v>222</v>
      </c>
      <c r="E47" s="344" t="s">
        <v>149</v>
      </c>
      <c r="G47" s="486">
        <f>D47</f>
        <v>222</v>
      </c>
      <c r="H47" s="485" t="str">
        <f>CONCATENATE("",E1-1," Ending Cash Balance (est.)")</f>
        <v>2011 Ending Cash Balance (est.)</v>
      </c>
      <c r="I47" s="546"/>
    </row>
    <row r="48" spans="2:9" ht="15.75">
      <c r="B48" s="295" t="str">
        <f>CONCATENATE("",E$1-2,"/",E$1-1," Budget Authority Amount:")</f>
        <v>2010/2011 Budget Authority Amount:</v>
      </c>
      <c r="C48" s="287">
        <f>inputOth!B32</f>
        <v>104636</v>
      </c>
      <c r="D48" s="287">
        <f>inputPrYr!D17</f>
        <v>351</v>
      </c>
      <c r="E48" s="344" t="s">
        <v>149</v>
      </c>
      <c r="F48" s="354"/>
      <c r="G48" s="486">
        <f>E27</f>
        <v>0</v>
      </c>
      <c r="H48" s="484" t="str">
        <f>CONCATENATE("",E1," Non-AV Receipts (est.)")</f>
        <v>2012 Non-AV Receipts (est.)</v>
      </c>
      <c r="I48" s="546"/>
    </row>
    <row r="49" spans="2:9" ht="15.75">
      <c r="B49" s="295"/>
      <c r="C49" s="772" t="s">
        <v>684</v>
      </c>
      <c r="D49" s="773"/>
      <c r="E49" s="116"/>
      <c r="F49" s="487">
        <f>IF(E46/0.95-E46&lt;E49,"Exceeds 5%","")</f>
      </c>
      <c r="G49" s="483">
        <f>E53</f>
        <v>0</v>
      </c>
      <c r="H49" s="484" t="str">
        <f>CONCATENATE("",E1," Ad Valorem Tax (est.)")</f>
        <v>2012 Ad Valorem Tax (est.)</v>
      </c>
      <c r="I49" s="546"/>
    </row>
    <row r="50" spans="2:9" ht="15.75">
      <c r="B50" s="534" t="str">
        <f>CONCATENATE(C66,"     ",D66)</f>
        <v>     </v>
      </c>
      <c r="C50" s="774" t="s">
        <v>685</v>
      </c>
      <c r="D50" s="775"/>
      <c r="E50" s="273">
        <f>E46+E49</f>
        <v>222</v>
      </c>
      <c r="G50" s="486">
        <f>SUM(G47:G49)</f>
        <v>222</v>
      </c>
      <c r="H50" s="484" t="str">
        <f>CONCATENATE("Total ",E1," Resources Available")</f>
        <v>Total 2012 Resources Available</v>
      </c>
      <c r="I50" s="546"/>
    </row>
    <row r="51" spans="2:9" ht="15.75">
      <c r="B51" s="534" t="str">
        <f>CONCATENATE(C67,"     ",D67)</f>
        <v>     </v>
      </c>
      <c r="C51" s="328"/>
      <c r="D51" s="249" t="s">
        <v>177</v>
      </c>
      <c r="E51" s="123">
        <f>IF(E50-E28&gt;0,E50-E28,0)</f>
        <v>0</v>
      </c>
      <c r="G51" s="482"/>
      <c r="H51" s="484"/>
      <c r="I51" s="546"/>
    </row>
    <row r="52" spans="2:9" ht="15.75">
      <c r="B52" s="249"/>
      <c r="C52" s="532" t="s">
        <v>686</v>
      </c>
      <c r="D52" s="505">
        <f>inputOth!$E$24</f>
        <v>0.065</v>
      </c>
      <c r="E52" s="273">
        <f>ROUND(IF(D52&gt;0,(E51*D52),0),0)</f>
        <v>0</v>
      </c>
      <c r="G52" s="483">
        <f>C46</f>
        <v>104636</v>
      </c>
      <c r="H52" s="484" t="str">
        <f>CONCATENATE("Less ",E1-2," Expenditures")</f>
        <v>Less 2010 Expenditures</v>
      </c>
      <c r="I52" s="546"/>
    </row>
    <row r="53" spans="2:9" ht="15.75">
      <c r="B53" s="90"/>
      <c r="C53" s="781" t="str">
        <f>CONCATENATE("Amount of  ",$E$1-1," Ad Valorem Tax")</f>
        <v>Amount of  2011 Ad Valorem Tax</v>
      </c>
      <c r="D53" s="782"/>
      <c r="E53" s="355">
        <f>E51+E52</f>
        <v>0</v>
      </c>
      <c r="G53" s="481">
        <f>G50-G52</f>
        <v>-104414</v>
      </c>
      <c r="H53" s="480" t="str">
        <f>CONCATENATE("Projected ",E1+1," carryover (est.)")</f>
        <v>Projected 2013 carryover (est.)</v>
      </c>
      <c r="I53" s="501"/>
    </row>
    <row r="54" spans="2:5" ht="15.75">
      <c r="B54" s="249"/>
      <c r="C54" s="90"/>
      <c r="D54" s="90"/>
      <c r="E54" s="90"/>
    </row>
    <row r="55" spans="2:5" ht="15.75">
      <c r="B55" s="295" t="s">
        <v>190</v>
      </c>
      <c r="C55" s="356">
        <v>8</v>
      </c>
      <c r="D55" s="90"/>
      <c r="E55" s="90"/>
    </row>
    <row r="66" spans="3:4" ht="15.75" hidden="1">
      <c r="C66" s="146">
        <f>IF(C46&gt;C48,"SeeTab A","")</f>
      </c>
      <c r="D66" s="146">
        <f>IF(D46&gt;D48,"See Tab C","")</f>
      </c>
    </row>
    <row r="67" spans="3:4" ht="15.75" hidden="1">
      <c r="C67" s="146">
        <f>IF(C47&lt;0,"See Tab B","")</f>
      </c>
      <c r="D67" s="146">
        <f>IF(D47&lt;0,"See Tab D","")</f>
      </c>
    </row>
  </sheetData>
  <sheetProtection sheet="1"/>
  <mergeCells count="4">
    <mergeCell ref="C49:D49"/>
    <mergeCell ref="C50:D50"/>
    <mergeCell ref="G45:I45"/>
    <mergeCell ref="C53:D53"/>
  </mergeCells>
  <conditionalFormatting sqref="E44">
    <cfRule type="cellIs" priority="2" dxfId="426" operator="greaterThan" stopIfTrue="1">
      <formula>$E$46*0.1</formula>
    </cfRule>
  </conditionalFormatting>
  <conditionalFormatting sqref="E49">
    <cfRule type="cellIs" priority="3" dxfId="426" operator="greaterThan" stopIfTrue="1">
      <formula>$E$46/0.95-$E$46</formula>
    </cfRule>
  </conditionalFormatting>
  <conditionalFormatting sqref="C47">
    <cfRule type="cellIs" priority="4" dxfId="2" operator="lessThan" stopIfTrue="1">
      <formula>0</formula>
    </cfRule>
  </conditionalFormatting>
  <conditionalFormatting sqref="C46">
    <cfRule type="cellIs" priority="5" dxfId="2" operator="greaterThan" stopIfTrue="1">
      <formula>$C$48</formula>
    </cfRule>
  </conditionalFormatting>
  <conditionalFormatting sqref="D46">
    <cfRule type="cellIs" priority="6" dxfId="2" operator="greaterThan" stopIfTrue="1">
      <formula>$D$48</formula>
    </cfRule>
  </conditionalFormatting>
  <conditionalFormatting sqref="C25">
    <cfRule type="cellIs" priority="7" dxfId="2" operator="greaterThan" stopIfTrue="1">
      <formula>$C$27*0.1</formula>
    </cfRule>
  </conditionalFormatting>
  <conditionalFormatting sqref="D25">
    <cfRule type="cellIs" priority="8" dxfId="2" operator="greaterThan" stopIfTrue="1">
      <formula>$D$27*0.1</formula>
    </cfRule>
  </conditionalFormatting>
  <conditionalFormatting sqref="E25">
    <cfRule type="cellIs" priority="9" dxfId="426" operator="greaterThan" stopIfTrue="1">
      <formula>$E$27*0.1+E53</formula>
    </cfRule>
  </conditionalFormatting>
  <conditionalFormatting sqref="C44">
    <cfRule type="cellIs" priority="10" dxfId="2" operator="greaterThan" stopIfTrue="1">
      <formula>$C$46*0.1</formula>
    </cfRule>
  </conditionalFormatting>
  <conditionalFormatting sqref="D44">
    <cfRule type="cellIs" priority="11" dxfId="2" operator="greaterThan" stopIfTrue="1">
      <formula>$D$46*0.1</formula>
    </cfRule>
  </conditionalFormatting>
  <conditionalFormatting sqref="D47">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6" r:id="rId1"/>
  <headerFooter alignWithMargins="0">
    <oddHeader>&amp;RState of Kansas
County</oddHeader>
  </headerFooter>
</worksheet>
</file>

<file path=xl/worksheets/sheet16.xml><?xml version="1.0" encoding="utf-8"?>
<worksheet xmlns="http://schemas.openxmlformats.org/spreadsheetml/2006/main" xmlns:r="http://schemas.openxmlformats.org/officeDocument/2006/relationships">
  <dimension ref="B1:J71"/>
  <sheetViews>
    <sheetView zoomScalePageLayoutView="0" workbookViewId="0" topLeftCell="A6">
      <selection activeCell="H67" sqref="H67"/>
    </sheetView>
  </sheetViews>
  <sheetFormatPr defaultColWidth="8.796875" defaultRowHeight="15"/>
  <cols>
    <col min="1" max="1" width="2.3984375" style="77" customWidth="1"/>
    <col min="2" max="2" width="31.09765625" style="77" customWidth="1"/>
    <col min="3" max="4" width="15.796875" style="77" customWidth="1"/>
    <col min="5" max="5" width="16.19921875" style="77" customWidth="1"/>
    <col min="6" max="6" width="7.59765625" style="77" customWidth="1"/>
    <col min="7" max="7" width="9.09765625" style="77" customWidth="1"/>
    <col min="8" max="8" width="8.8984375" style="77" customWidth="1"/>
    <col min="9" max="9" width="5" style="77" customWidth="1"/>
    <col min="10" max="10" width="7.796875" style="77" customWidth="1"/>
    <col min="11" max="16384" width="8.8984375" style="77" customWidth="1"/>
  </cols>
  <sheetData>
    <row r="1" spans="2:5" ht="15.75">
      <c r="B1" s="237" t="str">
        <f>inputPrYr!C2</f>
        <v>Geary County</v>
      </c>
      <c r="C1" s="90"/>
      <c r="D1" s="90"/>
      <c r="E1" s="294">
        <f>inputPrYr!C4</f>
        <v>2012</v>
      </c>
    </row>
    <row r="2" spans="2:5" ht="15.75">
      <c r="B2" s="90"/>
      <c r="C2" s="90"/>
      <c r="D2" s="90"/>
      <c r="E2" s="249"/>
    </row>
    <row r="3" spans="2:5" ht="15.75">
      <c r="B3" s="155" t="s">
        <v>239</v>
      </c>
      <c r="C3" s="90"/>
      <c r="D3" s="90"/>
      <c r="E3" s="308"/>
    </row>
    <row r="4" spans="2:5" ht="15.75">
      <c r="B4" s="309" t="s">
        <v>162</v>
      </c>
      <c r="C4" s="478" t="s">
        <v>192</v>
      </c>
      <c r="D4" s="477" t="s">
        <v>326</v>
      </c>
      <c r="E4" s="479" t="str">
        <f>general!E4</f>
        <v>Proposed Budget Year</v>
      </c>
    </row>
    <row r="5" spans="2:5" ht="15.75">
      <c r="B5" s="512" t="str">
        <f>inputPrYr!B18</f>
        <v>Road &amp; Bridge</v>
      </c>
      <c r="C5" s="269">
        <f>E1-2</f>
        <v>2010</v>
      </c>
      <c r="D5" s="269">
        <f>E1-1</f>
        <v>2011</v>
      </c>
      <c r="E5" s="310">
        <f>E1</f>
        <v>2012</v>
      </c>
    </row>
    <row r="6" spans="2:5" ht="15.75">
      <c r="B6" s="311" t="s">
        <v>281</v>
      </c>
      <c r="C6" s="456">
        <v>898727</v>
      </c>
      <c r="D6" s="460">
        <f>C53</f>
        <v>913135</v>
      </c>
      <c r="E6" s="273">
        <f>D53</f>
        <v>497445</v>
      </c>
    </row>
    <row r="7" spans="2:5" ht="15.75">
      <c r="B7" s="298" t="s">
        <v>283</v>
      </c>
      <c r="C7" s="313"/>
      <c r="D7" s="313"/>
      <c r="E7" s="130"/>
    </row>
    <row r="8" spans="2:5" ht="15.75">
      <c r="B8" s="311" t="s">
        <v>163</v>
      </c>
      <c r="C8" s="456">
        <v>1086647</v>
      </c>
      <c r="D8" s="456">
        <v>1131339</v>
      </c>
      <c r="E8" s="230" t="s">
        <v>149</v>
      </c>
    </row>
    <row r="9" spans="2:5" ht="15.75">
      <c r="B9" s="311" t="s">
        <v>164</v>
      </c>
      <c r="C9" s="456">
        <v>35110</v>
      </c>
      <c r="D9" s="456">
        <v>20000</v>
      </c>
      <c r="E9" s="314">
        <v>25000</v>
      </c>
    </row>
    <row r="10" spans="2:5" ht="15.75">
      <c r="B10" s="311" t="s">
        <v>165</v>
      </c>
      <c r="C10" s="456">
        <v>165039</v>
      </c>
      <c r="D10" s="456">
        <v>124846</v>
      </c>
      <c r="E10" s="130">
        <f>mvalloc!D10</f>
        <v>126750</v>
      </c>
    </row>
    <row r="11" spans="2:5" ht="15.75">
      <c r="B11" s="311" t="s">
        <v>166</v>
      </c>
      <c r="C11" s="456">
        <v>1932</v>
      </c>
      <c r="D11" s="456">
        <v>1403</v>
      </c>
      <c r="E11" s="130">
        <f>mvalloc!E10</f>
        <v>1472</v>
      </c>
    </row>
    <row r="12" spans="2:5" ht="15.75">
      <c r="B12" s="313" t="s">
        <v>263</v>
      </c>
      <c r="C12" s="456">
        <v>2904</v>
      </c>
      <c r="D12" s="456">
        <v>2000</v>
      </c>
      <c r="E12" s="130">
        <f>mvalloc!F10</f>
        <v>2076</v>
      </c>
    </row>
    <row r="13" spans="2:5" ht="15.75">
      <c r="B13" s="313" t="s">
        <v>333</v>
      </c>
      <c r="C13" s="456"/>
      <c r="D13" s="456">
        <v>0</v>
      </c>
      <c r="E13" s="130">
        <f>mvalloc!G10</f>
        <v>0</v>
      </c>
    </row>
    <row r="14" spans="2:5" ht="15.75">
      <c r="B14" s="311"/>
      <c r="C14" s="456"/>
      <c r="D14" s="456"/>
      <c r="E14" s="130"/>
    </row>
    <row r="15" spans="2:5" ht="15.75">
      <c r="B15" s="357" t="s">
        <v>7</v>
      </c>
      <c r="C15" s="456">
        <v>752679</v>
      </c>
      <c r="D15" s="456">
        <v>700000</v>
      </c>
      <c r="E15" s="150">
        <v>700000</v>
      </c>
    </row>
    <row r="16" spans="2:5" ht="15.75">
      <c r="B16" s="357" t="s">
        <v>8</v>
      </c>
      <c r="C16" s="456"/>
      <c r="D16" s="456"/>
      <c r="E16" s="150"/>
    </row>
    <row r="17" spans="2:5" ht="15.75">
      <c r="B17" s="680" t="s">
        <v>905</v>
      </c>
      <c r="C17" s="456">
        <v>5811</v>
      </c>
      <c r="D17" s="456">
        <v>5000</v>
      </c>
      <c r="E17" s="150">
        <v>5000</v>
      </c>
    </row>
    <row r="18" spans="2:5" ht="15.75">
      <c r="B18" s="680" t="s">
        <v>953</v>
      </c>
      <c r="C18" s="456"/>
      <c r="D18" s="456"/>
      <c r="E18" s="314"/>
    </row>
    <row r="19" spans="2:5" ht="15.75">
      <c r="B19" s="680" t="s">
        <v>954</v>
      </c>
      <c r="C19" s="456">
        <v>487398</v>
      </c>
      <c r="D19" s="456">
        <v>500000</v>
      </c>
      <c r="E19" s="314">
        <v>500000</v>
      </c>
    </row>
    <row r="20" spans="2:5" ht="15.75">
      <c r="B20" s="680" t="s">
        <v>955</v>
      </c>
      <c r="C20" s="456"/>
      <c r="D20" s="456"/>
      <c r="E20" s="314"/>
    </row>
    <row r="21" spans="2:5" ht="15.75">
      <c r="B21" s="680" t="s">
        <v>956</v>
      </c>
      <c r="C21" s="456"/>
      <c r="D21" s="456"/>
      <c r="E21" s="314"/>
    </row>
    <row r="22" spans="2:5" ht="15.75">
      <c r="B22" s="680" t="s">
        <v>957</v>
      </c>
      <c r="C22" s="456"/>
      <c r="D22" s="456"/>
      <c r="E22" s="314"/>
    </row>
    <row r="23" spans="2:5" ht="15.75">
      <c r="B23" s="681" t="s">
        <v>976</v>
      </c>
      <c r="C23" s="456">
        <v>301</v>
      </c>
      <c r="D23" s="456"/>
      <c r="E23" s="314"/>
    </row>
    <row r="24" spans="2:5" ht="15.75">
      <c r="B24" s="315" t="s">
        <v>910</v>
      </c>
      <c r="C24" s="456">
        <v>20333</v>
      </c>
      <c r="D24" s="456"/>
      <c r="E24" s="314"/>
    </row>
    <row r="25" spans="2:5" ht="15.75">
      <c r="B25" s="315"/>
      <c r="C25" s="456"/>
      <c r="D25" s="456"/>
      <c r="E25" s="314"/>
    </row>
    <row r="26" spans="2:5" ht="15.75">
      <c r="B26" s="315"/>
      <c r="C26" s="456"/>
      <c r="D26" s="456"/>
      <c r="E26" s="314"/>
    </row>
    <row r="27" spans="2:5" ht="15.75">
      <c r="B27" s="316" t="s">
        <v>170</v>
      </c>
      <c r="C27" s="456"/>
      <c r="D27" s="456"/>
      <c r="E27" s="314"/>
    </row>
    <row r="28" spans="2:5" ht="15.75">
      <c r="B28" s="317" t="s">
        <v>76</v>
      </c>
      <c r="C28" s="456">
        <f>8087+6143</f>
        <v>14230</v>
      </c>
      <c r="D28" s="456">
        <v>10000</v>
      </c>
      <c r="E28" s="314">
        <v>10000</v>
      </c>
    </row>
    <row r="29" spans="2:5" ht="15.75">
      <c r="B29" s="317" t="s">
        <v>682</v>
      </c>
      <c r="C29" s="457">
        <f>IF(C30*0.1&lt;C28,"Exceed 10% Rule","")</f>
      </c>
      <c r="D29" s="457">
        <f>IF(D30*0.1&lt;D28,"Exceed 10% Rule","")</f>
      </c>
      <c r="E29" s="351">
        <f>IF(E30*0.1+E59&lt;E28,"Exceed 10% Rule","")</f>
      </c>
    </row>
    <row r="30" spans="2:5" ht="15.75">
      <c r="B30" s="319" t="s">
        <v>171</v>
      </c>
      <c r="C30" s="458">
        <f>SUM(C8:C28)</f>
        <v>2572384</v>
      </c>
      <c r="D30" s="458">
        <f>SUM(D8:D28)</f>
        <v>2494588</v>
      </c>
      <c r="E30" s="358">
        <f>SUM(E9:E28)</f>
        <v>1370298</v>
      </c>
    </row>
    <row r="31" spans="2:5" ht="15.75">
      <c r="B31" s="319" t="s">
        <v>172</v>
      </c>
      <c r="C31" s="458">
        <f>C6+C30</f>
        <v>3471111</v>
      </c>
      <c r="D31" s="458">
        <f>D6+D30</f>
        <v>3407723</v>
      </c>
      <c r="E31" s="358">
        <f>E6+E30</f>
        <v>1867743</v>
      </c>
    </row>
    <row r="32" spans="2:5" ht="15.75">
      <c r="B32" s="311" t="s">
        <v>175</v>
      </c>
      <c r="C32" s="313"/>
      <c r="D32" s="313"/>
      <c r="E32" s="130"/>
    </row>
    <row r="33" spans="2:5" ht="15.75">
      <c r="B33" s="682" t="s">
        <v>959</v>
      </c>
      <c r="C33" s="456">
        <v>970176</v>
      </c>
      <c r="D33" s="456">
        <v>1088078</v>
      </c>
      <c r="E33" s="150">
        <v>1109839</v>
      </c>
    </row>
    <row r="34" spans="2:5" ht="15.75">
      <c r="B34" s="682" t="s">
        <v>960</v>
      </c>
      <c r="C34" s="456">
        <v>1001</v>
      </c>
      <c r="D34" s="456">
        <v>3000</v>
      </c>
      <c r="E34" s="150">
        <v>3000</v>
      </c>
    </row>
    <row r="35" spans="2:5" ht="15.75">
      <c r="B35" s="682" t="s">
        <v>961</v>
      </c>
      <c r="C35" s="456"/>
      <c r="D35" s="456"/>
      <c r="E35" s="150"/>
    </row>
    <row r="36" spans="2:5" ht="15.75">
      <c r="B36" s="682" t="s">
        <v>962</v>
      </c>
      <c r="C36" s="456"/>
      <c r="D36" s="456">
        <v>480000</v>
      </c>
      <c r="E36" s="150">
        <v>480000</v>
      </c>
    </row>
    <row r="37" spans="2:5" ht="15.75">
      <c r="B37" s="682" t="s">
        <v>963</v>
      </c>
      <c r="C37" s="456">
        <v>460155</v>
      </c>
      <c r="D37" s="456"/>
      <c r="E37" s="150"/>
    </row>
    <row r="38" spans="2:5" ht="15.75">
      <c r="B38" s="682" t="s">
        <v>964</v>
      </c>
      <c r="C38" s="456"/>
      <c r="D38" s="456"/>
      <c r="E38" s="150"/>
    </row>
    <row r="39" spans="2:5" ht="15.75">
      <c r="B39" s="682" t="s">
        <v>965</v>
      </c>
      <c r="C39" s="456"/>
      <c r="D39" s="456"/>
      <c r="E39" s="150"/>
    </row>
    <row r="40" spans="2:5" ht="15.75">
      <c r="B40" s="682" t="s">
        <v>966</v>
      </c>
      <c r="C40" s="456">
        <v>196864</v>
      </c>
      <c r="D40" s="456">
        <v>200000</v>
      </c>
      <c r="E40" s="150">
        <v>200000</v>
      </c>
    </row>
    <row r="41" spans="2:5" ht="15.75">
      <c r="B41" s="682" t="s">
        <v>967</v>
      </c>
      <c r="C41" s="456">
        <v>2942</v>
      </c>
      <c r="D41" s="456">
        <v>10000</v>
      </c>
      <c r="E41" s="116">
        <v>10000</v>
      </c>
    </row>
    <row r="42" spans="2:5" ht="15.75">
      <c r="B42" s="682" t="s">
        <v>968</v>
      </c>
      <c r="C42" s="456">
        <f>63723</f>
        <v>63723</v>
      </c>
      <c r="D42" s="456">
        <v>90000</v>
      </c>
      <c r="E42" s="116">
        <v>90000</v>
      </c>
    </row>
    <row r="43" spans="2:5" ht="15.75">
      <c r="B43" s="682" t="s">
        <v>969</v>
      </c>
      <c r="C43" s="456">
        <v>157286</v>
      </c>
      <c r="D43" s="456">
        <v>180000</v>
      </c>
      <c r="E43" s="116">
        <v>180000</v>
      </c>
    </row>
    <row r="44" spans="2:5" ht="15.75">
      <c r="B44" s="682" t="s">
        <v>970</v>
      </c>
      <c r="C44" s="456">
        <v>596116</v>
      </c>
      <c r="D44" s="456">
        <v>775000</v>
      </c>
      <c r="E44" s="116">
        <v>775000</v>
      </c>
    </row>
    <row r="45" spans="2:5" ht="15.75">
      <c r="B45" s="682" t="s">
        <v>971</v>
      </c>
      <c r="C45" s="456">
        <v>43922</v>
      </c>
      <c r="D45" s="456">
        <v>60000</v>
      </c>
      <c r="E45" s="116">
        <v>60000</v>
      </c>
    </row>
    <row r="46" spans="2:5" ht="15.75">
      <c r="B46" s="682" t="s">
        <v>972</v>
      </c>
      <c r="C46" s="456">
        <v>50751</v>
      </c>
      <c r="D46" s="456">
        <v>24200</v>
      </c>
      <c r="E46" s="150">
        <v>38100</v>
      </c>
    </row>
    <row r="47" spans="2:5" ht="15.75">
      <c r="B47" s="682" t="s">
        <v>973</v>
      </c>
      <c r="C47" s="456">
        <v>15040</v>
      </c>
      <c r="D47" s="456"/>
      <c r="E47" s="150"/>
    </row>
    <row r="48" spans="2:5" ht="15.75">
      <c r="B48" s="360"/>
      <c r="C48" s="456"/>
      <c r="D48" s="456"/>
      <c r="E48" s="150"/>
    </row>
    <row r="49" spans="2:5" ht="15.75">
      <c r="B49" s="317" t="s">
        <v>78</v>
      </c>
      <c r="C49" s="456"/>
      <c r="D49" s="456"/>
      <c r="E49" s="326">
        <f>Nhood!E8</f>
      </c>
    </row>
    <row r="50" spans="2:5" ht="15.75">
      <c r="B50" s="317" t="s">
        <v>76</v>
      </c>
      <c r="C50" s="456"/>
      <c r="D50" s="456"/>
      <c r="E50" s="314"/>
    </row>
    <row r="51" spans="2:10" ht="15.75">
      <c r="B51" s="317" t="s">
        <v>681</v>
      </c>
      <c r="C51" s="457">
        <f>IF(C52*0.1&lt;C50,"Exceed 10% Rule","")</f>
      </c>
      <c r="D51" s="457">
        <f>IF(D52*0.1&lt;D50,"Exceed 10% Rule","")</f>
      </c>
      <c r="E51" s="351">
        <f>IF(E52*0.1&lt;E50,"Exceed 10% Rule","")</f>
      </c>
      <c r="G51" s="776" t="str">
        <f>CONCATENATE("Projected Carryover Into ",E1+1,"")</f>
        <v>Projected Carryover Into 2013</v>
      </c>
      <c r="H51" s="777"/>
      <c r="I51" s="777"/>
      <c r="J51" s="778"/>
    </row>
    <row r="52" spans="2:10" ht="15.75">
      <c r="B52" s="319" t="s">
        <v>176</v>
      </c>
      <c r="C52" s="458">
        <f>SUM(C33:C50)</f>
        <v>2557976</v>
      </c>
      <c r="D52" s="458">
        <f>SUM(D33:D50)</f>
        <v>2910278</v>
      </c>
      <c r="E52" s="358">
        <f>SUM(E33:E50)</f>
        <v>2945939</v>
      </c>
      <c r="G52" s="545"/>
      <c r="H52" s="544"/>
      <c r="I52" s="544"/>
      <c r="J52" s="546"/>
    </row>
    <row r="53" spans="2:10" ht="15.75">
      <c r="B53" s="151" t="s">
        <v>282</v>
      </c>
      <c r="C53" s="461">
        <f>C31-C52</f>
        <v>913135</v>
      </c>
      <c r="D53" s="461">
        <f>D31-D52</f>
        <v>497445</v>
      </c>
      <c r="E53" s="230" t="s">
        <v>149</v>
      </c>
      <c r="G53" s="531">
        <f>D53</f>
        <v>497445</v>
      </c>
      <c r="H53" s="529" t="str">
        <f>CONCATENATE("",E1-1," Ending Cash Balance (est.)")</f>
        <v>2011 Ending Cash Balance (est.)</v>
      </c>
      <c r="I53" s="528"/>
      <c r="J53" s="546"/>
    </row>
    <row r="54" spans="2:10" ht="15.75">
      <c r="B54" s="295" t="str">
        <f>CONCATENATE("",E$1-2,"/",E$1-1," Budget Authority Amount:")</f>
        <v>2010/2011 Budget Authority Amount:</v>
      </c>
      <c r="C54" s="287">
        <f>inputOth!$B33</f>
        <v>3006078</v>
      </c>
      <c r="D54" s="287">
        <f>inputPrYr!D18</f>
        <v>2910278</v>
      </c>
      <c r="E54" s="230" t="s">
        <v>149</v>
      </c>
      <c r="F54" s="327"/>
      <c r="G54" s="531">
        <f>E28</f>
        <v>10000</v>
      </c>
      <c r="H54" s="527" t="str">
        <f>CONCATENATE("",E1," Non-AV Receipts (est.)")</f>
        <v>2012 Non-AV Receipts (est.)</v>
      </c>
      <c r="I54" s="528"/>
      <c r="J54" s="546"/>
    </row>
    <row r="55" spans="2:10" ht="15.75">
      <c r="B55" s="295"/>
      <c r="C55" s="772" t="s">
        <v>684</v>
      </c>
      <c r="D55" s="773"/>
      <c r="E55" s="116"/>
      <c r="F55" s="530">
        <f>IF(E52/0.95-E52&lt;E55,"Exceeds 5%","")</f>
      </c>
      <c r="G55" s="526">
        <f>E59</f>
        <v>1148278.74</v>
      </c>
      <c r="H55" s="527" t="str">
        <f>CONCATENATE("",E1," Ad Valorem Tax (est.)")</f>
        <v>2012 Ad Valorem Tax (est.)</v>
      </c>
      <c r="I55" s="528"/>
      <c r="J55" s="546"/>
    </row>
    <row r="56" spans="2:10" ht="15.75">
      <c r="B56" s="534" t="str">
        <f>CONCATENATE(C70,"     ",D70)</f>
        <v>     </v>
      </c>
      <c r="C56" s="774" t="s">
        <v>685</v>
      </c>
      <c r="D56" s="775"/>
      <c r="E56" s="273">
        <f>E52+E55</f>
        <v>2945939</v>
      </c>
      <c r="G56" s="531">
        <f>SUM(G53:G55)</f>
        <v>1655723.74</v>
      </c>
      <c r="H56" s="527" t="str">
        <f>CONCATENATE("Total ",E1," Resources Available")</f>
        <v>Total 2012 Resources Available</v>
      </c>
      <c r="I56" s="528"/>
      <c r="J56" s="546"/>
    </row>
    <row r="57" spans="2:10" ht="15.75">
      <c r="B57" s="534" t="str">
        <f>CONCATENATE(C71,"     ",D71)</f>
        <v>     </v>
      </c>
      <c r="C57" s="328"/>
      <c r="D57" s="249" t="s">
        <v>177</v>
      </c>
      <c r="E57" s="123">
        <f>IF(E56-E31&gt;0,E56-E31,0)</f>
        <v>1078196</v>
      </c>
      <c r="G57" s="525"/>
      <c r="H57" s="527"/>
      <c r="I57" s="527"/>
      <c r="J57" s="546"/>
    </row>
    <row r="58" spans="2:10" ht="15.75">
      <c r="B58" s="295"/>
      <c r="C58" s="532" t="s">
        <v>686</v>
      </c>
      <c r="D58" s="505">
        <f>inputOth!$E$24</f>
        <v>0.065</v>
      </c>
      <c r="E58" s="273">
        <f>IF(D58&gt;0,(E57*D58),0)</f>
        <v>70082.74</v>
      </c>
      <c r="G58" s="526">
        <f>C52*0.05+C52</f>
        <v>2685874.8</v>
      </c>
      <c r="H58" s="527" t="str">
        <f>CONCATENATE("Less ",E1-2," Expenditures + 5%")</f>
        <v>Less 2010 Expenditures + 5%</v>
      </c>
      <c r="I58" s="528"/>
      <c r="J58" s="546"/>
    </row>
    <row r="59" spans="2:10" ht="15.75">
      <c r="B59" s="90"/>
      <c r="C59" s="781" t="str">
        <f>CONCATENATE("Amount of  ",$E$1-1," Ad Valorem Tax")</f>
        <v>Amount of  2011 Ad Valorem Tax</v>
      </c>
      <c r="D59" s="782"/>
      <c r="E59" s="355">
        <f>E57+E58</f>
        <v>1148278.74</v>
      </c>
      <c r="G59" s="524">
        <f>G56-G58</f>
        <v>-1030151.0599999998</v>
      </c>
      <c r="H59" s="523" t="str">
        <f>CONCATENATE("Projected ",E1," Carryover (est.)")</f>
        <v>Projected 2012 Carryover (est.)</v>
      </c>
      <c r="I59" s="502"/>
      <c r="J59" s="501"/>
    </row>
    <row r="60" spans="2:5" ht="15.75">
      <c r="B60" s="90"/>
      <c r="C60" s="90"/>
      <c r="D60" s="90"/>
      <c r="E60" s="90"/>
    </row>
    <row r="61" spans="2:5" ht="15.75">
      <c r="B61" s="295" t="s">
        <v>190</v>
      </c>
      <c r="C61" s="356">
        <v>9</v>
      </c>
      <c r="D61" s="359"/>
      <c r="E61" s="359"/>
    </row>
    <row r="70" spans="3:4" ht="15.75" hidden="1">
      <c r="C70" s="77">
        <f>IF(C52&gt;C54,"See Tab A","")</f>
      </c>
      <c r="D70" s="77">
        <f>IF(D52&gt;D54,"See Tab C","")</f>
      </c>
    </row>
    <row r="71" spans="3:4" ht="15.75" hidden="1">
      <c r="C71" s="77">
        <f>IF(C53&lt;0,"See Tab B","")</f>
      </c>
      <c r="D71" s="77">
        <f>IF(D53&lt;0,"See Tab D","")</f>
      </c>
    </row>
  </sheetData>
  <sheetProtection sheet="1"/>
  <mergeCells count="4">
    <mergeCell ref="C55:D55"/>
    <mergeCell ref="C56:D56"/>
    <mergeCell ref="G51:J51"/>
    <mergeCell ref="C59:D59"/>
  </mergeCells>
  <conditionalFormatting sqref="E50">
    <cfRule type="cellIs" priority="2" dxfId="426" operator="greaterThan" stopIfTrue="1">
      <formula>$E$52*0.1</formula>
    </cfRule>
  </conditionalFormatting>
  <conditionalFormatting sqref="E55">
    <cfRule type="cellIs" priority="3" dxfId="426" operator="greaterThan" stopIfTrue="1">
      <formula>$E$52/0.95-$E$52</formula>
    </cfRule>
  </conditionalFormatting>
  <conditionalFormatting sqref="C28">
    <cfRule type="cellIs" priority="4" dxfId="2" operator="greaterThan" stopIfTrue="1">
      <formula>$C$30*0.1</formula>
    </cfRule>
  </conditionalFormatting>
  <conditionalFormatting sqref="D28">
    <cfRule type="cellIs" priority="5" dxfId="2" operator="greaterThan" stopIfTrue="1">
      <formula>$D$30*0.1</formula>
    </cfRule>
  </conditionalFormatting>
  <conditionalFormatting sqref="E28">
    <cfRule type="cellIs" priority="6" dxfId="426" operator="greaterThan" stopIfTrue="1">
      <formula>$E$30*0.1+E59</formula>
    </cfRule>
  </conditionalFormatting>
  <conditionalFormatting sqref="C50">
    <cfRule type="cellIs" priority="7" dxfId="2" operator="greaterThan" stopIfTrue="1">
      <formula>$C$52*0.1</formula>
    </cfRule>
  </conditionalFormatting>
  <conditionalFormatting sqref="D50">
    <cfRule type="cellIs" priority="8" dxfId="2" operator="greaterThan" stopIfTrue="1">
      <formula>$D$52*0.1</formula>
    </cfRule>
  </conditionalFormatting>
  <conditionalFormatting sqref="C52">
    <cfRule type="cellIs" priority="9" dxfId="2" operator="greaterThan" stopIfTrue="1">
      <formula>$C$54</formula>
    </cfRule>
  </conditionalFormatting>
  <conditionalFormatting sqref="C53">
    <cfRule type="cellIs" priority="10" dxfId="2" operator="lessThan" stopIfTrue="1">
      <formula>0</formula>
    </cfRule>
  </conditionalFormatting>
  <conditionalFormatting sqref="D52">
    <cfRule type="cellIs" priority="11" dxfId="2" operator="greaterThan" stopIfTrue="1">
      <formula>$D$54</formula>
    </cfRule>
  </conditionalFormatting>
  <conditionalFormatting sqref="D53">
    <cfRule type="cellIs" priority="1" dxfId="0" operator="lessThan" stopIfTrue="1">
      <formula>0</formula>
    </cfRule>
  </conditionalFormatting>
  <printOptions/>
  <pageMargins left="0.75" right="0.75" top="1" bottom="0.5" header="0.5" footer="0.5"/>
  <pageSetup blackAndWhite="1" fitToHeight="2" horizontalDpi="600" verticalDpi="600" orientation="portrait" scale="72" r:id="rId1"/>
  <headerFooter alignWithMargins="0">
    <oddHeader>&amp;RState of Kansas
County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0"/>
  <sheetViews>
    <sheetView zoomScale="85" zoomScaleNormal="85" zoomScalePageLayoutView="0" workbookViewId="0" topLeftCell="A1">
      <selection activeCell="H67" sqref="H67"/>
    </sheetView>
  </sheetViews>
  <sheetFormatPr defaultColWidth="8.796875" defaultRowHeight="15"/>
  <cols>
    <col min="1" max="1" width="2.3984375" style="77" customWidth="1"/>
    <col min="2" max="2" width="31.09765625" style="77" customWidth="1"/>
    <col min="3" max="4" width="15.796875" style="77" customWidth="1"/>
    <col min="5" max="5" width="16.09765625" style="77" customWidth="1"/>
    <col min="6" max="16384" width="8.8984375" style="77" customWidth="1"/>
  </cols>
  <sheetData>
    <row r="1" spans="2:5" ht="15.75">
      <c r="B1" s="237" t="str">
        <f>(inputPrYr!C2)</f>
        <v>Geary County</v>
      </c>
      <c r="C1" s="90"/>
      <c r="D1" s="90"/>
      <c r="E1" s="294">
        <f>inputPrYr!C4</f>
        <v>2012</v>
      </c>
    </row>
    <row r="2" spans="2:5" ht="15.75">
      <c r="B2" s="90"/>
      <c r="C2" s="90"/>
      <c r="D2" s="90"/>
      <c r="E2" s="249"/>
    </row>
    <row r="3" spans="2:5" ht="15.75">
      <c r="B3" s="155" t="s">
        <v>239</v>
      </c>
      <c r="C3" s="340"/>
      <c r="D3" s="340"/>
      <c r="E3" s="341"/>
    </row>
    <row r="4" spans="2:5" ht="15.75">
      <c r="B4" s="90"/>
      <c r="C4" s="334"/>
      <c r="D4" s="334"/>
      <c r="E4" s="334"/>
    </row>
    <row r="5" spans="2:5" ht="15.75">
      <c r="B5" s="89" t="s">
        <v>162</v>
      </c>
      <c r="C5" s="478" t="str">
        <f>general!C4</f>
        <v>Prior Year Actual</v>
      </c>
      <c r="D5" s="477" t="str">
        <f>general!D4</f>
        <v>Current Year Estimate</v>
      </c>
      <c r="E5" s="479" t="str">
        <f>general!E4</f>
        <v>Proposed Budget Year</v>
      </c>
    </row>
    <row r="6" spans="2:5" ht="15.75">
      <c r="B6" s="512" t="str">
        <f>inputPrYr!B19</f>
        <v>Noxious Weed (5)</v>
      </c>
      <c r="C6" s="459">
        <f>general!$C$5</f>
        <v>2010</v>
      </c>
      <c r="D6" s="459">
        <f>general!D5</f>
        <v>2011</v>
      </c>
      <c r="E6" s="310">
        <f>general!E5</f>
        <v>2012</v>
      </c>
    </row>
    <row r="7" spans="2:5" ht="15.75">
      <c r="B7" s="151" t="s">
        <v>281</v>
      </c>
      <c r="C7" s="456">
        <v>42676</v>
      </c>
      <c r="D7" s="460">
        <f>C36</f>
        <v>89920</v>
      </c>
      <c r="E7" s="273">
        <f>D36</f>
        <v>63229</v>
      </c>
    </row>
    <row r="8" spans="2:5" ht="15.75">
      <c r="B8" s="298" t="s">
        <v>283</v>
      </c>
      <c r="C8" s="313"/>
      <c r="D8" s="313"/>
      <c r="E8" s="130"/>
    </row>
    <row r="9" spans="2:5" ht="15.75">
      <c r="B9" s="151" t="s">
        <v>163</v>
      </c>
      <c r="C9" s="456">
        <v>147217</v>
      </c>
      <c r="D9" s="456">
        <v>100766</v>
      </c>
      <c r="E9" s="344" t="s">
        <v>149</v>
      </c>
    </row>
    <row r="10" spans="2:5" ht="15.75">
      <c r="B10" s="151" t="s">
        <v>164</v>
      </c>
      <c r="C10" s="456">
        <v>3197</v>
      </c>
      <c r="D10" s="456">
        <v>2000</v>
      </c>
      <c r="E10" s="116">
        <v>2000</v>
      </c>
    </row>
    <row r="11" spans="2:5" ht="15.75">
      <c r="B11" s="151" t="s">
        <v>165</v>
      </c>
      <c r="C11" s="456">
        <v>15314</v>
      </c>
      <c r="D11" s="456">
        <v>16911</v>
      </c>
      <c r="E11" s="273">
        <f>mvalloc!D11</f>
        <v>11289</v>
      </c>
    </row>
    <row r="12" spans="2:5" ht="15.75">
      <c r="B12" s="151" t="s">
        <v>166</v>
      </c>
      <c r="C12" s="456">
        <v>179</v>
      </c>
      <c r="D12" s="456">
        <v>190</v>
      </c>
      <c r="E12" s="273">
        <f>mvalloc!E11</f>
        <v>131</v>
      </c>
    </row>
    <row r="13" spans="2:5" ht="15.75">
      <c r="B13" s="313" t="s">
        <v>232</v>
      </c>
      <c r="C13" s="456">
        <v>201</v>
      </c>
      <c r="D13" s="456">
        <v>271</v>
      </c>
      <c r="E13" s="273">
        <f>mvalloc!F11</f>
        <v>185</v>
      </c>
    </row>
    <row r="14" spans="2:5" ht="15.75">
      <c r="B14" s="313" t="s">
        <v>333</v>
      </c>
      <c r="C14" s="456"/>
      <c r="D14" s="456"/>
      <c r="E14" s="273">
        <f>mvalloc!G11</f>
        <v>0</v>
      </c>
    </row>
    <row r="15" spans="2:5" ht="15.75">
      <c r="B15" s="678" t="s">
        <v>974</v>
      </c>
      <c r="C15" s="456"/>
      <c r="D15" s="456"/>
      <c r="E15" s="116"/>
    </row>
    <row r="16" spans="2:5" ht="15.75">
      <c r="B16" s="683" t="s">
        <v>975</v>
      </c>
      <c r="C16" s="456">
        <v>34833</v>
      </c>
      <c r="D16" s="456">
        <v>40000</v>
      </c>
      <c r="E16" s="116">
        <v>35000</v>
      </c>
    </row>
    <row r="17" spans="2:5" ht="15.75">
      <c r="B17" s="683" t="s">
        <v>976</v>
      </c>
      <c r="C17" s="456">
        <v>41</v>
      </c>
      <c r="D17" s="456"/>
      <c r="E17" s="116"/>
    </row>
    <row r="18" spans="2:5" ht="15.75">
      <c r="B18" s="683" t="s">
        <v>955</v>
      </c>
      <c r="C18" s="456"/>
      <c r="D18" s="456"/>
      <c r="E18" s="116"/>
    </row>
    <row r="19" spans="2:5" ht="15.75">
      <c r="B19" s="325"/>
      <c r="C19" s="456"/>
      <c r="D19" s="456"/>
      <c r="E19" s="116"/>
    </row>
    <row r="20" spans="2:5" ht="15.75">
      <c r="B20" s="316" t="s">
        <v>170</v>
      </c>
      <c r="C20" s="456"/>
      <c r="D20" s="456"/>
      <c r="E20" s="116"/>
    </row>
    <row r="21" spans="2:5" ht="15.75">
      <c r="B21" s="317" t="s">
        <v>76</v>
      </c>
      <c r="C21" s="456">
        <v>60</v>
      </c>
      <c r="D21" s="456"/>
      <c r="E21" s="116"/>
    </row>
    <row r="22" spans="2:5" ht="15.75">
      <c r="B22" s="317" t="s">
        <v>682</v>
      </c>
      <c r="C22" s="457">
        <f>IF(C23*0.1&lt;C21,"Exceed 10% Rule","")</f>
      </c>
      <c r="D22" s="457">
        <f>IF(D23*0.1&lt;D21,"Exceed 10% Rule","")</f>
      </c>
      <c r="E22" s="351">
        <f>IF(E23*0.1+E42&lt;E21,"Exceed 10% Rule","")</f>
      </c>
    </row>
    <row r="23" spans="2:5" ht="15.75">
      <c r="B23" s="319" t="s">
        <v>171</v>
      </c>
      <c r="C23" s="458">
        <f>SUM(C9:C21)</f>
        <v>201042</v>
      </c>
      <c r="D23" s="458">
        <f>SUM(D9:D21)</f>
        <v>160138</v>
      </c>
      <c r="E23" s="358">
        <f>SUM(E9:E21)</f>
        <v>48605</v>
      </c>
    </row>
    <row r="24" spans="2:5" ht="15.75">
      <c r="B24" s="319" t="s">
        <v>172</v>
      </c>
      <c r="C24" s="458">
        <f>C7+C23</f>
        <v>243718</v>
      </c>
      <c r="D24" s="458">
        <f>D7+D23</f>
        <v>250058</v>
      </c>
      <c r="E24" s="358">
        <f>E7+E23</f>
        <v>111834</v>
      </c>
    </row>
    <row r="25" spans="2:5" ht="15.75">
      <c r="B25" s="151" t="s">
        <v>175</v>
      </c>
      <c r="C25" s="317"/>
      <c r="D25" s="317"/>
      <c r="E25" s="112"/>
    </row>
    <row r="26" spans="2:5" ht="15.75">
      <c r="B26" s="683" t="s">
        <v>959</v>
      </c>
      <c r="C26" s="456">
        <v>126229</v>
      </c>
      <c r="D26" s="456">
        <v>120330</v>
      </c>
      <c r="E26" s="116">
        <v>122737</v>
      </c>
    </row>
    <row r="27" spans="2:5" ht="15.75">
      <c r="B27" s="683" t="s">
        <v>977</v>
      </c>
      <c r="C27" s="456">
        <v>4364</v>
      </c>
      <c r="D27" s="456">
        <v>6300</v>
      </c>
      <c r="E27" s="116">
        <v>6300</v>
      </c>
    </row>
    <row r="28" spans="2:5" ht="15.75">
      <c r="B28" s="683" t="s">
        <v>978</v>
      </c>
      <c r="C28" s="456">
        <v>8205</v>
      </c>
      <c r="D28" s="456">
        <v>60199</v>
      </c>
      <c r="E28" s="116">
        <v>61300</v>
      </c>
    </row>
    <row r="29" spans="2:5" ht="15.75">
      <c r="B29" s="683" t="s">
        <v>972</v>
      </c>
      <c r="C29" s="456"/>
      <c r="D29" s="456"/>
      <c r="E29" s="116"/>
    </row>
    <row r="30" spans="2:5" ht="15.75">
      <c r="B30" s="683" t="s">
        <v>979</v>
      </c>
      <c r="C30" s="456">
        <v>15000</v>
      </c>
      <c r="D30" s="456">
        <v>0</v>
      </c>
      <c r="E30" s="116">
        <v>0</v>
      </c>
    </row>
    <row r="31" spans="2:5" ht="15.75">
      <c r="B31" s="325"/>
      <c r="C31" s="456"/>
      <c r="D31" s="456"/>
      <c r="E31" s="116"/>
    </row>
    <row r="32" spans="2:5" ht="15.75">
      <c r="B32" s="317" t="s">
        <v>78</v>
      </c>
      <c r="C32" s="456"/>
      <c r="D32" s="456"/>
      <c r="E32" s="123">
        <f>Nhood!E9</f>
      </c>
    </row>
    <row r="33" spans="2:5" ht="15.75">
      <c r="B33" s="317" t="s">
        <v>76</v>
      </c>
      <c r="C33" s="456"/>
      <c r="D33" s="456"/>
      <c r="E33" s="116"/>
    </row>
    <row r="34" spans="2:5" ht="15.75">
      <c r="B34" s="317" t="s">
        <v>681</v>
      </c>
      <c r="C34" s="457">
        <f>IF(C35*0.1&lt;C33,"Exceed 10% Rule","")</f>
      </c>
      <c r="D34" s="457">
        <f>IF(D35*0.1&lt;D33,"Exceed 10% Rule","")</f>
      </c>
      <c r="E34" s="351">
        <f>IF(E35*0.1&lt;E33,"Exceed 10% Rule","")</f>
      </c>
    </row>
    <row r="35" spans="2:5" ht="15.75">
      <c r="B35" s="319" t="s">
        <v>176</v>
      </c>
      <c r="C35" s="458">
        <f>SUM(C26:C33)</f>
        <v>153798</v>
      </c>
      <c r="D35" s="458">
        <f>SUM(D26:D33)</f>
        <v>186829</v>
      </c>
      <c r="E35" s="358">
        <f>SUM(E26:E33)</f>
        <v>190337</v>
      </c>
    </row>
    <row r="36" spans="2:5" ht="15.75">
      <c r="B36" s="151" t="s">
        <v>282</v>
      </c>
      <c r="C36" s="461">
        <f>C24-C35</f>
        <v>89920</v>
      </c>
      <c r="D36" s="461">
        <f>D24-D35</f>
        <v>63229</v>
      </c>
      <c r="E36" s="344" t="s">
        <v>149</v>
      </c>
    </row>
    <row r="37" spans="2:6" ht="15.75">
      <c r="B37" s="295" t="str">
        <f>CONCATENATE("",E$1-2,"/",E$1-1," Budget Authority Amount:")</f>
        <v>2010/2011 Budget Authority Amount:</v>
      </c>
      <c r="C37" s="287">
        <f>inputOth!B34</f>
        <v>220885</v>
      </c>
      <c r="D37" s="287">
        <f>inputPrYr!D19</f>
        <v>201829</v>
      </c>
      <c r="E37" s="344" t="s">
        <v>149</v>
      </c>
      <c r="F37" s="327"/>
    </row>
    <row r="38" spans="2:6" ht="15.75">
      <c r="B38" s="295"/>
      <c r="C38" s="772" t="s">
        <v>684</v>
      </c>
      <c r="D38" s="773"/>
      <c r="E38" s="116"/>
      <c r="F38" s="327">
        <f>IF(E35/0.95-E35&lt;E38,"Exceeds 5%","")</f>
      </c>
    </row>
    <row r="39" spans="2:5" ht="15.75">
      <c r="B39" s="534" t="str">
        <f>CONCATENATE(C87,"     ",D87)</f>
        <v>     </v>
      </c>
      <c r="C39" s="774" t="s">
        <v>685</v>
      </c>
      <c r="D39" s="775"/>
      <c r="E39" s="273">
        <f>E35+E38</f>
        <v>190337</v>
      </c>
    </row>
    <row r="40" spans="2:5" ht="15.75">
      <c r="B40" s="534" t="str">
        <f>CONCATENATE(C88,"     ",D88)</f>
        <v>     </v>
      </c>
      <c r="C40" s="328"/>
      <c r="D40" s="249" t="s">
        <v>177</v>
      </c>
      <c r="E40" s="123">
        <f>IF(E39-E24&gt;0,E39-E24,0)</f>
        <v>78503</v>
      </c>
    </row>
    <row r="41" spans="2:5" ht="15.75">
      <c r="B41" s="249"/>
      <c r="C41" s="532" t="s">
        <v>686</v>
      </c>
      <c r="D41" s="505">
        <f>inputOth!$E$24</f>
        <v>0.065</v>
      </c>
      <c r="E41" s="273">
        <f>ROUND(IF(D41&gt;0,($E$40*D41),0),0)</f>
        <v>5103</v>
      </c>
    </row>
    <row r="42" spans="2:5" ht="15.75">
      <c r="B42" s="90"/>
      <c r="C42" s="781" t="str">
        <f>CONCATENATE("Amount of  ",$E$1-1," Ad Valorem Tax")</f>
        <v>Amount of  2011 Ad Valorem Tax</v>
      </c>
      <c r="D42" s="782"/>
      <c r="E42" s="355">
        <f>E40+E41</f>
        <v>83606</v>
      </c>
    </row>
    <row r="43" spans="2:5" ht="15.75">
      <c r="B43" s="90"/>
      <c r="C43" s="334"/>
      <c r="D43" s="334"/>
      <c r="E43" s="334"/>
    </row>
    <row r="44" spans="2:5" ht="15.75">
      <c r="B44" s="89" t="s">
        <v>162</v>
      </c>
      <c r="C44" s="478" t="str">
        <f aca="true" t="shared" si="0" ref="C44:E45">C5</f>
        <v>Prior Year Actual</v>
      </c>
      <c r="D44" s="477" t="str">
        <f t="shared" si="0"/>
        <v>Current Year Estimate</v>
      </c>
      <c r="E44" s="479" t="str">
        <f t="shared" si="0"/>
        <v>Proposed Budget Year</v>
      </c>
    </row>
    <row r="45" spans="2:5" ht="15.75">
      <c r="B45" s="511" t="str">
        <f>(inputPrYr!B20)</f>
        <v>Health Fund (6)</v>
      </c>
      <c r="C45" s="459">
        <f t="shared" si="0"/>
        <v>2010</v>
      </c>
      <c r="D45" s="459">
        <f t="shared" si="0"/>
        <v>2011</v>
      </c>
      <c r="E45" s="323">
        <f t="shared" si="0"/>
        <v>2012</v>
      </c>
    </row>
    <row r="46" spans="2:5" ht="15.75">
      <c r="B46" s="151" t="s">
        <v>281</v>
      </c>
      <c r="C46" s="456">
        <v>19005</v>
      </c>
      <c r="D46" s="460">
        <f>C70</f>
        <v>12152</v>
      </c>
      <c r="E46" s="273">
        <f>D70</f>
        <v>0</v>
      </c>
    </row>
    <row r="47" spans="2:5" ht="15.75">
      <c r="B47" s="311" t="s">
        <v>283</v>
      </c>
      <c r="C47" s="313"/>
      <c r="D47" s="313"/>
      <c r="E47" s="130"/>
    </row>
    <row r="48" spans="2:5" ht="15.75">
      <c r="B48" s="151" t="s">
        <v>163</v>
      </c>
      <c r="C48" s="456">
        <v>285273</v>
      </c>
      <c r="D48" s="456">
        <v>271560</v>
      </c>
      <c r="E48" s="344" t="s">
        <v>149</v>
      </c>
    </row>
    <row r="49" spans="2:5" ht="15.75">
      <c r="B49" s="151" t="s">
        <v>164</v>
      </c>
      <c r="C49" s="456">
        <v>7004</v>
      </c>
      <c r="D49" s="456">
        <v>5000</v>
      </c>
      <c r="E49" s="116">
        <v>5000</v>
      </c>
    </row>
    <row r="50" spans="2:5" ht="15.75">
      <c r="B50" s="151" t="s">
        <v>165</v>
      </c>
      <c r="C50" s="456">
        <v>29074</v>
      </c>
      <c r="D50" s="456">
        <v>32760</v>
      </c>
      <c r="E50" s="273">
        <f>mvalloc!D12</f>
        <v>30424</v>
      </c>
    </row>
    <row r="51" spans="2:5" ht="15.75">
      <c r="B51" s="151" t="s">
        <v>166</v>
      </c>
      <c r="C51" s="456">
        <v>340</v>
      </c>
      <c r="D51" s="456">
        <v>368</v>
      </c>
      <c r="E51" s="273">
        <f>mvalloc!E12</f>
        <v>353</v>
      </c>
    </row>
    <row r="52" spans="2:5" ht="15.75">
      <c r="B52" s="313" t="s">
        <v>232</v>
      </c>
      <c r="C52" s="456">
        <v>596</v>
      </c>
      <c r="D52" s="456">
        <v>525</v>
      </c>
      <c r="E52" s="273">
        <f>mvalloc!F12</f>
        <v>498</v>
      </c>
    </row>
    <row r="53" spans="2:5" ht="15.75">
      <c r="B53" s="313" t="s">
        <v>333</v>
      </c>
      <c r="C53" s="456"/>
      <c r="D53" s="456"/>
      <c r="E53" s="273">
        <f>mvalloc!G12</f>
        <v>0</v>
      </c>
    </row>
    <row r="54" spans="2:5" ht="15.75">
      <c r="B54" s="325" t="s">
        <v>976</v>
      </c>
      <c r="C54" s="456">
        <v>78</v>
      </c>
      <c r="D54" s="456"/>
      <c r="E54" s="116"/>
    </row>
    <row r="55" spans="2:5" ht="15.75">
      <c r="B55" s="325"/>
      <c r="C55" s="456"/>
      <c r="D55" s="456"/>
      <c r="E55" s="116"/>
    </row>
    <row r="56" spans="2:5" ht="15.75">
      <c r="B56" s="325"/>
      <c r="C56" s="456"/>
      <c r="D56" s="456"/>
      <c r="E56" s="116"/>
    </row>
    <row r="57" spans="2:5" ht="15.75">
      <c r="B57" s="316" t="s">
        <v>170</v>
      </c>
      <c r="C57" s="456"/>
      <c r="D57" s="456"/>
      <c r="E57" s="116"/>
    </row>
    <row r="58" spans="2:5" ht="15.75">
      <c r="B58" s="317" t="s">
        <v>76</v>
      </c>
      <c r="C58" s="456"/>
      <c r="D58" s="456"/>
      <c r="E58" s="116"/>
    </row>
    <row r="59" spans="2:5" ht="15.75">
      <c r="B59" s="317" t="s">
        <v>682</v>
      </c>
      <c r="C59" s="457">
        <f>IF(C60*0.1&lt;C58,"Exceed 10% Rule","")</f>
      </c>
      <c r="D59" s="457">
        <f>IF(D60*0.1&lt;D58,"Exceed 10% Rule","")</f>
      </c>
      <c r="E59" s="351">
        <f>IF(E60*0.1+E76&lt;E58,"Exceed 10% Rule","")</f>
      </c>
    </row>
    <row r="60" spans="2:5" ht="15.75">
      <c r="B60" s="319" t="s">
        <v>171</v>
      </c>
      <c r="C60" s="458">
        <f>SUM(C48:C58)</f>
        <v>322365</v>
      </c>
      <c r="D60" s="458">
        <f>SUM(D48:D58)</f>
        <v>310213</v>
      </c>
      <c r="E60" s="358">
        <f>SUM(E48:E58)</f>
        <v>36275</v>
      </c>
    </row>
    <row r="61" spans="2:5" ht="15.75">
      <c r="B61" s="319" t="s">
        <v>172</v>
      </c>
      <c r="C61" s="458">
        <f>C46+C60</f>
        <v>341370</v>
      </c>
      <c r="D61" s="458">
        <f>D46+D60</f>
        <v>322365</v>
      </c>
      <c r="E61" s="358">
        <f>E46+E60</f>
        <v>36275</v>
      </c>
    </row>
    <row r="62" spans="2:5" ht="15.75">
      <c r="B62" s="151" t="s">
        <v>175</v>
      </c>
      <c r="C62" s="317"/>
      <c r="D62" s="317"/>
      <c r="E62" s="112"/>
    </row>
    <row r="63" spans="2:5" ht="15.75">
      <c r="B63" s="325" t="s">
        <v>980</v>
      </c>
      <c r="C63" s="456">
        <v>329218</v>
      </c>
      <c r="D63" s="456">
        <v>322365</v>
      </c>
      <c r="E63" s="116">
        <v>329218</v>
      </c>
    </row>
    <row r="64" spans="2:5" ht="15.75">
      <c r="B64" s="325"/>
      <c r="C64" s="456"/>
      <c r="D64" s="456"/>
      <c r="E64" s="116"/>
    </row>
    <row r="65" spans="2:5" ht="15.75">
      <c r="B65" s="325"/>
      <c r="C65" s="456"/>
      <c r="D65" s="456"/>
      <c r="E65" s="116"/>
    </row>
    <row r="66" spans="2:5" ht="15.75">
      <c r="B66" s="317" t="s">
        <v>78</v>
      </c>
      <c r="C66" s="456"/>
      <c r="D66" s="456"/>
      <c r="E66" s="123">
        <f>Nhood!E10</f>
      </c>
    </row>
    <row r="67" spans="2:5" ht="15.75">
      <c r="B67" s="317" t="s">
        <v>76</v>
      </c>
      <c r="C67" s="456"/>
      <c r="D67" s="456"/>
      <c r="E67" s="116"/>
    </row>
    <row r="68" spans="2:5" ht="15.75">
      <c r="B68" s="317" t="s">
        <v>681</v>
      </c>
      <c r="C68" s="457">
        <f>IF(C69*0.1&lt;C67,"Exceed 10% Rule","")</f>
      </c>
      <c r="D68" s="457">
        <f>IF(D69*0.1&lt;D67,"Exceed 10% Rule","")</f>
      </c>
      <c r="E68" s="351">
        <f>IF(E69*0.1&lt;E67,"Exceed 10% Rule","")</f>
      </c>
    </row>
    <row r="69" spans="2:5" ht="15.75">
      <c r="B69" s="319" t="s">
        <v>176</v>
      </c>
      <c r="C69" s="458">
        <f>SUM(C63:C67)</f>
        <v>329218</v>
      </c>
      <c r="D69" s="458">
        <f>SUM(D63:D67)</f>
        <v>322365</v>
      </c>
      <c r="E69" s="358">
        <f>SUM(E63:E67)</f>
        <v>329218</v>
      </c>
    </row>
    <row r="70" spans="2:5" ht="15.75">
      <c r="B70" s="151" t="s">
        <v>282</v>
      </c>
      <c r="C70" s="461">
        <f>C61-C69</f>
        <v>12152</v>
      </c>
      <c r="D70" s="461">
        <f>D61-D69</f>
        <v>0</v>
      </c>
      <c r="E70" s="344" t="s">
        <v>149</v>
      </c>
    </row>
    <row r="71" spans="2:6" ht="15.75">
      <c r="B71" s="295" t="str">
        <f>CONCATENATE("",E$1-2,"/",E$1-1," Budget Authority Amount:")</f>
        <v>2010/2011 Budget Authority Amount:</v>
      </c>
      <c r="C71" s="287">
        <f>inputOth!B35</f>
        <v>329218</v>
      </c>
      <c r="D71" s="287">
        <f>inputPrYr!D20</f>
        <v>329218</v>
      </c>
      <c r="E71" s="344" t="s">
        <v>149</v>
      </c>
      <c r="F71" s="327"/>
    </row>
    <row r="72" spans="2:6" ht="15.75">
      <c r="B72" s="295"/>
      <c r="C72" s="772" t="s">
        <v>684</v>
      </c>
      <c r="D72" s="773"/>
      <c r="E72" s="116"/>
      <c r="F72" s="327">
        <f>IF(E69/0.95-E69&lt;E72,"Exceeds 5%","")</f>
      </c>
    </row>
    <row r="73" spans="2:5" ht="15.75">
      <c r="B73" s="533" t="str">
        <f>CONCATENATE(C89,"     ",D89)</f>
        <v>     </v>
      </c>
      <c r="C73" s="774" t="s">
        <v>685</v>
      </c>
      <c r="D73" s="775"/>
      <c r="E73" s="273">
        <f>E69+E72</f>
        <v>329218</v>
      </c>
    </row>
    <row r="74" spans="2:5" ht="15.75">
      <c r="B74" s="533" t="str">
        <f>CONCATENATE(C90,"     ",D90)</f>
        <v>     </v>
      </c>
      <c r="C74" s="328"/>
      <c r="D74" s="249" t="s">
        <v>177</v>
      </c>
      <c r="E74" s="123">
        <f>IF(E73-E61&gt;0,E73-E61,0)</f>
        <v>292943</v>
      </c>
    </row>
    <row r="75" spans="2:5" ht="15.75">
      <c r="B75" s="249"/>
      <c r="C75" s="532" t="s">
        <v>686</v>
      </c>
      <c r="D75" s="505">
        <f>inputOth!$E$24</f>
        <v>0.065</v>
      </c>
      <c r="E75" s="273">
        <f>ROUND(IF(D75&gt;0,($E$74*D75),0),0)</f>
        <v>19041</v>
      </c>
    </row>
    <row r="76" spans="2:5" ht="15.75">
      <c r="B76" s="90"/>
      <c r="C76" s="781" t="str">
        <f>CONCATENATE("Amount of  ",$E$1-1," Ad Valorem Tax")</f>
        <v>Amount of  2011 Ad Valorem Tax</v>
      </c>
      <c r="D76" s="782"/>
      <c r="E76" s="355">
        <f>E74+E75</f>
        <v>311984</v>
      </c>
    </row>
    <row r="77" spans="2:5" ht="15.75">
      <c r="B77" s="295" t="s">
        <v>190</v>
      </c>
      <c r="C77" s="356">
        <v>10</v>
      </c>
      <c r="D77" s="90"/>
      <c r="E77" s="90"/>
    </row>
    <row r="87" spans="3:4" ht="15.75" hidden="1">
      <c r="C87" s="77">
        <f>IF(C35&gt;C37,"See Tab A","")</f>
      </c>
      <c r="D87" s="77">
        <f>IF(D35&gt;D37,"See Tab C","")</f>
      </c>
    </row>
    <row r="88" spans="3:4" ht="15.75" hidden="1">
      <c r="C88" s="77">
        <f>IF(C36&lt;0,"See Tab B","")</f>
      </c>
      <c r="D88" s="77">
        <f>IF(D36&lt;0,"See Tab D","")</f>
      </c>
    </row>
    <row r="89" spans="3:4" ht="15.75" hidden="1">
      <c r="C89" s="77">
        <f>IF(C69&gt;C71,"See Tab A","")</f>
      </c>
      <c r="D89" s="77">
        <f>IF(D69&gt;D71,"See Tab C","")</f>
      </c>
    </row>
    <row r="90" spans="3:4" ht="15.75" hidden="1">
      <c r="C90" s="77">
        <f>IF(C70&lt;0,"See Tab B","")</f>
      </c>
      <c r="D90" s="77">
        <f>IF(D70&lt;0,"See Tab D","")</f>
      </c>
    </row>
  </sheetData>
  <sheetProtection sheet="1"/>
  <mergeCells count="6">
    <mergeCell ref="C38:D38"/>
    <mergeCell ref="C39:D39"/>
    <mergeCell ref="C72:D72"/>
    <mergeCell ref="C73:D73"/>
    <mergeCell ref="C76:D76"/>
    <mergeCell ref="C42:D42"/>
  </mergeCells>
  <conditionalFormatting sqref="E67">
    <cfRule type="cellIs" priority="4" dxfId="426" operator="greaterThan" stopIfTrue="1">
      <formula>$E$69*0.1</formula>
    </cfRule>
  </conditionalFormatting>
  <conditionalFormatting sqref="E72">
    <cfRule type="cellIs" priority="5" dxfId="426" operator="greaterThan" stopIfTrue="1">
      <formula>$E$69/0.95-$E$69</formula>
    </cfRule>
  </conditionalFormatting>
  <conditionalFormatting sqref="E38">
    <cfRule type="cellIs" priority="6" dxfId="426" operator="greaterThan" stopIfTrue="1">
      <formula>$E$35/0.95-$E$35</formula>
    </cfRule>
  </conditionalFormatting>
  <conditionalFormatting sqref="E33">
    <cfRule type="cellIs" priority="7" dxfId="426" operator="greaterThan" stopIfTrue="1">
      <formula>$E$35*0.1</formula>
    </cfRule>
  </conditionalFormatting>
  <conditionalFormatting sqref="C35">
    <cfRule type="cellIs" priority="8" dxfId="2" operator="greaterThan" stopIfTrue="1">
      <formula>$C$37</formula>
    </cfRule>
  </conditionalFormatting>
  <conditionalFormatting sqref="C70 C36">
    <cfRule type="cellIs" priority="9" dxfId="2" operator="lessThan" stopIfTrue="1">
      <formula>0</formula>
    </cfRule>
  </conditionalFormatting>
  <conditionalFormatting sqref="D35">
    <cfRule type="cellIs" priority="10" dxfId="2" operator="greaterThan" stopIfTrue="1">
      <formula>$D$37</formula>
    </cfRule>
  </conditionalFormatting>
  <conditionalFormatting sqref="C69">
    <cfRule type="cellIs" priority="11" dxfId="2" operator="greaterThan" stopIfTrue="1">
      <formula>$C$71</formula>
    </cfRule>
  </conditionalFormatting>
  <conditionalFormatting sqref="D69">
    <cfRule type="cellIs" priority="12" dxfId="2" operator="greaterThan" stopIfTrue="1">
      <formula>$D$71</formula>
    </cfRule>
  </conditionalFormatting>
  <conditionalFormatting sqref="C67">
    <cfRule type="cellIs" priority="13" dxfId="2" operator="greaterThan" stopIfTrue="1">
      <formula>$C$69*0.1</formula>
    </cfRule>
  </conditionalFormatting>
  <conditionalFormatting sqref="D67">
    <cfRule type="cellIs" priority="14" dxfId="2" operator="greaterThan" stopIfTrue="1">
      <formula>$D$69*0.1</formula>
    </cfRule>
  </conditionalFormatting>
  <conditionalFormatting sqref="E58">
    <cfRule type="cellIs" priority="15" dxfId="426" operator="greaterThan" stopIfTrue="1">
      <formula>$E$60*0.1+E76</formula>
    </cfRule>
  </conditionalFormatting>
  <conditionalFormatting sqref="C58">
    <cfRule type="cellIs" priority="16" dxfId="2" operator="greaterThan" stopIfTrue="1">
      <formula>$C$60*0.1</formula>
    </cfRule>
  </conditionalFormatting>
  <conditionalFormatting sqref="D58">
    <cfRule type="cellIs" priority="17" dxfId="2" operator="greaterThan" stopIfTrue="1">
      <formula>$D$60*0.1</formula>
    </cfRule>
  </conditionalFormatting>
  <conditionalFormatting sqref="C33">
    <cfRule type="cellIs" priority="18" dxfId="2" operator="greaterThan" stopIfTrue="1">
      <formula>$C$35*0.1</formula>
    </cfRule>
  </conditionalFormatting>
  <conditionalFormatting sqref="D33">
    <cfRule type="cellIs" priority="19" dxfId="2" operator="greaterThan" stopIfTrue="1">
      <formula>$D$35*0.1</formula>
    </cfRule>
  </conditionalFormatting>
  <conditionalFormatting sqref="E21">
    <cfRule type="cellIs" priority="20" dxfId="426" operator="greaterThan" stopIfTrue="1">
      <formula>$E$23*0.1+E42</formula>
    </cfRule>
  </conditionalFormatting>
  <conditionalFormatting sqref="C21">
    <cfRule type="cellIs" priority="21" dxfId="2" operator="greaterThan" stopIfTrue="1">
      <formula>$C$23*0.1</formula>
    </cfRule>
  </conditionalFormatting>
  <conditionalFormatting sqref="D21">
    <cfRule type="cellIs" priority="22" dxfId="2" operator="greaterThan" stopIfTrue="1">
      <formula>$D$23*0.1</formula>
    </cfRule>
  </conditionalFormatting>
  <conditionalFormatting sqref="D36">
    <cfRule type="cellIs" priority="2" dxfId="0" operator="lessThan" stopIfTrue="1">
      <formula>0</formula>
    </cfRule>
    <cfRule type="cellIs" priority="3" dxfId="0" operator="lessThan" stopIfTrue="1">
      <formula>0</formula>
    </cfRule>
  </conditionalFormatting>
  <conditionalFormatting sqref="D70">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60" r:id="rId1"/>
  <headerFooter alignWithMargins="0">
    <oddHeader>&amp;RState of Kansas
County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6"/>
  <sheetViews>
    <sheetView zoomScale="85" zoomScaleNormal="85" zoomScalePageLayoutView="0" workbookViewId="0" topLeftCell="A1">
      <selection activeCell="H67" sqref="H67"/>
    </sheetView>
  </sheetViews>
  <sheetFormatPr defaultColWidth="8.796875" defaultRowHeight="15"/>
  <cols>
    <col min="1" max="1" width="2.3984375" style="77" customWidth="1"/>
    <col min="2" max="2" width="31.09765625" style="77" customWidth="1"/>
    <col min="3" max="4" width="15.796875" style="77" customWidth="1"/>
    <col min="5" max="5" width="16.09765625" style="77" customWidth="1"/>
    <col min="6" max="16384" width="8.8984375" style="77" customWidth="1"/>
  </cols>
  <sheetData>
    <row r="1" spans="2:5" ht="15.75">
      <c r="B1" s="237" t="str">
        <f>(inputPrYr!C2)</f>
        <v>Geary County</v>
      </c>
      <c r="C1" s="90"/>
      <c r="D1" s="90"/>
      <c r="E1" s="294">
        <f>inputPrYr!C4</f>
        <v>2012</v>
      </c>
    </row>
    <row r="2" spans="2:5" ht="15.75">
      <c r="B2" s="90"/>
      <c r="C2" s="90"/>
      <c r="D2" s="90"/>
      <c r="E2" s="249"/>
    </row>
    <row r="3" spans="2:5" ht="15.75">
      <c r="B3" s="155" t="s">
        <v>239</v>
      </c>
      <c r="C3" s="340"/>
      <c r="D3" s="340"/>
      <c r="E3" s="341"/>
    </row>
    <row r="4" spans="2:5" ht="15.75">
      <c r="B4" s="90"/>
      <c r="C4" s="334"/>
      <c r="D4" s="334"/>
      <c r="E4" s="334"/>
    </row>
    <row r="5" spans="2:5" ht="15.75">
      <c r="B5" s="89" t="s">
        <v>162</v>
      </c>
      <c r="C5" s="478" t="str">
        <f>general!C4</f>
        <v>Prior Year Actual</v>
      </c>
      <c r="D5" s="477" t="str">
        <f>general!D4</f>
        <v>Current Year Estimate</v>
      </c>
      <c r="E5" s="479" t="str">
        <f>general!E4</f>
        <v>Proposed Budget Year</v>
      </c>
    </row>
    <row r="6" spans="2:5" ht="15.75">
      <c r="B6" s="512" t="str">
        <f>inputPrYr!B21</f>
        <v>Special Bridge (4)</v>
      </c>
      <c r="C6" s="459">
        <f>general!$C$5</f>
        <v>2010</v>
      </c>
      <c r="D6" s="459">
        <f>general!D5</f>
        <v>2011</v>
      </c>
      <c r="E6" s="310">
        <f>general!E5</f>
        <v>2012</v>
      </c>
    </row>
    <row r="7" spans="2:5" ht="15.75">
      <c r="B7" s="151" t="s">
        <v>281</v>
      </c>
      <c r="C7" s="456">
        <v>319199</v>
      </c>
      <c r="D7" s="460">
        <f>C32</f>
        <v>431614</v>
      </c>
      <c r="E7" s="273">
        <f>D32</f>
        <v>381325</v>
      </c>
    </row>
    <row r="8" spans="2:5" ht="15.75">
      <c r="B8" s="298" t="s">
        <v>283</v>
      </c>
      <c r="C8" s="313"/>
      <c r="D8" s="313"/>
      <c r="E8" s="130"/>
    </row>
    <row r="9" spans="2:5" ht="15.75">
      <c r="B9" s="151" t="s">
        <v>163</v>
      </c>
      <c r="C9" s="456">
        <v>99249</v>
      </c>
      <c r="D9" s="456"/>
      <c r="E9" s="344" t="s">
        <v>149</v>
      </c>
    </row>
    <row r="10" spans="2:5" ht="15.75">
      <c r="B10" s="151" t="s">
        <v>164</v>
      </c>
      <c r="C10" s="456">
        <v>3299</v>
      </c>
      <c r="D10" s="456">
        <v>2000</v>
      </c>
      <c r="E10" s="116">
        <v>2000</v>
      </c>
    </row>
    <row r="11" spans="2:5" ht="15.75">
      <c r="B11" s="151" t="s">
        <v>165</v>
      </c>
      <c r="C11" s="456">
        <v>11752</v>
      </c>
      <c r="D11" s="456">
        <v>11400</v>
      </c>
      <c r="E11" s="273" t="str">
        <f>mvalloc!D13</f>
        <v>  </v>
      </c>
    </row>
    <row r="12" spans="2:5" ht="15.75">
      <c r="B12" s="151" t="s">
        <v>166</v>
      </c>
      <c r="C12" s="456">
        <v>138</v>
      </c>
      <c r="D12" s="456">
        <v>128</v>
      </c>
      <c r="E12" s="273" t="str">
        <f>mvalloc!E13</f>
        <v>  </v>
      </c>
    </row>
    <row r="13" spans="2:5" ht="15.75">
      <c r="B13" s="313" t="s">
        <v>232</v>
      </c>
      <c r="C13" s="456">
        <v>384</v>
      </c>
      <c r="D13" s="456">
        <v>183</v>
      </c>
      <c r="E13" s="273" t="str">
        <f>mvalloc!F13</f>
        <v>  </v>
      </c>
    </row>
    <row r="14" spans="2:5" ht="15.75">
      <c r="B14" s="313" t="s">
        <v>333</v>
      </c>
      <c r="C14" s="456"/>
      <c r="D14" s="456"/>
      <c r="E14" s="273" t="str">
        <f>mvalloc!G13</f>
        <v> </v>
      </c>
    </row>
    <row r="15" spans="2:5" ht="15.75">
      <c r="B15" s="325" t="s">
        <v>976</v>
      </c>
      <c r="C15" s="456">
        <v>28</v>
      </c>
      <c r="D15" s="456"/>
      <c r="E15" s="116"/>
    </row>
    <row r="16" spans="2:5" ht="15.75">
      <c r="B16" s="325"/>
      <c r="C16" s="456"/>
      <c r="D16" s="456"/>
      <c r="E16" s="116"/>
    </row>
    <row r="17" spans="2:5" ht="15.75">
      <c r="B17" s="325"/>
      <c r="C17" s="456"/>
      <c r="D17" s="456"/>
      <c r="E17" s="116"/>
    </row>
    <row r="18" spans="2:5" ht="15.75">
      <c r="B18" s="316" t="s">
        <v>170</v>
      </c>
      <c r="C18" s="456"/>
      <c r="D18" s="456"/>
      <c r="E18" s="116"/>
    </row>
    <row r="19" spans="2:5" ht="15.75">
      <c r="B19" s="317" t="s">
        <v>76</v>
      </c>
      <c r="C19" s="456"/>
      <c r="D19" s="456"/>
      <c r="E19" s="116"/>
    </row>
    <row r="20" spans="2:5" ht="15.75">
      <c r="B20" s="317" t="s">
        <v>682</v>
      </c>
      <c r="C20" s="457">
        <f>IF(C21*0.1&lt;C19,"Exceed 10% Rule","")</f>
      </c>
      <c r="D20" s="457">
        <f>IF(D21*0.1&lt;D19,"Exceed 10% Rule","")</f>
      </c>
      <c r="E20" s="351">
        <f>IF(E21*0.1+E38&lt;E19,"Exceed 10% Rule","")</f>
      </c>
    </row>
    <row r="21" spans="2:5" ht="15.75">
      <c r="B21" s="319" t="s">
        <v>171</v>
      </c>
      <c r="C21" s="458">
        <f>SUM(C9:C19)</f>
        <v>114850</v>
      </c>
      <c r="D21" s="458">
        <f>SUM(D9:D19)</f>
        <v>13711</v>
      </c>
      <c r="E21" s="358">
        <f>SUM(E9:E19)</f>
        <v>2000</v>
      </c>
    </row>
    <row r="22" spans="2:5" ht="15.75">
      <c r="B22" s="319" t="s">
        <v>172</v>
      </c>
      <c r="C22" s="458">
        <f>C7+C21</f>
        <v>434049</v>
      </c>
      <c r="D22" s="458">
        <f>D7+D21</f>
        <v>445325</v>
      </c>
      <c r="E22" s="358">
        <f>E7+E21</f>
        <v>383325</v>
      </c>
    </row>
    <row r="23" spans="2:5" ht="15.75">
      <c r="B23" s="151" t="s">
        <v>175</v>
      </c>
      <c r="C23" s="317"/>
      <c r="D23" s="317"/>
      <c r="E23" s="112"/>
    </row>
    <row r="24" spans="2:5" ht="15.75">
      <c r="B24" s="684" t="s">
        <v>981</v>
      </c>
      <c r="C24" s="456">
        <f>924+1511</f>
        <v>2435</v>
      </c>
      <c r="D24" s="456">
        <v>64000</v>
      </c>
      <c r="E24" s="116">
        <v>383325</v>
      </c>
    </row>
    <row r="25" spans="2:5" ht="15.75">
      <c r="B25" s="325"/>
      <c r="C25" s="456"/>
      <c r="D25" s="456"/>
      <c r="E25" s="116"/>
    </row>
    <row r="26" spans="2:5" ht="15.75">
      <c r="B26" s="325"/>
      <c r="C26" s="456"/>
      <c r="D26" s="456"/>
      <c r="E26" s="116"/>
    </row>
    <row r="27" spans="2:5" ht="15.75">
      <c r="B27" s="325"/>
      <c r="C27" s="456"/>
      <c r="D27" s="456"/>
      <c r="E27" s="116"/>
    </row>
    <row r="28" spans="2:5" ht="15.75">
      <c r="B28" s="317" t="s">
        <v>78</v>
      </c>
      <c r="C28" s="456"/>
      <c r="D28" s="456"/>
      <c r="E28" s="123">
        <f>Nhood!E11</f>
      </c>
    </row>
    <row r="29" spans="2:5" ht="15.75">
      <c r="B29" s="317" t="s">
        <v>76</v>
      </c>
      <c r="C29" s="456"/>
      <c r="D29" s="456"/>
      <c r="E29" s="116"/>
    </row>
    <row r="30" spans="2:5" ht="15.75">
      <c r="B30" s="317" t="s">
        <v>681</v>
      </c>
      <c r="C30" s="457">
        <f>IF(C31*0.1&lt;C29,"Exceed 10% Rule","")</f>
      </c>
      <c r="D30" s="457">
        <f>IF(D31*0.1&lt;D29,"Exceed 10% Rule","")</f>
      </c>
      <c r="E30" s="351">
        <f>IF(E31*0.1&lt;E29,"Exceed 10% Rule","")</f>
      </c>
    </row>
    <row r="31" spans="2:5" ht="15.75">
      <c r="B31" s="319" t="s">
        <v>176</v>
      </c>
      <c r="C31" s="458">
        <f>SUM(C24:C29)</f>
        <v>2435</v>
      </c>
      <c r="D31" s="458">
        <f>SUM(D24:D29)</f>
        <v>64000</v>
      </c>
      <c r="E31" s="358">
        <f>SUM(E24:E29)</f>
        <v>383325</v>
      </c>
    </row>
    <row r="32" spans="2:5" ht="15.75">
      <c r="B32" s="151" t="s">
        <v>282</v>
      </c>
      <c r="C32" s="461">
        <f>C22-C31</f>
        <v>431614</v>
      </c>
      <c r="D32" s="461">
        <f>D22-D31</f>
        <v>381325</v>
      </c>
      <c r="E32" s="344" t="s">
        <v>149</v>
      </c>
    </row>
    <row r="33" spans="2:6" ht="15.75">
      <c r="B33" s="295" t="str">
        <f>CONCATENATE("",E$1-2,"/",E$1-1," Budget Authority Amount:")</f>
        <v>2010/2011 Budget Authority Amount:</v>
      </c>
      <c r="C33" s="287">
        <f>inputOth!B36</f>
        <v>398821</v>
      </c>
      <c r="D33" s="287">
        <f>inputPrYr!D21</f>
        <v>384750</v>
      </c>
      <c r="E33" s="344" t="s">
        <v>149</v>
      </c>
      <c r="F33" s="327"/>
    </row>
    <row r="34" spans="2:6" ht="15.75">
      <c r="B34" s="295"/>
      <c r="C34" s="772" t="s">
        <v>684</v>
      </c>
      <c r="D34" s="773"/>
      <c r="E34" s="301"/>
      <c r="F34" s="327">
        <f>IF(E31/0.95-E31&lt;E34,"Exceeds 5%","")</f>
      </c>
    </row>
    <row r="35" spans="2:5" ht="15.75">
      <c r="B35" s="534" t="str">
        <f>CONCATENATE(C83,"     ",D83)</f>
        <v>     </v>
      </c>
      <c r="C35" s="774" t="s">
        <v>685</v>
      </c>
      <c r="D35" s="775"/>
      <c r="E35" s="273">
        <f>E31+E34</f>
        <v>383325</v>
      </c>
    </row>
    <row r="36" spans="2:5" ht="15.75">
      <c r="B36" s="534" t="str">
        <f>CONCATENATE(C84,"     ",D84)</f>
        <v>     </v>
      </c>
      <c r="C36" s="328"/>
      <c r="D36" s="249" t="s">
        <v>177</v>
      </c>
      <c r="E36" s="123">
        <f>IF(E35-E22&gt;0,E35-E22,0)</f>
        <v>0</v>
      </c>
    </row>
    <row r="37" spans="2:5" ht="15.75">
      <c r="B37" s="249"/>
      <c r="C37" s="532" t="s">
        <v>686</v>
      </c>
      <c r="D37" s="505">
        <f>inputOth!$E$24</f>
        <v>0.065</v>
      </c>
      <c r="E37" s="273">
        <f>ROUND(IF(D37&gt;0,($E$36*D37),0),0)</f>
        <v>0</v>
      </c>
    </row>
    <row r="38" spans="2:5" ht="15.75">
      <c r="B38" s="90"/>
      <c r="C38" s="781" t="str">
        <f>CONCATENATE("Amount of  ",$E$1-1," Ad Valorem Tax")</f>
        <v>Amount of  2011 Ad Valorem Tax</v>
      </c>
      <c r="D38" s="782"/>
      <c r="E38" s="355">
        <f>E36+E37</f>
        <v>0</v>
      </c>
    </row>
    <row r="39" spans="2:5" ht="15.75">
      <c r="B39" s="89" t="s">
        <v>162</v>
      </c>
      <c r="C39" s="334"/>
      <c r="D39" s="334"/>
      <c r="E39" s="334"/>
    </row>
    <row r="40" spans="2:5" ht="15.75">
      <c r="B40" s="90"/>
      <c r="C40" s="478" t="str">
        <f aca="true" t="shared" si="0" ref="C40:E41">C5</f>
        <v>Prior Year Actual</v>
      </c>
      <c r="D40" s="477" t="str">
        <f t="shared" si="0"/>
        <v>Current Year Estimate</v>
      </c>
      <c r="E40" s="479" t="str">
        <f t="shared" si="0"/>
        <v>Proposed Budget Year</v>
      </c>
    </row>
    <row r="41" spans="2:5" ht="15.75">
      <c r="B41" s="511" t="str">
        <f>inputPrYr!B22</f>
        <v>Extension Council (7)</v>
      </c>
      <c r="C41" s="459">
        <f t="shared" si="0"/>
        <v>2010</v>
      </c>
      <c r="D41" s="459">
        <f t="shared" si="0"/>
        <v>2011</v>
      </c>
      <c r="E41" s="310">
        <f t="shared" si="0"/>
        <v>2012</v>
      </c>
    </row>
    <row r="42" spans="2:5" ht="15.75">
      <c r="B42" s="151" t="s">
        <v>281</v>
      </c>
      <c r="C42" s="456">
        <v>10103</v>
      </c>
      <c r="D42" s="460">
        <f>C66</f>
        <v>17256</v>
      </c>
      <c r="E42" s="273">
        <f>D66</f>
        <v>7153</v>
      </c>
    </row>
    <row r="43" spans="2:5" ht="15.75">
      <c r="B43" s="311" t="s">
        <v>283</v>
      </c>
      <c r="C43" s="313"/>
      <c r="D43" s="313"/>
      <c r="E43" s="130"/>
    </row>
    <row r="44" spans="2:5" ht="15.75">
      <c r="B44" s="151" t="s">
        <v>163</v>
      </c>
      <c r="C44" s="456">
        <v>245690</v>
      </c>
      <c r="D44" s="456">
        <v>230084</v>
      </c>
      <c r="E44" s="344" t="s">
        <v>149</v>
      </c>
    </row>
    <row r="45" spans="2:5" ht="15.75">
      <c r="B45" s="151" t="s">
        <v>164</v>
      </c>
      <c r="C45" s="456">
        <v>5962</v>
      </c>
      <c r="D45" s="456">
        <v>4500</v>
      </c>
      <c r="E45" s="116">
        <v>4500</v>
      </c>
    </row>
    <row r="46" spans="2:5" ht="15.75">
      <c r="B46" s="151" t="s">
        <v>165</v>
      </c>
      <c r="C46" s="456">
        <v>24646</v>
      </c>
      <c r="D46" s="456">
        <v>28226</v>
      </c>
      <c r="E46" s="273">
        <f>mvalloc!D14</f>
        <v>25778</v>
      </c>
    </row>
    <row r="47" spans="2:5" ht="15.75">
      <c r="B47" s="151" t="s">
        <v>166</v>
      </c>
      <c r="C47" s="456">
        <v>289</v>
      </c>
      <c r="D47" s="456">
        <v>317</v>
      </c>
      <c r="E47" s="273">
        <f>mvalloc!E14</f>
        <v>299</v>
      </c>
    </row>
    <row r="48" spans="2:5" ht="15.75">
      <c r="B48" s="313" t="s">
        <v>232</v>
      </c>
      <c r="C48" s="456">
        <v>498</v>
      </c>
      <c r="D48" s="456">
        <v>452</v>
      </c>
      <c r="E48" s="273">
        <f>mvalloc!F14</f>
        <v>422</v>
      </c>
    </row>
    <row r="49" spans="2:5" ht="15.75">
      <c r="B49" s="313" t="s">
        <v>333</v>
      </c>
      <c r="C49" s="456"/>
      <c r="D49" s="456"/>
      <c r="E49" s="273">
        <f>mvalloc!G14</f>
        <v>0</v>
      </c>
    </row>
    <row r="50" spans="2:5" ht="15.75">
      <c r="B50" s="325" t="s">
        <v>976</v>
      </c>
      <c r="C50" s="456">
        <v>68</v>
      </c>
      <c r="D50" s="456"/>
      <c r="E50" s="116"/>
    </row>
    <row r="51" spans="2:5" ht="15.75">
      <c r="B51" s="325"/>
      <c r="C51" s="456"/>
      <c r="D51" s="456"/>
      <c r="E51" s="116"/>
    </row>
    <row r="52" spans="2:5" ht="15.75">
      <c r="B52" s="325"/>
      <c r="C52" s="456"/>
      <c r="D52" s="456"/>
      <c r="E52" s="116"/>
    </row>
    <row r="53" spans="2:5" ht="15.75">
      <c r="B53" s="316" t="s">
        <v>170</v>
      </c>
      <c r="C53" s="456"/>
      <c r="D53" s="456"/>
      <c r="E53" s="116"/>
    </row>
    <row r="54" spans="2:5" ht="15.75">
      <c r="B54" s="317" t="s">
        <v>76</v>
      </c>
      <c r="C54" s="456"/>
      <c r="D54" s="456"/>
      <c r="E54" s="116"/>
    </row>
    <row r="55" spans="2:5" ht="15.75">
      <c r="B55" s="317" t="s">
        <v>682</v>
      </c>
      <c r="C55" s="457">
        <f>IF(C56*0.1&lt;C54,"Exceed 10% Rule","")</f>
      </c>
      <c r="D55" s="457">
        <f>IF(D56*0.1&lt;D54,"Exceed 10% Rule","")</f>
      </c>
      <c r="E55" s="351">
        <f>IF(E56*0.1+E72&lt;E54,"Exceed 10% Rule","")</f>
      </c>
    </row>
    <row r="56" spans="2:5" ht="15.75">
      <c r="B56" s="319" t="s">
        <v>171</v>
      </c>
      <c r="C56" s="458">
        <f>SUM(C44:C54)</f>
        <v>277153</v>
      </c>
      <c r="D56" s="458">
        <f>SUM(D44:D54)</f>
        <v>263579</v>
      </c>
      <c r="E56" s="358">
        <f>SUM(E45:E54)</f>
        <v>30999</v>
      </c>
    </row>
    <row r="57" spans="2:5" ht="15.75">
      <c r="B57" s="319" t="s">
        <v>172</v>
      </c>
      <c r="C57" s="458">
        <f>C42+C56</f>
        <v>287256</v>
      </c>
      <c r="D57" s="458">
        <f>D42+D56</f>
        <v>280835</v>
      </c>
      <c r="E57" s="358">
        <f>E42+E56</f>
        <v>38152</v>
      </c>
    </row>
    <row r="58" spans="2:5" ht="15.75">
      <c r="B58" s="151" t="s">
        <v>175</v>
      </c>
      <c r="C58" s="317"/>
      <c r="D58" s="317"/>
      <c r="E58" s="112"/>
    </row>
    <row r="59" spans="2:5" ht="15.75">
      <c r="B59" s="325" t="s">
        <v>980</v>
      </c>
      <c r="C59" s="456">
        <v>270000</v>
      </c>
      <c r="D59" s="456">
        <v>273682</v>
      </c>
      <c r="E59" s="116">
        <v>284424</v>
      </c>
    </row>
    <row r="60" spans="2:5" ht="15.75">
      <c r="B60" s="325"/>
      <c r="C60" s="456"/>
      <c r="D60" s="456"/>
      <c r="E60" s="116"/>
    </row>
    <row r="61" spans="2:5" ht="15.75">
      <c r="B61" s="325"/>
      <c r="C61" s="456"/>
      <c r="D61" s="456"/>
      <c r="E61" s="116"/>
    </row>
    <row r="62" spans="2:5" ht="15.75">
      <c r="B62" s="317" t="s">
        <v>78</v>
      </c>
      <c r="C62" s="456"/>
      <c r="D62" s="456"/>
      <c r="E62" s="123">
        <f>Nhood!E12</f>
      </c>
    </row>
    <row r="63" spans="2:5" ht="15.75">
      <c r="B63" s="317" t="s">
        <v>76</v>
      </c>
      <c r="C63" s="456"/>
      <c r="D63" s="456"/>
      <c r="E63" s="116"/>
    </row>
    <row r="64" spans="2:5" ht="15.75">
      <c r="B64" s="317" t="s">
        <v>681</v>
      </c>
      <c r="C64" s="457">
        <f>IF(C65*0.1&lt;C63,"Exceed 10% Rule","")</f>
      </c>
      <c r="D64" s="457">
        <f>IF(D65*0.1&lt;D63,"Exceed 10% Rule","")</f>
      </c>
      <c r="E64" s="351">
        <f>IF(E65*0.1&lt;E63,"Exceed 10% Rule","")</f>
      </c>
    </row>
    <row r="65" spans="2:5" ht="15.75">
      <c r="B65" s="319" t="s">
        <v>176</v>
      </c>
      <c r="C65" s="458">
        <f>SUM(C59:C63)</f>
        <v>270000</v>
      </c>
      <c r="D65" s="458">
        <f>SUM(D59:D63)</f>
        <v>273682</v>
      </c>
      <c r="E65" s="358">
        <f>SUM(E59:E63)</f>
        <v>284424</v>
      </c>
    </row>
    <row r="66" spans="2:5" ht="15.75">
      <c r="B66" s="151" t="s">
        <v>282</v>
      </c>
      <c r="C66" s="461">
        <f>C57-C65</f>
        <v>17256</v>
      </c>
      <c r="D66" s="461">
        <f>D57-D65</f>
        <v>7153</v>
      </c>
      <c r="E66" s="344" t="s">
        <v>149</v>
      </c>
    </row>
    <row r="67" spans="2:6" ht="15.75">
      <c r="B67" s="295" t="str">
        <f>CONCATENATE("",E$1-2,"/",E$1-1," Budget Authority Amount:")</f>
        <v>2010/2011 Budget Authority Amount:</v>
      </c>
      <c r="C67" s="287">
        <f>inputOth!B37</f>
        <v>284086</v>
      </c>
      <c r="D67" s="287">
        <f>inputPrYr!D22</f>
        <v>273682</v>
      </c>
      <c r="E67" s="344" t="s">
        <v>149</v>
      </c>
      <c r="F67" s="327"/>
    </row>
    <row r="68" spans="2:6" ht="15.75">
      <c r="B68" s="295"/>
      <c r="C68" s="772" t="s">
        <v>684</v>
      </c>
      <c r="D68" s="773"/>
      <c r="E68" s="116"/>
      <c r="F68" s="327">
        <f>IF(E65/0.95-E65&lt;E68,"Exceeds 5%","")</f>
      </c>
    </row>
    <row r="69" spans="2:5" ht="15.75">
      <c r="B69" s="533" t="str">
        <f>CONCATENATE(C85,"     ",D85)</f>
        <v>     </v>
      </c>
      <c r="C69" s="774" t="s">
        <v>685</v>
      </c>
      <c r="D69" s="775"/>
      <c r="E69" s="273">
        <f>E65+E68</f>
        <v>284424</v>
      </c>
    </row>
    <row r="70" spans="2:5" ht="15.75">
      <c r="B70" s="533" t="str">
        <f>CONCATENATE(C86,"     ",D86)</f>
        <v>     </v>
      </c>
      <c r="C70" s="328"/>
      <c r="D70" s="249" t="s">
        <v>177</v>
      </c>
      <c r="E70" s="123">
        <f>IF(E69-E57&gt;0,E69-E57,0)</f>
        <v>246272</v>
      </c>
    </row>
    <row r="71" spans="2:5" ht="15.75">
      <c r="B71" s="249"/>
      <c r="C71" s="532" t="s">
        <v>686</v>
      </c>
      <c r="D71" s="505">
        <f>inputOth!$E$24</f>
        <v>0.065</v>
      </c>
      <c r="E71" s="273">
        <f>ROUND(IF(D71&gt;0,($E$70*D71),0),0)</f>
        <v>16008</v>
      </c>
    </row>
    <row r="72" spans="2:5" ht="15.75">
      <c r="B72" s="90"/>
      <c r="C72" s="781" t="str">
        <f>CONCATENATE("Amount of  ",$E$1-1," Ad Valorem Tax")</f>
        <v>Amount of  2011 Ad Valorem Tax</v>
      </c>
      <c r="D72" s="782"/>
      <c r="E72" s="355">
        <f>E70+E71</f>
        <v>262280</v>
      </c>
    </row>
    <row r="73" spans="2:5" ht="15.75">
      <c r="B73" s="295" t="s">
        <v>190</v>
      </c>
      <c r="C73" s="356">
        <v>11</v>
      </c>
      <c r="D73" s="90"/>
      <c r="E73" s="90"/>
    </row>
    <row r="83" spans="3:4" ht="15.75" hidden="1">
      <c r="C83" s="77">
        <f>IF(C31&gt;C33,"See Tab A","")</f>
      </c>
      <c r="D83" s="77">
        <f>IF(D31&gt;D33,"See Tab C","")</f>
      </c>
    </row>
    <row r="84" spans="3:4" ht="15.75" hidden="1">
      <c r="C84" s="77">
        <f>IF(C32&lt;0,"See Tab B","")</f>
      </c>
      <c r="D84" s="77">
        <f>IF(D32&lt;0,"See Tab D","")</f>
      </c>
    </row>
    <row r="85" spans="3:4" ht="15.75" hidden="1">
      <c r="C85" s="77">
        <f>IF(C65&gt;C67,"See Tab A","")</f>
      </c>
      <c r="D85" s="77">
        <f>IF(D65&gt;D67,"See Tab C","")</f>
      </c>
    </row>
    <row r="86" spans="3:4" ht="15.75" hidden="1">
      <c r="C86" s="77">
        <f>IF(C66&lt;0,"See Tab B","")</f>
      </c>
      <c r="D86" s="77">
        <f>IF(D66&lt;0,"See Tab D","")</f>
      </c>
    </row>
  </sheetData>
  <sheetProtection sheet="1"/>
  <mergeCells count="6">
    <mergeCell ref="C34:D34"/>
    <mergeCell ref="C35:D35"/>
    <mergeCell ref="C68:D68"/>
    <mergeCell ref="C69:D69"/>
    <mergeCell ref="C72:D72"/>
    <mergeCell ref="C38:D38"/>
  </mergeCells>
  <conditionalFormatting sqref="E63">
    <cfRule type="cellIs" priority="3" dxfId="426" operator="greaterThan" stopIfTrue="1">
      <formula>$E$65*0.1</formula>
    </cfRule>
  </conditionalFormatting>
  <conditionalFormatting sqref="E68">
    <cfRule type="cellIs" priority="4" dxfId="426" operator="greaterThan" stopIfTrue="1">
      <formula>$E$65/0.95-$E$65</formula>
    </cfRule>
  </conditionalFormatting>
  <conditionalFormatting sqref="E34">
    <cfRule type="cellIs" priority="5" dxfId="426" operator="greaterThan" stopIfTrue="1">
      <formula>$E$31/0.95-$E$31</formula>
    </cfRule>
  </conditionalFormatting>
  <conditionalFormatting sqref="E29">
    <cfRule type="cellIs" priority="6" dxfId="426" operator="greaterThan" stopIfTrue="1">
      <formula>$E$31*0.1</formula>
    </cfRule>
  </conditionalFormatting>
  <conditionalFormatting sqref="C31">
    <cfRule type="cellIs" priority="7" dxfId="2" operator="greaterThan" stopIfTrue="1">
      <formula>$C$33</formula>
    </cfRule>
  </conditionalFormatting>
  <conditionalFormatting sqref="C66 C32">
    <cfRule type="cellIs" priority="8" dxfId="2" operator="lessThan" stopIfTrue="1">
      <formula>0</formula>
    </cfRule>
  </conditionalFormatting>
  <conditionalFormatting sqref="D31">
    <cfRule type="cellIs" priority="9" dxfId="2" operator="greaterThan" stopIfTrue="1">
      <formula>$D$33</formula>
    </cfRule>
  </conditionalFormatting>
  <conditionalFormatting sqref="C65">
    <cfRule type="cellIs" priority="10" dxfId="2" operator="greaterThan" stopIfTrue="1">
      <formula>$C$67</formula>
    </cfRule>
  </conditionalFormatting>
  <conditionalFormatting sqref="D65">
    <cfRule type="cellIs" priority="11" dxfId="2" operator="greaterThan" stopIfTrue="1">
      <formula>$D$67</formula>
    </cfRule>
  </conditionalFormatting>
  <conditionalFormatting sqref="C63">
    <cfRule type="cellIs" priority="12" dxfId="2" operator="greaterThan" stopIfTrue="1">
      <formula>$C$65*0.1</formula>
    </cfRule>
  </conditionalFormatting>
  <conditionalFormatting sqref="D63">
    <cfRule type="cellIs" priority="13" dxfId="2" operator="greaterThan" stopIfTrue="1">
      <formula>$D$65*0.1</formula>
    </cfRule>
  </conditionalFormatting>
  <conditionalFormatting sqref="E54">
    <cfRule type="cellIs" priority="14" dxfId="426" operator="greaterThan" stopIfTrue="1">
      <formula>$E$56*0.1+E72</formula>
    </cfRule>
  </conditionalFormatting>
  <conditionalFormatting sqref="C54">
    <cfRule type="cellIs" priority="15" dxfId="2" operator="greaterThan" stopIfTrue="1">
      <formula>$C$56*0.1</formula>
    </cfRule>
  </conditionalFormatting>
  <conditionalFormatting sqref="D54">
    <cfRule type="cellIs" priority="16" dxfId="2" operator="greaterThan" stopIfTrue="1">
      <formula>$D$56*0.1</formula>
    </cfRule>
  </conditionalFormatting>
  <conditionalFormatting sqref="C29">
    <cfRule type="cellIs" priority="17" dxfId="2" operator="greaterThan" stopIfTrue="1">
      <formula>$C$31*0.1</formula>
    </cfRule>
  </conditionalFormatting>
  <conditionalFormatting sqref="D29">
    <cfRule type="cellIs" priority="18" dxfId="2" operator="greaterThan" stopIfTrue="1">
      <formula>$D$31*0.1</formula>
    </cfRule>
  </conditionalFormatting>
  <conditionalFormatting sqref="E19">
    <cfRule type="cellIs" priority="19" dxfId="426" operator="greaterThan" stopIfTrue="1">
      <formula>$E$21*0.1+E38</formula>
    </cfRule>
  </conditionalFormatting>
  <conditionalFormatting sqref="C19">
    <cfRule type="cellIs" priority="20" dxfId="2" operator="greaterThan" stopIfTrue="1">
      <formula>$C$21*0.1</formula>
    </cfRule>
  </conditionalFormatting>
  <conditionalFormatting sqref="D19">
    <cfRule type="cellIs" priority="21" dxfId="2" operator="greaterThan" stopIfTrue="1">
      <formula>$D$21*0.1</formula>
    </cfRule>
  </conditionalFormatting>
  <conditionalFormatting sqref="D66 D32">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62" r:id="rId1"/>
  <headerFooter alignWithMargins="0">
    <oddHeader>&amp;RState of Kansas
County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88"/>
  <sheetViews>
    <sheetView zoomScale="85" zoomScaleNormal="85" zoomScalePageLayoutView="0" workbookViewId="0" topLeftCell="A24">
      <selection activeCell="H67" sqref="H67"/>
    </sheetView>
  </sheetViews>
  <sheetFormatPr defaultColWidth="8.796875" defaultRowHeight="15"/>
  <cols>
    <col min="1" max="1" width="2.3984375" style="77" customWidth="1"/>
    <col min="2" max="2" width="31.09765625" style="77" customWidth="1"/>
    <col min="3" max="4" width="15.796875" style="77" customWidth="1"/>
    <col min="5" max="5" width="16.19921875" style="77" customWidth="1"/>
    <col min="6" max="16384" width="8.8984375" style="77" customWidth="1"/>
  </cols>
  <sheetData>
    <row r="1" spans="2:5" ht="15.75">
      <c r="B1" s="237" t="str">
        <f>(inputPrYr!C2)</f>
        <v>Geary County</v>
      </c>
      <c r="C1" s="90"/>
      <c r="D1" s="90"/>
      <c r="E1" s="294">
        <f>inputPrYr!C4</f>
        <v>2012</v>
      </c>
    </row>
    <row r="2" spans="2:5" ht="15.75">
      <c r="B2" s="90"/>
      <c r="C2" s="90"/>
      <c r="D2" s="90"/>
      <c r="E2" s="249"/>
    </row>
    <row r="3" spans="2:5" ht="15.75">
      <c r="B3" s="155" t="s">
        <v>239</v>
      </c>
      <c r="C3" s="340"/>
      <c r="D3" s="340"/>
      <c r="E3" s="341"/>
    </row>
    <row r="4" spans="2:5" ht="15.75">
      <c r="B4" s="90"/>
      <c r="C4" s="334"/>
      <c r="D4" s="334"/>
      <c r="E4" s="334"/>
    </row>
    <row r="5" spans="2:5" ht="15.75">
      <c r="B5" s="89" t="s">
        <v>162</v>
      </c>
      <c r="C5" s="478" t="str">
        <f>general!C4</f>
        <v>Prior Year Actual</v>
      </c>
      <c r="D5" s="477" t="str">
        <f>general!D4</f>
        <v>Current Year Estimate</v>
      </c>
      <c r="E5" s="479" t="str">
        <f>general!E4</f>
        <v>Proposed Budget Year</v>
      </c>
    </row>
    <row r="6" spans="2:5" ht="15.75">
      <c r="B6" s="512" t="str">
        <f>inputPrYr!B23</f>
        <v>Free Fair (60)</v>
      </c>
      <c r="C6" s="459">
        <f>general!$C$5</f>
        <v>2010</v>
      </c>
      <c r="D6" s="459">
        <f>general!D5</f>
        <v>2011</v>
      </c>
      <c r="E6" s="323">
        <f>general!E5</f>
        <v>2012</v>
      </c>
    </row>
    <row r="7" spans="2:5" ht="15.75">
      <c r="B7" s="151" t="s">
        <v>281</v>
      </c>
      <c r="C7" s="456">
        <v>580</v>
      </c>
      <c r="D7" s="460">
        <f>C30</f>
        <v>2523</v>
      </c>
      <c r="E7" s="273">
        <f>D30</f>
        <v>1944</v>
      </c>
    </row>
    <row r="8" spans="2:5" ht="15.75">
      <c r="B8" s="298" t="s">
        <v>283</v>
      </c>
      <c r="C8" s="313"/>
      <c r="D8" s="313"/>
      <c r="E8" s="130"/>
    </row>
    <row r="9" spans="2:5" ht="15.75">
      <c r="B9" s="151" t="s">
        <v>163</v>
      </c>
      <c r="C9" s="456">
        <v>14125</v>
      </c>
      <c r="D9" s="456">
        <v>11814</v>
      </c>
      <c r="E9" s="344" t="s">
        <v>149</v>
      </c>
    </row>
    <row r="10" spans="2:5" ht="15.75">
      <c r="B10" s="151" t="s">
        <v>164</v>
      </c>
      <c r="C10" s="456">
        <v>345</v>
      </c>
      <c r="D10" s="456">
        <v>200</v>
      </c>
      <c r="E10" s="116">
        <v>200</v>
      </c>
    </row>
    <row r="11" spans="2:5" ht="15.75">
      <c r="B11" s="151" t="s">
        <v>165</v>
      </c>
      <c r="C11" s="456">
        <v>1424</v>
      </c>
      <c r="D11" s="456">
        <v>1613</v>
      </c>
      <c r="E11" s="273">
        <f>mvalloc!D15</f>
        <v>1324</v>
      </c>
    </row>
    <row r="12" spans="2:5" ht="15.75">
      <c r="B12" s="151" t="s">
        <v>166</v>
      </c>
      <c r="C12" s="456">
        <v>16</v>
      </c>
      <c r="D12" s="456">
        <v>18</v>
      </c>
      <c r="E12" s="273">
        <f>mvalloc!E15</f>
        <v>15</v>
      </c>
    </row>
    <row r="13" spans="2:5" ht="15.75">
      <c r="B13" s="313" t="s">
        <v>232</v>
      </c>
      <c r="C13" s="456">
        <v>29</v>
      </c>
      <c r="D13" s="456">
        <v>26</v>
      </c>
      <c r="E13" s="273">
        <f>mvalloc!F15</f>
        <v>22</v>
      </c>
    </row>
    <row r="14" spans="2:5" ht="15.75">
      <c r="B14" s="313" t="s">
        <v>333</v>
      </c>
      <c r="C14" s="456"/>
      <c r="D14" s="456"/>
      <c r="E14" s="273">
        <f>mvalloc!G15</f>
        <v>0</v>
      </c>
    </row>
    <row r="15" spans="2:5" ht="15.75">
      <c r="B15" s="325" t="s">
        <v>976</v>
      </c>
      <c r="C15" s="456">
        <v>4</v>
      </c>
      <c r="D15" s="456"/>
      <c r="E15" s="116"/>
    </row>
    <row r="16" spans="2:5" ht="15.75">
      <c r="B16" s="325"/>
      <c r="C16" s="456"/>
      <c r="D16" s="456"/>
      <c r="E16" s="116"/>
    </row>
    <row r="17" spans="2:5" ht="15.75">
      <c r="B17" s="316" t="s">
        <v>170</v>
      </c>
      <c r="C17" s="456"/>
      <c r="D17" s="456"/>
      <c r="E17" s="116"/>
    </row>
    <row r="18" spans="2:5" ht="15.75">
      <c r="B18" s="317" t="s">
        <v>76</v>
      </c>
      <c r="C18" s="456"/>
      <c r="D18" s="456"/>
      <c r="E18" s="116"/>
    </row>
    <row r="19" spans="2:5" ht="15.75">
      <c r="B19" s="317" t="s">
        <v>682</v>
      </c>
      <c r="C19" s="457">
        <f>IF(C20*0.1&lt;C18,"Exceed 10% Rule","")</f>
      </c>
      <c r="D19" s="457">
        <f>IF(D20*0.1&lt;D18,"Exceed 10% Rule","")</f>
      </c>
      <c r="E19" s="351">
        <f>IF(E20*0.1+E36&lt;E18,"Exceed 10% Rule","")</f>
      </c>
    </row>
    <row r="20" spans="2:5" ht="15.75">
      <c r="B20" s="319" t="s">
        <v>171</v>
      </c>
      <c r="C20" s="458">
        <f>SUM(C9:C18)</f>
        <v>15943</v>
      </c>
      <c r="D20" s="458">
        <f>SUM(D9:D18)</f>
        <v>13671</v>
      </c>
      <c r="E20" s="358">
        <f>SUM(E9:E18)</f>
        <v>1561</v>
      </c>
    </row>
    <row r="21" spans="2:5" ht="15.75">
      <c r="B21" s="319" t="s">
        <v>172</v>
      </c>
      <c r="C21" s="458">
        <f>C7+C20</f>
        <v>16523</v>
      </c>
      <c r="D21" s="458">
        <f>D7+D20</f>
        <v>16194</v>
      </c>
      <c r="E21" s="358">
        <f>E7+E20</f>
        <v>3505</v>
      </c>
    </row>
    <row r="22" spans="2:5" ht="15.75">
      <c r="B22" s="151" t="s">
        <v>175</v>
      </c>
      <c r="C22" s="317"/>
      <c r="D22" s="317"/>
      <c r="E22" s="112"/>
    </row>
    <row r="23" spans="2:5" ht="15.75">
      <c r="B23" s="325" t="s">
        <v>980</v>
      </c>
      <c r="C23" s="456">
        <v>14000</v>
      </c>
      <c r="D23" s="456">
        <v>14250</v>
      </c>
      <c r="E23" s="116">
        <v>14250</v>
      </c>
    </row>
    <row r="24" spans="2:5" ht="15.75">
      <c r="B24" s="325"/>
      <c r="C24" s="456"/>
      <c r="D24" s="456"/>
      <c r="E24" s="116"/>
    </row>
    <row r="25" spans="2:5" ht="15.75">
      <c r="B25" s="325"/>
      <c r="C25" s="456"/>
      <c r="D25" s="456"/>
      <c r="E25" s="116"/>
    </row>
    <row r="26" spans="2:5" ht="15.75">
      <c r="B26" s="317" t="s">
        <v>78</v>
      </c>
      <c r="C26" s="456"/>
      <c r="D26" s="456"/>
      <c r="E26" s="123">
        <f>Nhood!E13</f>
      </c>
    </row>
    <row r="27" spans="2:5" ht="15.75">
      <c r="B27" s="317" t="s">
        <v>76</v>
      </c>
      <c r="C27" s="456"/>
      <c r="D27" s="456"/>
      <c r="E27" s="116"/>
    </row>
    <row r="28" spans="2:5" ht="15.75">
      <c r="B28" s="317" t="s">
        <v>681</v>
      </c>
      <c r="C28" s="457">
        <f>IF(C29*0.1&lt;C27,"Exceed 10% Rule","")</f>
      </c>
      <c r="D28" s="457">
        <f>IF(D29*0.1&lt;D27,"Exceed 10% Rule","")</f>
      </c>
      <c r="E28" s="351">
        <f>IF(E29*0.1&lt;E27,"Exceed 10% Rule","")</f>
      </c>
    </row>
    <row r="29" spans="2:5" ht="15.75">
      <c r="B29" s="319" t="s">
        <v>176</v>
      </c>
      <c r="C29" s="458">
        <f>SUM(C23:C27)</f>
        <v>14000</v>
      </c>
      <c r="D29" s="458">
        <f>SUM(D23:D27)</f>
        <v>14250</v>
      </c>
      <c r="E29" s="358">
        <f>SUM(E23:E27)</f>
        <v>14250</v>
      </c>
    </row>
    <row r="30" spans="2:5" ht="15.75">
      <c r="B30" s="151" t="s">
        <v>282</v>
      </c>
      <c r="C30" s="461">
        <f>C21-C29</f>
        <v>2523</v>
      </c>
      <c r="D30" s="461">
        <f>D21-D29</f>
        <v>1944</v>
      </c>
      <c r="E30" s="344" t="s">
        <v>149</v>
      </c>
    </row>
    <row r="31" spans="2:6" ht="15.75">
      <c r="B31" s="295" t="str">
        <f>CONCATENATE("",E$1-2,"/",E$1-1," Budget Authority Amount:")</f>
        <v>2010/2011 Budget Authority Amount:</v>
      </c>
      <c r="C31" s="287">
        <f>inputOth!B38</f>
        <v>16200</v>
      </c>
      <c r="D31" s="287">
        <f>inputPrYr!D23</f>
        <v>14250</v>
      </c>
      <c r="E31" s="344" t="s">
        <v>149</v>
      </c>
      <c r="F31" s="327"/>
    </row>
    <row r="32" spans="2:6" ht="15.75">
      <c r="B32" s="295"/>
      <c r="C32" s="772" t="s">
        <v>684</v>
      </c>
      <c r="D32" s="773"/>
      <c r="E32" s="116"/>
      <c r="F32" s="327">
        <f>IF(E29/0.95-E29&lt;E32,"Exceeds 5%","")</f>
      </c>
    </row>
    <row r="33" spans="2:5" ht="15.75">
      <c r="B33" s="534" t="str">
        <f>CONCATENATE(C85,"     ",D85)</f>
        <v>     </v>
      </c>
      <c r="C33" s="774" t="s">
        <v>685</v>
      </c>
      <c r="D33" s="775"/>
      <c r="E33" s="273">
        <f>E29+E32</f>
        <v>14250</v>
      </c>
    </row>
    <row r="34" spans="2:5" ht="15.75">
      <c r="B34" s="534" t="str">
        <f>CONCATENATE(C86,"     ",D86)</f>
        <v>     </v>
      </c>
      <c r="C34" s="328"/>
      <c r="D34" s="249" t="s">
        <v>177</v>
      </c>
      <c r="E34" s="123">
        <f>IF(E33-E21&gt;0,E33-E21,0)</f>
        <v>10745</v>
      </c>
    </row>
    <row r="35" spans="2:5" ht="15.75">
      <c r="B35" s="249"/>
      <c r="C35" s="532" t="s">
        <v>686</v>
      </c>
      <c r="D35" s="505">
        <f>inputOth!$E$24</f>
        <v>0.065</v>
      </c>
      <c r="E35" s="273">
        <f>ROUND(IF(D35&gt;0,($E$34*D35),0),0)</f>
        <v>698</v>
      </c>
    </row>
    <row r="36" spans="2:5" ht="15.75">
      <c r="B36" s="90"/>
      <c r="C36" s="781" t="str">
        <f>CONCATENATE("Amount of  ",$E$1-1," Ad Valorem Tax")</f>
        <v>Amount of  2011 Ad Valorem Tax</v>
      </c>
      <c r="D36" s="782"/>
      <c r="E36" s="355">
        <f>E34+E35</f>
        <v>11443</v>
      </c>
    </row>
    <row r="37" spans="2:5" ht="15.75">
      <c r="B37" s="90"/>
      <c r="C37" s="334"/>
      <c r="D37" s="334"/>
      <c r="E37" s="334"/>
    </row>
    <row r="38" spans="2:5" ht="15.75">
      <c r="B38" s="89" t="s">
        <v>162</v>
      </c>
      <c r="C38" s="478" t="str">
        <f aca="true" t="shared" si="0" ref="C38:E39">C5</f>
        <v>Prior Year Actual</v>
      </c>
      <c r="D38" s="477" t="str">
        <f t="shared" si="0"/>
        <v>Current Year Estimate</v>
      </c>
      <c r="E38" s="479" t="str">
        <f t="shared" si="0"/>
        <v>Proposed Budget Year</v>
      </c>
    </row>
    <row r="39" spans="2:5" ht="15.75">
      <c r="B39" s="512" t="str">
        <f>inputPrYr!B24</f>
        <v>Animal Shelter (29)</v>
      </c>
      <c r="C39" s="459">
        <f t="shared" si="0"/>
        <v>2010</v>
      </c>
      <c r="D39" s="459">
        <f t="shared" si="0"/>
        <v>2011</v>
      </c>
      <c r="E39" s="323">
        <f t="shared" si="0"/>
        <v>2012</v>
      </c>
    </row>
    <row r="40" spans="2:5" ht="15.75">
      <c r="B40" s="151" t="s">
        <v>281</v>
      </c>
      <c r="C40" s="456">
        <v>35835</v>
      </c>
      <c r="D40" s="460">
        <f>C68</f>
        <v>-5620</v>
      </c>
      <c r="E40" s="273">
        <f>D68</f>
        <v>0</v>
      </c>
    </row>
    <row r="41" spans="2:5" ht="15.75">
      <c r="B41" s="298" t="s">
        <v>283</v>
      </c>
      <c r="C41" s="313"/>
      <c r="D41" s="313"/>
      <c r="E41" s="130"/>
    </row>
    <row r="42" spans="2:5" ht="15.75">
      <c r="B42" s="151" t="s">
        <v>163</v>
      </c>
      <c r="C42" s="456"/>
      <c r="D42" s="456">
        <v>49620</v>
      </c>
      <c r="E42" s="344" t="s">
        <v>149</v>
      </c>
    </row>
    <row r="43" spans="2:5" ht="15.75">
      <c r="B43" s="151" t="s">
        <v>164</v>
      </c>
      <c r="C43" s="456">
        <v>506</v>
      </c>
      <c r="D43" s="456">
        <v>100</v>
      </c>
      <c r="E43" s="116">
        <v>400</v>
      </c>
    </row>
    <row r="44" spans="2:5" ht="15.75">
      <c r="B44" s="151" t="s">
        <v>165</v>
      </c>
      <c r="C44" s="456">
        <v>1188</v>
      </c>
      <c r="D44" s="456"/>
      <c r="E44" s="273">
        <f>mvalloc!D16</f>
        <v>5559</v>
      </c>
    </row>
    <row r="45" spans="2:5" ht="15.75">
      <c r="B45" s="151" t="s">
        <v>166</v>
      </c>
      <c r="C45" s="456">
        <v>3</v>
      </c>
      <c r="D45" s="456"/>
      <c r="E45" s="273">
        <f>mvalloc!E16</f>
        <v>65</v>
      </c>
    </row>
    <row r="46" spans="2:5" ht="15.75">
      <c r="B46" s="313" t="s">
        <v>232</v>
      </c>
      <c r="C46" s="456">
        <v>136</v>
      </c>
      <c r="D46" s="456"/>
      <c r="E46" s="273">
        <f>mvalloc!F16</f>
        <v>91</v>
      </c>
    </row>
    <row r="47" spans="2:5" ht="15.75">
      <c r="B47" s="313" t="s">
        <v>333</v>
      </c>
      <c r="C47" s="456"/>
      <c r="D47" s="456"/>
      <c r="E47" s="273">
        <f>mvalloc!G16</f>
        <v>0</v>
      </c>
    </row>
    <row r="48" spans="2:5" ht="15.75">
      <c r="B48" s="685" t="s">
        <v>958</v>
      </c>
      <c r="C48" s="456"/>
      <c r="D48" s="456"/>
      <c r="E48" s="116"/>
    </row>
    <row r="49" spans="2:5" ht="15.75">
      <c r="B49" s="685" t="s">
        <v>982</v>
      </c>
      <c r="C49" s="456">
        <v>27134</v>
      </c>
      <c r="D49" s="456">
        <v>34000</v>
      </c>
      <c r="E49" s="116">
        <v>27000</v>
      </c>
    </row>
    <row r="50" spans="2:5" ht="15.75">
      <c r="B50" s="685" t="s">
        <v>983</v>
      </c>
      <c r="C50" s="456">
        <v>17914</v>
      </c>
      <c r="D50" s="456">
        <v>22000</v>
      </c>
      <c r="E50" s="116">
        <v>22000</v>
      </c>
    </row>
    <row r="51" spans="2:5" ht="15.75">
      <c r="B51" s="685" t="s">
        <v>984</v>
      </c>
      <c r="C51" s="456">
        <v>63802</v>
      </c>
      <c r="D51" s="456">
        <v>74580</v>
      </c>
      <c r="E51" s="116">
        <v>67608</v>
      </c>
    </row>
    <row r="52" spans="2:5" ht="15.75">
      <c r="B52" s="316" t="s">
        <v>170</v>
      </c>
      <c r="C52" s="456"/>
      <c r="D52" s="456"/>
      <c r="E52" s="116"/>
    </row>
    <row r="53" spans="2:5" ht="15.75">
      <c r="B53" s="317" t="s">
        <v>76</v>
      </c>
      <c r="C53" s="456"/>
      <c r="D53" s="456"/>
      <c r="E53" s="116"/>
    </row>
    <row r="54" spans="2:5" ht="15.75">
      <c r="B54" s="317" t="s">
        <v>682</v>
      </c>
      <c r="C54" s="457">
        <f>IF(C55*0.1&lt;C53,"Exceed 10% Rule","")</f>
      </c>
      <c r="D54" s="457">
        <f>IF(D55*0.1&lt;D53,"Exceed 10% Rule","")</f>
      </c>
      <c r="E54" s="351">
        <f>IF(E55*0.1+E74&lt;E53,"Exceed 10% Rule","")</f>
      </c>
    </row>
    <row r="55" spans="2:5" ht="15.75">
      <c r="B55" s="319" t="s">
        <v>171</v>
      </c>
      <c r="C55" s="458">
        <f>SUM(C42:C53)</f>
        <v>110683</v>
      </c>
      <c r="D55" s="458">
        <f>SUM(D42:D53)</f>
        <v>180300</v>
      </c>
      <c r="E55" s="358">
        <f>SUM(E42:E53)</f>
        <v>122723</v>
      </c>
    </row>
    <row r="56" spans="2:5" ht="15.75">
      <c r="B56" s="319" t="s">
        <v>172</v>
      </c>
      <c r="C56" s="458">
        <f>C40+C55</f>
        <v>146518</v>
      </c>
      <c r="D56" s="458">
        <f>D40+D55</f>
        <v>174680</v>
      </c>
      <c r="E56" s="358">
        <f>E40+E55</f>
        <v>122723</v>
      </c>
    </row>
    <row r="57" spans="2:5" ht="15.75">
      <c r="B57" s="151" t="s">
        <v>175</v>
      </c>
      <c r="C57" s="317"/>
      <c r="D57" s="317"/>
      <c r="E57" s="112"/>
    </row>
    <row r="58" spans="2:5" ht="15.75">
      <c r="B58" s="686" t="s">
        <v>959</v>
      </c>
      <c r="C58" s="456">
        <v>118160</v>
      </c>
      <c r="D58" s="116">
        <v>123000</v>
      </c>
      <c r="E58" s="116">
        <v>126072</v>
      </c>
    </row>
    <row r="59" spans="2:5" ht="15.75">
      <c r="B59" s="686" t="s">
        <v>985</v>
      </c>
      <c r="C59" s="456">
        <v>8031</v>
      </c>
      <c r="D59" s="116">
        <v>12380</v>
      </c>
      <c r="E59" s="116">
        <v>28158</v>
      </c>
    </row>
    <row r="60" spans="2:5" ht="15.75">
      <c r="B60" s="686" t="s">
        <v>978</v>
      </c>
      <c r="C60" s="456">
        <v>16459</v>
      </c>
      <c r="D60" s="116">
        <v>19000</v>
      </c>
      <c r="E60" s="116">
        <v>19000</v>
      </c>
    </row>
    <row r="61" spans="2:5" ht="15.75">
      <c r="B61" s="686" t="s">
        <v>986</v>
      </c>
      <c r="C61" s="456">
        <v>8989</v>
      </c>
      <c r="D61" s="116">
        <v>15300</v>
      </c>
      <c r="E61" s="116">
        <v>15300</v>
      </c>
    </row>
    <row r="62" spans="2:5" ht="15.75">
      <c r="B62" s="686" t="s">
        <v>972</v>
      </c>
      <c r="C62" s="456">
        <v>499</v>
      </c>
      <c r="D62" s="116">
        <v>5000</v>
      </c>
      <c r="E62" s="116">
        <v>5000</v>
      </c>
    </row>
    <row r="63" spans="2:5" ht="15.75">
      <c r="B63" s="325"/>
      <c r="C63" s="456"/>
      <c r="D63" s="456"/>
      <c r="E63" s="116"/>
    </row>
    <row r="64" spans="2:5" ht="15.75">
      <c r="B64" s="317" t="s">
        <v>78</v>
      </c>
      <c r="C64" s="456"/>
      <c r="D64" s="456"/>
      <c r="E64" s="123">
        <f>Nhood!E14</f>
      </c>
    </row>
    <row r="65" spans="2:5" ht="15.75">
      <c r="B65" s="317" t="s">
        <v>76</v>
      </c>
      <c r="C65" s="456"/>
      <c r="D65" s="456"/>
      <c r="E65" s="116"/>
    </row>
    <row r="66" spans="2:5" ht="15.75">
      <c r="B66" s="317" t="s">
        <v>681</v>
      </c>
      <c r="C66" s="457">
        <f>IF(C67*0.1&lt;C65,"Exceed 10% Rule","")</f>
      </c>
      <c r="D66" s="457">
        <f>IF(D67*0.1&lt;D65,"Exceed 10% Rule","")</f>
      </c>
      <c r="E66" s="351">
        <f>IF(E67*0.1&lt;E65,"Exceed 10% Rule","")</f>
      </c>
    </row>
    <row r="67" spans="2:5" ht="15.75">
      <c r="B67" s="319" t="s">
        <v>176</v>
      </c>
      <c r="C67" s="458">
        <f>SUM(C58:C65)</f>
        <v>152138</v>
      </c>
      <c r="D67" s="458">
        <f>SUM(D58:D65)</f>
        <v>174680</v>
      </c>
      <c r="E67" s="358">
        <f>SUM(E58:E65)</f>
        <v>193530</v>
      </c>
    </row>
    <row r="68" spans="2:5" ht="15.75">
      <c r="B68" s="151" t="s">
        <v>282</v>
      </c>
      <c r="C68" s="461">
        <f>C56-C67</f>
        <v>-5620</v>
      </c>
      <c r="D68" s="461">
        <f>D56-D67</f>
        <v>0</v>
      </c>
      <c r="E68" s="344" t="s">
        <v>149</v>
      </c>
    </row>
    <row r="69" spans="2:6" ht="15.75">
      <c r="B69" s="295" t="str">
        <f>CONCATENATE("",E$1-2,"/",E$1-1," Budget Authority Amount:")</f>
        <v>2010/2011 Budget Authority Amount:</v>
      </c>
      <c r="C69" s="287">
        <f>inputOth!B39</f>
        <v>179058</v>
      </c>
      <c r="D69" s="287">
        <f>inputPrYr!D24</f>
        <v>180300</v>
      </c>
      <c r="E69" s="344" t="s">
        <v>149</v>
      </c>
      <c r="F69" s="327"/>
    </row>
    <row r="70" spans="2:6" ht="15.75">
      <c r="B70" s="295"/>
      <c r="C70" s="772" t="s">
        <v>684</v>
      </c>
      <c r="D70" s="773"/>
      <c r="E70" s="116"/>
      <c r="F70" s="327">
        <f>IF(E67/0.95-E67&lt;E70,"Exceeds 5%","")</f>
      </c>
    </row>
    <row r="71" spans="2:5" ht="15.75">
      <c r="B71" s="533" t="str">
        <f>CONCATENATE(C87,"     ",D87)</f>
        <v>     </v>
      </c>
      <c r="C71" s="774" t="s">
        <v>685</v>
      </c>
      <c r="D71" s="775"/>
      <c r="E71" s="273">
        <f>E67+E70</f>
        <v>193530</v>
      </c>
    </row>
    <row r="72" spans="2:5" ht="15.75">
      <c r="B72" s="533" t="str">
        <f>CONCATENATE(C88,"     ",D88)</f>
        <v>See Tab B     </v>
      </c>
      <c r="C72" s="328"/>
      <c r="D72" s="249" t="s">
        <v>177</v>
      </c>
      <c r="E72" s="123">
        <f>IF(E71-E56&gt;0,E71-E56,0)</f>
        <v>70807</v>
      </c>
    </row>
    <row r="73" spans="2:5" ht="15.75">
      <c r="B73" s="249"/>
      <c r="C73" s="532" t="s">
        <v>686</v>
      </c>
      <c r="D73" s="505">
        <f>inputOth!$E$24</f>
        <v>0.065</v>
      </c>
      <c r="E73" s="273">
        <f>ROUND(IF(D73&gt;0,($E$72*D73),0),0)</f>
        <v>4602</v>
      </c>
    </row>
    <row r="74" spans="2:5" ht="15.75">
      <c r="B74" s="90"/>
      <c r="C74" s="781" t="str">
        <f>CONCATENATE("Amount of  ",$E$1-1," Ad Valorem Tax")</f>
        <v>Amount of  2011 Ad Valorem Tax</v>
      </c>
      <c r="D74" s="782"/>
      <c r="E74" s="355">
        <f>E72+E73</f>
        <v>75409</v>
      </c>
    </row>
    <row r="75" spans="2:5" ht="15.75">
      <c r="B75" s="295" t="s">
        <v>190</v>
      </c>
      <c r="C75" s="356">
        <v>12</v>
      </c>
      <c r="D75" s="90"/>
      <c r="E75" s="90"/>
    </row>
    <row r="85" spans="3:4" ht="15.75" hidden="1">
      <c r="C85" s="77">
        <f>IF(C29&gt;C31,"See Tab A","")</f>
      </c>
      <c r="D85" s="77">
        <f>IF(D29&gt;D31,"See Tab C","")</f>
      </c>
    </row>
    <row r="86" spans="3:4" ht="15.75" hidden="1">
      <c r="C86" s="77">
        <f>IF(C30&lt;0,"See Tab B","")</f>
      </c>
      <c r="D86" s="77">
        <f>IF(D30&lt;0,"See Tab D","")</f>
      </c>
    </row>
    <row r="87" spans="3:4" ht="15.75" hidden="1">
      <c r="C87" s="77">
        <f>IF(C67&gt;C69,"See Tab A","")</f>
      </c>
      <c r="D87" s="77">
        <f>IF(D67&gt;D69,"See Tab C","")</f>
      </c>
    </row>
    <row r="88" spans="3:4" ht="15.75" hidden="1">
      <c r="C88" s="77" t="str">
        <f>IF(C68&lt;0,"See Tab B","")</f>
        <v>See Tab B</v>
      </c>
      <c r="D88" s="77">
        <f>IF(D68&lt;0,"See Tab D","")</f>
      </c>
    </row>
  </sheetData>
  <sheetProtection sheet="1"/>
  <mergeCells count="6">
    <mergeCell ref="C32:D32"/>
    <mergeCell ref="C33:D33"/>
    <mergeCell ref="C70:D70"/>
    <mergeCell ref="C71:D71"/>
    <mergeCell ref="C74:D74"/>
    <mergeCell ref="C36:D36"/>
  </mergeCells>
  <conditionalFormatting sqref="E65">
    <cfRule type="cellIs" priority="3" dxfId="426" operator="greaterThan" stopIfTrue="1">
      <formula>$E$67*0.1</formula>
    </cfRule>
  </conditionalFormatting>
  <conditionalFormatting sqref="E70">
    <cfRule type="cellIs" priority="4" dxfId="426" operator="greaterThan" stopIfTrue="1">
      <formula>$E$67/0.95-$E$67</formula>
    </cfRule>
  </conditionalFormatting>
  <conditionalFormatting sqref="E32">
    <cfRule type="cellIs" priority="5" dxfId="426" operator="greaterThan" stopIfTrue="1">
      <formula>$E$29/0.95-$E$29</formula>
    </cfRule>
  </conditionalFormatting>
  <conditionalFormatting sqref="E27">
    <cfRule type="cellIs" priority="6" dxfId="426" operator="greaterThan" stopIfTrue="1">
      <formula>$E$29*0.1</formula>
    </cfRule>
  </conditionalFormatting>
  <conditionalFormatting sqref="C68 C30">
    <cfRule type="cellIs" priority="7" dxfId="2" operator="lessThan" stopIfTrue="1">
      <formula>0</formula>
    </cfRule>
  </conditionalFormatting>
  <conditionalFormatting sqref="C67">
    <cfRule type="cellIs" priority="8" dxfId="2" operator="greaterThan" stopIfTrue="1">
      <formula>$C$69</formula>
    </cfRule>
  </conditionalFormatting>
  <conditionalFormatting sqref="D67">
    <cfRule type="cellIs" priority="9" dxfId="2" operator="greaterThan" stopIfTrue="1">
      <formula>$D$69</formula>
    </cfRule>
  </conditionalFormatting>
  <conditionalFormatting sqref="C65">
    <cfRule type="cellIs" priority="10" dxfId="2" operator="greaterThan" stopIfTrue="1">
      <formula>$C$67*0.1</formula>
    </cfRule>
  </conditionalFormatting>
  <conditionalFormatting sqref="D65">
    <cfRule type="cellIs" priority="11" dxfId="2" operator="greaterThan" stopIfTrue="1">
      <formula>$D$67*0.1</formula>
    </cfRule>
  </conditionalFormatting>
  <conditionalFormatting sqref="E53">
    <cfRule type="cellIs" priority="12" dxfId="426" operator="greaterThan" stopIfTrue="1">
      <formula>$E$55*0.1+E74</formula>
    </cfRule>
  </conditionalFormatting>
  <conditionalFormatting sqref="C53">
    <cfRule type="cellIs" priority="13" dxfId="2" operator="greaterThan" stopIfTrue="1">
      <formula>$C$55*0.1</formula>
    </cfRule>
  </conditionalFormatting>
  <conditionalFormatting sqref="D53">
    <cfRule type="cellIs" priority="14" dxfId="2" operator="greaterThan" stopIfTrue="1">
      <formula>$D$55*0.1</formula>
    </cfRule>
  </conditionalFormatting>
  <conditionalFormatting sqref="C29">
    <cfRule type="cellIs" priority="15" dxfId="2" operator="greaterThan" stopIfTrue="1">
      <formula>$C$31</formula>
    </cfRule>
  </conditionalFormatting>
  <conditionalFormatting sqref="D29">
    <cfRule type="cellIs" priority="16" dxfId="2" operator="greaterThan" stopIfTrue="1">
      <formula>$D$31</formula>
    </cfRule>
  </conditionalFormatting>
  <conditionalFormatting sqref="C27">
    <cfRule type="cellIs" priority="17" dxfId="2" operator="greaterThan" stopIfTrue="1">
      <formula>$C$29*0.1</formula>
    </cfRule>
  </conditionalFormatting>
  <conditionalFormatting sqref="D27">
    <cfRule type="cellIs" priority="18" dxfId="2" operator="greaterThan" stopIfTrue="1">
      <formula>$D$29*0.1</formula>
    </cfRule>
  </conditionalFormatting>
  <conditionalFormatting sqref="E18">
    <cfRule type="cellIs" priority="19" dxfId="426" operator="greaterThan" stopIfTrue="1">
      <formula>$E$20*0.1+E36</formula>
    </cfRule>
  </conditionalFormatting>
  <conditionalFormatting sqref="C18">
    <cfRule type="cellIs" priority="20" dxfId="2" operator="greaterThan" stopIfTrue="1">
      <formula>$C$20*0.1</formula>
    </cfRule>
  </conditionalFormatting>
  <conditionalFormatting sqref="D18">
    <cfRule type="cellIs" priority="21" dxfId="2" operator="greaterThan" stopIfTrue="1">
      <formula>$D$20*0.1</formula>
    </cfRule>
  </conditionalFormatting>
  <conditionalFormatting sqref="D30 D68">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61" r:id="rId1"/>
  <headerFooter alignWithMargins="0">
    <oddHeader>&amp;RState of Kansas
County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129"/>
  <sheetViews>
    <sheetView zoomScalePageLayoutView="0" workbookViewId="0" topLeftCell="A5">
      <selection activeCell="H67" sqref="H67"/>
    </sheetView>
  </sheetViews>
  <sheetFormatPr defaultColWidth="8.796875" defaultRowHeight="15"/>
  <cols>
    <col min="1" max="1" width="15.796875" style="77" customWidth="1"/>
    <col min="2" max="2" width="23.09765625" style="77" customWidth="1"/>
    <col min="3" max="3" width="8.796875" style="77" customWidth="1"/>
    <col min="4" max="5" width="13.296875" style="77" customWidth="1"/>
    <col min="6" max="6" width="10.796875" style="77" customWidth="1"/>
    <col min="7" max="16384" width="8.8984375" style="77" customWidth="1"/>
  </cols>
  <sheetData>
    <row r="1" spans="1:6" ht="15.75">
      <c r="A1" s="732" t="s">
        <v>320</v>
      </c>
      <c r="B1" s="733"/>
      <c r="C1" s="733"/>
      <c r="D1" s="733"/>
      <c r="E1" s="733"/>
      <c r="F1" s="733"/>
    </row>
    <row r="2" spans="1:6" ht="15.75">
      <c r="A2" s="89" t="s">
        <v>321</v>
      </c>
      <c r="B2" s="90"/>
      <c r="C2" s="453" t="s">
        <v>835</v>
      </c>
      <c r="D2" s="91"/>
      <c r="E2" s="92"/>
      <c r="F2" s="93"/>
    </row>
    <row r="3" spans="1:6" ht="15.75">
      <c r="A3" s="89"/>
      <c r="B3" s="90"/>
      <c r="C3" s="90"/>
      <c r="D3" s="90"/>
      <c r="E3" s="94"/>
      <c r="F3" s="93"/>
    </row>
    <row r="4" spans="1:6" ht="15.75">
      <c r="A4" s="89" t="s">
        <v>322</v>
      </c>
      <c r="B4" s="90"/>
      <c r="C4" s="95">
        <v>2012</v>
      </c>
      <c r="D4" s="96"/>
      <c r="E4" s="94"/>
      <c r="F4" s="93"/>
    </row>
    <row r="5" spans="1:6" ht="15.75">
      <c r="A5" s="90"/>
      <c r="B5" s="90"/>
      <c r="C5" s="90"/>
      <c r="D5" s="90"/>
      <c r="E5" s="90"/>
      <c r="F5" s="90"/>
    </row>
    <row r="6" spans="1:6" ht="18.75" customHeight="1">
      <c r="A6" s="97" t="s">
        <v>672</v>
      </c>
      <c r="B6" s="98"/>
      <c r="C6" s="98"/>
      <c r="D6" s="98"/>
      <c r="E6" s="98"/>
      <c r="F6" s="98"/>
    </row>
    <row r="7" spans="1:6" ht="15.75">
      <c r="A7" s="97" t="s">
        <v>671</v>
      </c>
      <c r="B7" s="98"/>
      <c r="C7" s="98"/>
      <c r="D7" s="98"/>
      <c r="E7" s="98"/>
      <c r="F7" s="98"/>
    </row>
    <row r="8" spans="1:6" ht="15.75">
      <c r="A8" s="97"/>
      <c r="B8" s="98"/>
      <c r="C8" s="98"/>
      <c r="D8" s="98"/>
      <c r="E8" s="98"/>
      <c r="F8" s="98"/>
    </row>
    <row r="9" spans="1:6" ht="15.75">
      <c r="A9" s="730" t="s">
        <v>57</v>
      </c>
      <c r="B9" s="731"/>
      <c r="C9" s="731"/>
      <c r="D9" s="731"/>
      <c r="E9" s="731"/>
      <c r="F9" s="731"/>
    </row>
    <row r="10" spans="1:6" ht="15.75">
      <c r="A10" s="90"/>
      <c r="B10" s="90"/>
      <c r="C10" s="90"/>
      <c r="D10" s="90"/>
      <c r="E10" s="90"/>
      <c r="F10" s="90"/>
    </row>
    <row r="11" spans="1:6" ht="15.75">
      <c r="A11" s="99" t="str">
        <f>CONCATENATE("The input for the following comes directly from the ",C4-1," Budget:")</f>
        <v>The input for the following comes directly from the 2011 Budget:</v>
      </c>
      <c r="B11" s="100"/>
      <c r="C11" s="100"/>
      <c r="D11" s="100"/>
      <c r="E11" s="90"/>
      <c r="F11" s="90"/>
    </row>
    <row r="12" spans="1:6" ht="15.75">
      <c r="A12" s="101" t="s">
        <v>323</v>
      </c>
      <c r="B12" s="100"/>
      <c r="C12" s="100"/>
      <c r="D12" s="100"/>
      <c r="E12" s="90"/>
      <c r="F12" s="90"/>
    </row>
    <row r="13" spans="1:6" ht="15.75">
      <c r="A13" s="101" t="s">
        <v>352</v>
      </c>
      <c r="B13" s="100"/>
      <c r="C13" s="100"/>
      <c r="D13" s="100"/>
      <c r="E13" s="90"/>
      <c r="F13" s="90"/>
    </row>
    <row r="14" spans="1:6" ht="15.75">
      <c r="A14" s="90"/>
      <c r="B14" s="90"/>
      <c r="C14" s="102"/>
      <c r="D14" s="103">
        <f>C4-1</f>
        <v>2011</v>
      </c>
      <c r="E14" s="104" t="str">
        <f>CONCATENATE("",C4-2,"")</f>
        <v>2010</v>
      </c>
      <c r="F14" s="105">
        <f>C4-2</f>
        <v>2010</v>
      </c>
    </row>
    <row r="15" spans="1:6" ht="15.75">
      <c r="A15" s="89" t="s">
        <v>324</v>
      </c>
      <c r="B15" s="90"/>
      <c r="C15" s="106" t="s">
        <v>131</v>
      </c>
      <c r="D15" s="107" t="s">
        <v>351</v>
      </c>
      <c r="E15" s="107" t="s">
        <v>100</v>
      </c>
      <c r="F15" s="107" t="s">
        <v>74</v>
      </c>
    </row>
    <row r="16" spans="1:6" ht="15.75">
      <c r="A16" s="90"/>
      <c r="B16" s="108" t="s">
        <v>132</v>
      </c>
      <c r="C16" s="261" t="s">
        <v>285</v>
      </c>
      <c r="D16" s="110">
        <v>9986078</v>
      </c>
      <c r="E16" s="670">
        <v>4882140</v>
      </c>
      <c r="F16" s="111">
        <v>22.6</v>
      </c>
    </row>
    <row r="17" spans="1:6" ht="15.75">
      <c r="A17" s="90"/>
      <c r="B17" s="108" t="s">
        <v>1092</v>
      </c>
      <c r="C17" s="261" t="s">
        <v>325</v>
      </c>
      <c r="D17" s="110">
        <v>351</v>
      </c>
      <c r="E17" s="670"/>
      <c r="F17" s="111"/>
    </row>
    <row r="18" spans="1:6" ht="15.75">
      <c r="A18" s="89"/>
      <c r="B18" s="112" t="s">
        <v>188</v>
      </c>
      <c r="C18" s="260" t="s">
        <v>285</v>
      </c>
      <c r="D18" s="110">
        <v>2910278</v>
      </c>
      <c r="E18" s="110">
        <v>1199219</v>
      </c>
      <c r="F18" s="113">
        <v>5.551</v>
      </c>
    </row>
    <row r="19" spans="1:6" ht="15.75">
      <c r="A19" s="90"/>
      <c r="B19" s="662" t="s">
        <v>836</v>
      </c>
      <c r="C19" s="675" t="s">
        <v>860</v>
      </c>
      <c r="D19" s="110">
        <v>201829</v>
      </c>
      <c r="E19" s="116">
        <v>106812</v>
      </c>
      <c r="F19" s="111">
        <v>0.495</v>
      </c>
    </row>
    <row r="20" spans="1:6" ht="15.75">
      <c r="A20" s="90"/>
      <c r="B20" s="662" t="s">
        <v>837</v>
      </c>
      <c r="C20" s="675" t="s">
        <v>861</v>
      </c>
      <c r="D20" s="110">
        <v>329218</v>
      </c>
      <c r="E20" s="116">
        <v>287854</v>
      </c>
      <c r="F20" s="111">
        <v>1.333</v>
      </c>
    </row>
    <row r="21" spans="1:6" ht="15.75">
      <c r="A21" s="90"/>
      <c r="B21" s="662" t="s">
        <v>838</v>
      </c>
      <c r="C21" s="667" t="s">
        <v>862</v>
      </c>
      <c r="D21" s="110">
        <v>384750</v>
      </c>
      <c r="E21" s="116"/>
      <c r="F21" s="111"/>
    </row>
    <row r="22" spans="1:6" ht="15.75">
      <c r="A22" s="90"/>
      <c r="B22" s="662" t="s">
        <v>839</v>
      </c>
      <c r="C22" s="667" t="s">
        <v>863</v>
      </c>
      <c r="D22" s="110">
        <v>273682</v>
      </c>
      <c r="E22" s="116">
        <v>243889</v>
      </c>
      <c r="F22" s="111">
        <v>1.129</v>
      </c>
    </row>
    <row r="23" spans="1:6" ht="15.75">
      <c r="A23" s="90"/>
      <c r="B23" s="662" t="s">
        <v>840</v>
      </c>
      <c r="C23" s="675" t="s">
        <v>864</v>
      </c>
      <c r="D23" s="110">
        <v>14250</v>
      </c>
      <c r="E23" s="116">
        <v>12523</v>
      </c>
      <c r="F23" s="111">
        <v>0.058</v>
      </c>
    </row>
    <row r="24" spans="1:6" ht="15.75">
      <c r="A24" s="90"/>
      <c r="B24" s="662" t="s">
        <v>841</v>
      </c>
      <c r="C24" s="675" t="s">
        <v>861</v>
      </c>
      <c r="D24" s="110">
        <v>180300</v>
      </c>
      <c r="E24" s="116">
        <v>52597</v>
      </c>
      <c r="F24" s="111">
        <v>0.244</v>
      </c>
    </row>
    <row r="25" spans="1:6" ht="15.75">
      <c r="A25" s="90"/>
      <c r="B25" s="662" t="s">
        <v>842</v>
      </c>
      <c r="C25" s="675" t="s">
        <v>865</v>
      </c>
      <c r="D25" s="110">
        <v>126737</v>
      </c>
      <c r="E25" s="116">
        <v>110907</v>
      </c>
      <c r="F25" s="111">
        <v>0.513</v>
      </c>
    </row>
    <row r="26" spans="1:6" ht="15.75">
      <c r="A26" s="90"/>
      <c r="B26" s="662" t="s">
        <v>843</v>
      </c>
      <c r="C26" s="675" t="s">
        <v>866</v>
      </c>
      <c r="D26" s="110">
        <v>175653</v>
      </c>
      <c r="E26" s="116">
        <v>21168</v>
      </c>
      <c r="F26" s="111">
        <v>0.098</v>
      </c>
    </row>
    <row r="27" spans="1:6" ht="15.75">
      <c r="A27" s="90"/>
      <c r="B27" s="662" t="s">
        <v>844</v>
      </c>
      <c r="C27" s="668" t="s">
        <v>867</v>
      </c>
      <c r="D27" s="110"/>
      <c r="E27" s="116"/>
      <c r="F27" s="111"/>
    </row>
    <row r="28" spans="1:6" ht="15.75">
      <c r="A28" s="90"/>
      <c r="B28" s="662" t="s">
        <v>845</v>
      </c>
      <c r="C28" s="675" t="s">
        <v>868</v>
      </c>
      <c r="D28" s="110">
        <v>103000</v>
      </c>
      <c r="E28" s="116">
        <v>90024</v>
      </c>
      <c r="F28" s="111">
        <v>0.417</v>
      </c>
    </row>
    <row r="29" spans="1:6" ht="15.75">
      <c r="A29" s="90"/>
      <c r="B29" s="662" t="s">
        <v>846</v>
      </c>
      <c r="C29" s="675" t="s">
        <v>893</v>
      </c>
      <c r="D29" s="110">
        <v>600</v>
      </c>
      <c r="E29" s="116"/>
      <c r="F29" s="111"/>
    </row>
    <row r="30" spans="1:6" ht="15.75">
      <c r="A30" s="90"/>
      <c r="B30" s="662" t="s">
        <v>847</v>
      </c>
      <c r="C30" s="667" t="s">
        <v>865</v>
      </c>
      <c r="D30" s="110">
        <v>81907</v>
      </c>
      <c r="E30" s="116">
        <v>71795</v>
      </c>
      <c r="F30" s="111">
        <v>0.332</v>
      </c>
    </row>
    <row r="31" spans="1:6" ht="15.75">
      <c r="A31" s="90"/>
      <c r="B31" s="662" t="s">
        <v>848</v>
      </c>
      <c r="C31" s="675" t="s">
        <v>869</v>
      </c>
      <c r="D31" s="110">
        <v>217256</v>
      </c>
      <c r="E31" s="116">
        <v>179508</v>
      </c>
      <c r="F31" s="111">
        <v>0.831</v>
      </c>
    </row>
    <row r="32" spans="1:6" ht="15.75">
      <c r="A32" s="90"/>
      <c r="B32" s="662" t="s">
        <v>849</v>
      </c>
      <c r="C32" s="675" t="s">
        <v>870</v>
      </c>
      <c r="D32" s="110">
        <v>429073</v>
      </c>
      <c r="E32" s="116"/>
      <c r="F32" s="111"/>
    </row>
    <row r="33" spans="1:6" ht="15.75">
      <c r="A33" s="90"/>
      <c r="B33" s="662" t="s">
        <v>850</v>
      </c>
      <c r="C33" s="675" t="s">
        <v>871</v>
      </c>
      <c r="D33" s="110">
        <v>345206</v>
      </c>
      <c r="E33" s="116">
        <v>275249</v>
      </c>
      <c r="F33" s="111">
        <v>1.274</v>
      </c>
    </row>
    <row r="34" spans="1:6" ht="15.75">
      <c r="A34" s="90"/>
      <c r="B34" s="662" t="s">
        <v>851</v>
      </c>
      <c r="C34" s="675" t="s">
        <v>872</v>
      </c>
      <c r="D34" s="110">
        <v>3062000</v>
      </c>
      <c r="E34" s="116">
        <v>1995085</v>
      </c>
      <c r="F34" s="111">
        <v>9.236</v>
      </c>
    </row>
    <row r="35" spans="1:6" ht="15.75">
      <c r="A35" s="90"/>
      <c r="B35" s="662" t="s">
        <v>852</v>
      </c>
      <c r="C35" s="675" t="s">
        <v>873</v>
      </c>
      <c r="D35" s="110">
        <v>106000</v>
      </c>
      <c r="E35" s="116">
        <v>97905</v>
      </c>
      <c r="F35" s="111">
        <v>0.453</v>
      </c>
    </row>
    <row r="36" spans="1:6" ht="15.75">
      <c r="A36" s="90"/>
      <c r="B36" s="662" t="s">
        <v>853</v>
      </c>
      <c r="C36" s="675" t="s">
        <v>874</v>
      </c>
      <c r="D36" s="110">
        <v>150000</v>
      </c>
      <c r="E36" s="116">
        <v>126465</v>
      </c>
      <c r="F36" s="111">
        <v>0.585</v>
      </c>
    </row>
    <row r="37" spans="1:6" ht="15.75">
      <c r="A37" s="90"/>
      <c r="B37" s="662" t="s">
        <v>854</v>
      </c>
      <c r="C37" s="675" t="s">
        <v>875</v>
      </c>
      <c r="D37" s="110">
        <v>210128</v>
      </c>
      <c r="E37" s="116">
        <v>136027</v>
      </c>
      <c r="F37" s="111">
        <v>0.63</v>
      </c>
    </row>
    <row r="38" spans="1:6" ht="15.75">
      <c r="A38" s="90"/>
      <c r="B38" s="662" t="s">
        <v>855</v>
      </c>
      <c r="C38" s="675" t="s">
        <v>894</v>
      </c>
      <c r="D38" s="110">
        <v>254949</v>
      </c>
      <c r="E38" s="116"/>
      <c r="F38" s="111"/>
    </row>
    <row r="39" spans="1:6" ht="15.75">
      <c r="A39" s="90"/>
      <c r="B39" s="662" t="s">
        <v>856</v>
      </c>
      <c r="C39" s="675" t="s">
        <v>876</v>
      </c>
      <c r="D39" s="110">
        <v>341477</v>
      </c>
      <c r="E39" s="116"/>
      <c r="F39" s="111"/>
    </row>
    <row r="40" spans="1:6" ht="15.75">
      <c r="A40" s="90"/>
      <c r="B40" s="114" t="s">
        <v>857</v>
      </c>
      <c r="C40" s="675" t="s">
        <v>325</v>
      </c>
      <c r="D40" s="110">
        <v>2351000</v>
      </c>
      <c r="E40" s="116">
        <v>869158</v>
      </c>
      <c r="F40" s="111">
        <v>4.024</v>
      </c>
    </row>
    <row r="41" spans="1:6" ht="15.75">
      <c r="A41" s="90"/>
      <c r="B41" s="669" t="s">
        <v>858</v>
      </c>
      <c r="C41" s="666" t="s">
        <v>895</v>
      </c>
      <c r="D41" s="110">
        <v>670000</v>
      </c>
      <c r="E41" s="116">
        <v>592552</v>
      </c>
      <c r="F41" s="111">
        <v>2.743</v>
      </c>
    </row>
    <row r="42" spans="1:6" ht="15.75">
      <c r="A42" s="90"/>
      <c r="B42" s="669" t="s">
        <v>859</v>
      </c>
      <c r="C42" s="673" t="s">
        <v>896</v>
      </c>
      <c r="D42" s="110">
        <v>138000</v>
      </c>
      <c r="E42" s="116">
        <v>125331</v>
      </c>
      <c r="F42" s="111">
        <v>0.58</v>
      </c>
    </row>
    <row r="43" spans="1:6" ht="15.75">
      <c r="A43" s="117" t="str">
        <f>CONCATENATE("Total Tax Levy Funds Levy Amounts and Levy Rates for ",C4-1," Budget")</f>
        <v>Total Tax Levy Funds Levy Amounts and Levy Rates for 2011 Budget</v>
      </c>
      <c r="B43" s="118"/>
      <c r="C43" s="118"/>
      <c r="D43" s="119"/>
      <c r="E43" s="671">
        <f>SUM(E16:E42)</f>
        <v>11476208</v>
      </c>
      <c r="F43" s="120">
        <f>SUM(F16:F42)</f>
        <v>53.126000000000026</v>
      </c>
    </row>
    <row r="44" spans="1:6" ht="15.75">
      <c r="A44" s="89" t="s">
        <v>28</v>
      </c>
      <c r="B44" s="90"/>
      <c r="C44" s="90"/>
      <c r="D44" s="90"/>
      <c r="E44" s="90"/>
      <c r="F44" s="90"/>
    </row>
    <row r="45" spans="1:6" ht="15.75">
      <c r="A45" s="90"/>
      <c r="B45" s="672" t="s">
        <v>877</v>
      </c>
      <c r="C45" s="90"/>
      <c r="D45" s="110">
        <v>1677000</v>
      </c>
      <c r="E45" s="90"/>
      <c r="F45" s="90"/>
    </row>
    <row r="46" spans="1:6" ht="15.75">
      <c r="A46" s="90"/>
      <c r="B46" s="672" t="s">
        <v>878</v>
      </c>
      <c r="C46" s="90"/>
      <c r="D46" s="110">
        <v>119226</v>
      </c>
      <c r="E46" s="90"/>
      <c r="F46" s="90"/>
    </row>
    <row r="47" spans="1:6" ht="15.75">
      <c r="A47" s="90"/>
      <c r="B47" s="672" t="s">
        <v>879</v>
      </c>
      <c r="C47" s="90"/>
      <c r="D47" s="110">
        <v>691790</v>
      </c>
      <c r="E47" s="90"/>
      <c r="F47" s="90"/>
    </row>
    <row r="48" spans="1:6" ht="15.75">
      <c r="A48" s="90"/>
      <c r="B48" s="672" t="s">
        <v>880</v>
      </c>
      <c r="C48" s="90"/>
      <c r="D48" s="110">
        <v>3893</v>
      </c>
      <c r="E48" s="90"/>
      <c r="F48" s="90"/>
    </row>
    <row r="49" spans="1:6" ht="15.75">
      <c r="A49" s="90"/>
      <c r="B49" s="672" t="s">
        <v>881</v>
      </c>
      <c r="C49" s="90"/>
      <c r="D49" s="110">
        <v>195787</v>
      </c>
      <c r="E49" s="90"/>
      <c r="F49" s="90"/>
    </row>
    <row r="50" spans="1:6" ht="15.75">
      <c r="A50" s="90"/>
      <c r="B50" s="672" t="s">
        <v>882</v>
      </c>
      <c r="C50" s="90"/>
      <c r="D50" s="110">
        <v>1136385</v>
      </c>
      <c r="E50" s="90"/>
      <c r="F50" s="90"/>
    </row>
    <row r="51" spans="1:6" ht="15.75">
      <c r="A51" s="90"/>
      <c r="B51" s="672" t="s">
        <v>883</v>
      </c>
      <c r="C51" s="90"/>
      <c r="D51" s="110"/>
      <c r="E51" s="90"/>
      <c r="F51" s="90"/>
    </row>
    <row r="52" spans="1:6" ht="15.75">
      <c r="A52" s="90"/>
      <c r="B52" s="672" t="s">
        <v>884</v>
      </c>
      <c r="C52" s="90"/>
      <c r="D52" s="110">
        <v>438400</v>
      </c>
      <c r="E52" s="90"/>
      <c r="F52" s="90"/>
    </row>
    <row r="53" spans="1:6" ht="15.75">
      <c r="A53" s="90"/>
      <c r="B53" s="672" t="s">
        <v>885</v>
      </c>
      <c r="C53" s="90"/>
      <c r="D53" s="110">
        <v>8900</v>
      </c>
      <c r="E53" s="90"/>
      <c r="F53" s="90"/>
    </row>
    <row r="54" spans="1:6" ht="15.75">
      <c r="A54" s="90"/>
      <c r="B54" s="672" t="s">
        <v>886</v>
      </c>
      <c r="C54" s="90"/>
      <c r="D54" s="110">
        <v>452042</v>
      </c>
      <c r="E54" s="90"/>
      <c r="F54" s="90"/>
    </row>
    <row r="55" spans="1:6" ht="15.75">
      <c r="A55" s="90"/>
      <c r="B55" s="672" t="s">
        <v>887</v>
      </c>
      <c r="C55" s="90"/>
      <c r="D55" s="110">
        <v>194721</v>
      </c>
      <c r="E55" s="90"/>
      <c r="F55" s="90"/>
    </row>
    <row r="56" spans="1:6" ht="15.75">
      <c r="A56" s="90"/>
      <c r="B56" s="672" t="s">
        <v>888</v>
      </c>
      <c r="C56" s="90"/>
      <c r="D56" s="110">
        <v>30000</v>
      </c>
      <c r="E56" s="90"/>
      <c r="F56" s="90"/>
    </row>
    <row r="57" spans="1:6" ht="15.75">
      <c r="A57" s="90"/>
      <c r="B57" s="111"/>
      <c r="C57" s="90"/>
      <c r="D57" s="110"/>
      <c r="E57" s="90"/>
      <c r="F57" s="90"/>
    </row>
    <row r="58" spans="1:6" ht="15.75">
      <c r="A58" s="90"/>
      <c r="B58" s="111"/>
      <c r="C58" s="90"/>
      <c r="D58" s="110"/>
      <c r="E58" s="90"/>
      <c r="F58" s="90"/>
    </row>
    <row r="59" spans="1:6" ht="15.75">
      <c r="A59" s="90"/>
      <c r="B59" s="111"/>
      <c r="C59" s="90"/>
      <c r="D59" s="110"/>
      <c r="E59" s="90"/>
      <c r="F59" s="90"/>
    </row>
    <row r="60" spans="1:6" ht="15.75">
      <c r="A60" s="90"/>
      <c r="B60" s="111"/>
      <c r="C60" s="90"/>
      <c r="D60" s="110"/>
      <c r="E60" s="90"/>
      <c r="F60" s="90"/>
    </row>
    <row r="61" spans="1:6" ht="15.75">
      <c r="A61" s="117" t="str">
        <f>CONCATENATE("Total Expenditures for ",C4-1," Budgeted Year")</f>
        <v>Total Expenditures for 2011 Budgeted Year</v>
      </c>
      <c r="B61" s="121"/>
      <c r="C61" s="122"/>
      <c r="D61" s="123">
        <f>SUM(D16:D42,D45:D60)</f>
        <v>27991866</v>
      </c>
      <c r="E61" s="90"/>
      <c r="F61" s="90"/>
    </row>
    <row r="62" spans="1:6" ht="15.75">
      <c r="A62" s="124"/>
      <c r="B62" s="125"/>
      <c r="C62" s="90"/>
      <c r="D62" s="126"/>
      <c r="E62" s="90"/>
      <c r="F62" s="90"/>
    </row>
    <row r="63" spans="1:6" ht="15.75">
      <c r="A63" s="90" t="s">
        <v>14</v>
      </c>
      <c r="B63" s="125"/>
      <c r="C63" s="90"/>
      <c r="D63" s="90"/>
      <c r="E63" s="90"/>
      <c r="F63" s="90"/>
    </row>
    <row r="64" spans="1:6" ht="15.75">
      <c r="A64" s="90">
        <v>1</v>
      </c>
      <c r="B64" s="672" t="s">
        <v>889</v>
      </c>
      <c r="C64" s="90"/>
      <c r="D64" s="90"/>
      <c r="E64" s="90"/>
      <c r="F64" s="90"/>
    </row>
    <row r="65" spans="1:6" ht="15.75">
      <c r="A65" s="90">
        <v>2</v>
      </c>
      <c r="B65" s="672" t="s">
        <v>890</v>
      </c>
      <c r="C65" s="90"/>
      <c r="D65" s="90"/>
      <c r="E65" s="90"/>
      <c r="F65" s="90"/>
    </row>
    <row r="66" spans="1:6" ht="15.75">
      <c r="A66" s="90">
        <v>3</v>
      </c>
      <c r="B66" s="672" t="s">
        <v>891</v>
      </c>
      <c r="C66" s="90"/>
      <c r="D66" s="90"/>
      <c r="E66" s="90"/>
      <c r="F66" s="90"/>
    </row>
    <row r="67" spans="1:6" ht="15.75">
      <c r="A67" s="90">
        <v>4</v>
      </c>
      <c r="B67" s="111" t="s">
        <v>1069</v>
      </c>
      <c r="C67" s="90"/>
      <c r="D67" s="90"/>
      <c r="E67" s="90"/>
      <c r="F67" s="90"/>
    </row>
    <row r="68" spans="1:6" ht="15.75">
      <c r="A68" s="90">
        <v>5</v>
      </c>
      <c r="B68" s="111"/>
      <c r="C68" s="90"/>
      <c r="D68" s="90"/>
      <c r="E68" s="90"/>
      <c r="F68" s="90"/>
    </row>
    <row r="69" spans="1:6" ht="15.75">
      <c r="A69" s="90" t="s">
        <v>23</v>
      </c>
      <c r="B69" s="125"/>
      <c r="C69" s="90"/>
      <c r="D69" s="90"/>
      <c r="E69" s="90"/>
      <c r="F69" s="90"/>
    </row>
    <row r="70" spans="1:6" ht="15.75">
      <c r="A70" s="90">
        <v>1</v>
      </c>
      <c r="B70" s="111"/>
      <c r="C70" s="90"/>
      <c r="D70" s="90"/>
      <c r="E70" s="90"/>
      <c r="F70" s="90"/>
    </row>
    <row r="71" spans="1:6" ht="15.75">
      <c r="A71" s="90">
        <v>2</v>
      </c>
      <c r="B71" s="111"/>
      <c r="C71" s="90"/>
      <c r="D71" s="90"/>
      <c r="E71" s="90"/>
      <c r="F71" s="90"/>
    </row>
    <row r="72" spans="1:6" ht="15.75">
      <c r="A72" s="90">
        <v>3</v>
      </c>
      <c r="B72" s="111"/>
      <c r="C72" s="90"/>
      <c r="D72" s="90"/>
      <c r="E72" s="90"/>
      <c r="F72" s="90"/>
    </row>
    <row r="73" spans="1:6" ht="15.75">
      <c r="A73" s="90">
        <v>4</v>
      </c>
      <c r="B73" s="111"/>
      <c r="C73" s="90"/>
      <c r="D73" s="90"/>
      <c r="E73" s="90"/>
      <c r="F73" s="90"/>
    </row>
    <row r="74" spans="1:6" ht="15.75">
      <c r="A74" s="90">
        <v>5</v>
      </c>
      <c r="B74" s="111"/>
      <c r="C74" s="90"/>
      <c r="D74" s="90"/>
      <c r="E74" s="90"/>
      <c r="F74" s="90"/>
    </row>
    <row r="75" spans="1:6" ht="15.75">
      <c r="A75" s="90" t="s">
        <v>25</v>
      </c>
      <c r="B75" s="125"/>
      <c r="C75" s="90"/>
      <c r="D75" s="90"/>
      <c r="E75" s="90"/>
      <c r="F75" s="90"/>
    </row>
    <row r="76" spans="1:6" ht="15.75">
      <c r="A76" s="90">
        <v>1</v>
      </c>
      <c r="B76" s="111"/>
      <c r="C76" s="90"/>
      <c r="D76" s="90"/>
      <c r="E76" s="90"/>
      <c r="F76" s="90"/>
    </row>
    <row r="77" spans="1:6" ht="15.75">
      <c r="A77" s="90">
        <v>2</v>
      </c>
      <c r="B77" s="111"/>
      <c r="C77" s="90"/>
      <c r="D77" s="90"/>
      <c r="E77" s="90"/>
      <c r="F77" s="90"/>
    </row>
    <row r="78" spans="1:6" ht="15.75">
      <c r="A78" s="90">
        <v>3</v>
      </c>
      <c r="B78" s="111"/>
      <c r="C78" s="90"/>
      <c r="D78" s="90"/>
      <c r="E78" s="90"/>
      <c r="F78" s="90"/>
    </row>
    <row r="79" spans="1:6" ht="15.75">
      <c r="A79" s="90">
        <v>4</v>
      </c>
      <c r="B79" s="111"/>
      <c r="C79" s="90"/>
      <c r="D79" s="90"/>
      <c r="E79" s="90"/>
      <c r="F79" s="90"/>
    </row>
    <row r="80" spans="1:6" ht="15.75">
      <c r="A80" s="90">
        <v>5</v>
      </c>
      <c r="B80" s="111"/>
      <c r="C80" s="90"/>
      <c r="D80" s="90"/>
      <c r="E80" s="90"/>
      <c r="F80" s="90"/>
    </row>
    <row r="81" spans="1:6" ht="15.75">
      <c r="A81" s="90" t="s">
        <v>27</v>
      </c>
      <c r="B81" s="125"/>
      <c r="C81" s="90"/>
      <c r="D81" s="90"/>
      <c r="E81" s="90"/>
      <c r="F81" s="90"/>
    </row>
    <row r="82" spans="1:6" ht="15.75">
      <c r="A82" s="90">
        <v>1</v>
      </c>
      <c r="B82" s="111"/>
      <c r="C82" s="90"/>
      <c r="D82" s="90"/>
      <c r="E82" s="90"/>
      <c r="F82" s="90"/>
    </row>
    <row r="83" spans="1:6" ht="15.75">
      <c r="A83" s="90">
        <v>2</v>
      </c>
      <c r="B83" s="111"/>
      <c r="C83" s="90"/>
      <c r="D83" s="90"/>
      <c r="E83" s="90"/>
      <c r="F83" s="90"/>
    </row>
    <row r="84" spans="1:6" ht="15.75">
      <c r="A84" s="90">
        <v>3</v>
      </c>
      <c r="B84" s="111"/>
      <c r="C84" s="90"/>
      <c r="D84" s="90"/>
      <c r="E84" s="90"/>
      <c r="F84" s="90"/>
    </row>
    <row r="85" spans="1:6" ht="15.75">
      <c r="A85" s="90">
        <v>4</v>
      </c>
      <c r="B85" s="111"/>
      <c r="C85" s="90"/>
      <c r="D85" s="90"/>
      <c r="E85" s="90"/>
      <c r="F85" s="90"/>
    </row>
    <row r="86" spans="1:6" ht="15.75">
      <c r="A86" s="90">
        <v>5</v>
      </c>
      <c r="B86" s="111"/>
      <c r="C86" s="90"/>
      <c r="D86" s="90"/>
      <c r="E86" s="90"/>
      <c r="F86" s="90"/>
    </row>
    <row r="87" spans="1:6" ht="15.75">
      <c r="A87" s="117" t="str">
        <f>CONCATENATE("County's Final Assessed Valuation for ",C4-1," (November 1,",C4-2," Abstract):")</f>
        <v>County's Final Assessed Valuation for 2011 (November 1,2010 Abstract):</v>
      </c>
      <c r="B87" s="118"/>
      <c r="C87" s="118"/>
      <c r="D87" s="118"/>
      <c r="E87" s="122"/>
      <c r="F87" s="116">
        <v>216021142</v>
      </c>
    </row>
    <row r="88" spans="1:6" ht="15.75">
      <c r="A88" s="89"/>
      <c r="B88" s="90"/>
      <c r="C88" s="90"/>
      <c r="D88" s="90"/>
      <c r="E88" s="90"/>
      <c r="F88" s="90"/>
    </row>
    <row r="89" spans="1:6" ht="15.75">
      <c r="A89" s="90"/>
      <c r="B89" s="90"/>
      <c r="C89" s="90"/>
      <c r="D89" s="90"/>
      <c r="E89" s="90"/>
      <c r="F89" s="90"/>
    </row>
    <row r="90" spans="1:6" ht="15.75">
      <c r="A90" s="127" t="str">
        <f>CONCATENATE("From the ",C4-1," Budget:")</f>
        <v>From the 2011 Budget:</v>
      </c>
      <c r="B90" s="100"/>
      <c r="C90" s="90"/>
      <c r="D90" s="728" t="str">
        <f>CONCATENATE("",C4-3," Tax Rate (",C4-2," Column)")</f>
        <v>2009 Tax Rate (2010 Column)</v>
      </c>
      <c r="E90" s="128"/>
      <c r="F90" s="90"/>
    </row>
    <row r="91" spans="1:6" ht="15.75">
      <c r="A91" s="127" t="s">
        <v>123</v>
      </c>
      <c r="B91" s="129"/>
      <c r="C91" s="90"/>
      <c r="D91" s="729"/>
      <c r="E91" s="128"/>
      <c r="F91" s="90"/>
    </row>
    <row r="92" spans="1:6" ht="15.75">
      <c r="A92" s="90"/>
      <c r="B92" s="130" t="str">
        <f aca="true" t="shared" si="0" ref="B92:B118">B16</f>
        <v>General</v>
      </c>
      <c r="C92" s="90"/>
      <c r="D92" s="111">
        <v>20.917</v>
      </c>
      <c r="E92" s="128"/>
      <c r="F92" s="90"/>
    </row>
    <row r="93" spans="1:6" ht="15.75">
      <c r="A93" s="90"/>
      <c r="B93" s="130" t="str">
        <f t="shared" si="0"/>
        <v>Debt Service (14)</v>
      </c>
      <c r="C93" s="90"/>
      <c r="D93" s="111"/>
      <c r="E93" s="128"/>
      <c r="F93" s="90"/>
    </row>
    <row r="94" spans="1:6" ht="15.75">
      <c r="A94" s="90"/>
      <c r="B94" s="130" t="str">
        <f t="shared" si="0"/>
        <v>Road &amp; Bridge</v>
      </c>
      <c r="C94" s="90"/>
      <c r="D94" s="113">
        <v>5.464</v>
      </c>
      <c r="E94" s="128"/>
      <c r="F94" s="90"/>
    </row>
    <row r="95" spans="1:6" ht="15.75">
      <c r="A95" s="90"/>
      <c r="B95" s="130" t="str">
        <f t="shared" si="0"/>
        <v>Noxious Weed (5)</v>
      </c>
      <c r="C95" s="90"/>
      <c r="D95" s="111">
        <v>0.74</v>
      </c>
      <c r="E95" s="128"/>
      <c r="F95" s="90"/>
    </row>
    <row r="96" spans="1:6" ht="15.75">
      <c r="A96" s="90"/>
      <c r="B96" s="130" t="str">
        <f t="shared" si="0"/>
        <v>Health Fund (6)</v>
      </c>
      <c r="C96" s="90"/>
      <c r="D96" s="111">
        <v>1.434</v>
      </c>
      <c r="E96" s="128"/>
      <c r="F96" s="90"/>
    </row>
    <row r="97" spans="1:6" ht="15.75">
      <c r="A97" s="90"/>
      <c r="B97" s="130" t="str">
        <f t="shared" si="0"/>
        <v>Special Bridge (4)</v>
      </c>
      <c r="C97" s="90"/>
      <c r="D97" s="111">
        <v>0.499</v>
      </c>
      <c r="E97" s="128"/>
      <c r="F97" s="90"/>
    </row>
    <row r="98" spans="1:6" ht="15.75">
      <c r="A98" s="90"/>
      <c r="B98" s="130" t="str">
        <f t="shared" si="0"/>
        <v>Extension Council (7)</v>
      </c>
      <c r="C98" s="90"/>
      <c r="D98" s="111">
        <v>1.235</v>
      </c>
      <c r="E98" s="128"/>
      <c r="F98" s="90"/>
    </row>
    <row r="99" spans="1:6" ht="15.75">
      <c r="A99" s="90"/>
      <c r="B99" s="130" t="str">
        <f t="shared" si="0"/>
        <v>Free Fair (60)</v>
      </c>
      <c r="C99" s="90"/>
      <c r="D99" s="111">
        <v>0.071</v>
      </c>
      <c r="E99" s="128"/>
      <c r="F99" s="90"/>
    </row>
    <row r="100" spans="1:6" ht="15.75">
      <c r="A100" s="90"/>
      <c r="B100" s="130" t="str">
        <f t="shared" si="0"/>
        <v>Animal Shelter (29)</v>
      </c>
      <c r="C100" s="90"/>
      <c r="D100" s="111"/>
      <c r="E100" s="128"/>
      <c r="F100" s="90"/>
    </row>
    <row r="101" spans="1:6" ht="15.75">
      <c r="A101" s="90"/>
      <c r="B101" s="130" t="str">
        <f t="shared" si="0"/>
        <v>Mental Health (10)</v>
      </c>
      <c r="C101" s="90"/>
      <c r="D101" s="111">
        <v>0.554</v>
      </c>
      <c r="E101" s="128"/>
      <c r="F101" s="90"/>
    </row>
    <row r="102" spans="1:6" ht="15.75">
      <c r="A102" s="90"/>
      <c r="B102" s="130" t="str">
        <f t="shared" si="0"/>
        <v>Election (11)</v>
      </c>
      <c r="C102" s="90"/>
      <c r="D102" s="111">
        <v>0.71</v>
      </c>
      <c r="E102" s="128"/>
      <c r="F102" s="90"/>
    </row>
    <row r="103" spans="1:6" ht="15.75">
      <c r="A103" s="90"/>
      <c r="B103" s="130" t="str">
        <f t="shared" si="0"/>
        <v>Special Assessments (20)</v>
      </c>
      <c r="C103" s="90"/>
      <c r="D103" s="111"/>
      <c r="E103" s="128"/>
      <c r="F103" s="90"/>
    </row>
    <row r="104" spans="1:6" ht="15.75">
      <c r="A104" s="90"/>
      <c r="B104" s="130" t="str">
        <f t="shared" si="0"/>
        <v>Senior Citizens (22)</v>
      </c>
      <c r="C104" s="90"/>
      <c r="D104" s="111">
        <v>0.449</v>
      </c>
      <c r="E104" s="128"/>
      <c r="F104" s="90"/>
    </row>
    <row r="105" spans="1:6" ht="15.75">
      <c r="A105" s="90"/>
      <c r="B105" s="130" t="str">
        <f t="shared" si="0"/>
        <v>Community College (15)</v>
      </c>
      <c r="C105" s="90"/>
      <c r="D105" s="111"/>
      <c r="E105" s="128"/>
      <c r="F105" s="90"/>
    </row>
    <row r="106" spans="1:6" ht="15.75">
      <c r="A106" s="90"/>
      <c r="B106" s="130" t="str">
        <f t="shared" si="0"/>
        <v>Mental Retardation (19)</v>
      </c>
      <c r="C106" s="90"/>
      <c r="D106" s="111">
        <v>0.358</v>
      </c>
      <c r="E106" s="128"/>
      <c r="F106" s="90"/>
    </row>
    <row r="107" spans="1:6" ht="15.75">
      <c r="A107" s="90"/>
      <c r="B107" s="130" t="str">
        <f t="shared" si="0"/>
        <v>Economic Development (18)</v>
      </c>
      <c r="C107" s="90"/>
      <c r="D107" s="111">
        <v>1.116</v>
      </c>
      <c r="E107" s="128"/>
      <c r="F107" s="90"/>
    </row>
    <row r="108" spans="1:6" ht="15.75">
      <c r="A108" s="90"/>
      <c r="B108" s="130" t="str">
        <f t="shared" si="0"/>
        <v>Law Enforcement (17)</v>
      </c>
      <c r="C108" s="90"/>
      <c r="D108" s="111"/>
      <c r="E108" s="128"/>
      <c r="F108" s="90"/>
    </row>
    <row r="109" spans="1:6" ht="15.75">
      <c r="A109" s="90"/>
      <c r="B109" s="130" t="str">
        <f t="shared" si="0"/>
        <v>Appraisers Cost (2)</v>
      </c>
      <c r="C109" s="90"/>
      <c r="D109" s="111">
        <v>1.431</v>
      </c>
      <c r="E109" s="128"/>
      <c r="F109" s="90"/>
    </row>
    <row r="110" spans="1:6" ht="15.75">
      <c r="A110" s="90"/>
      <c r="B110" s="130" t="str">
        <f t="shared" si="0"/>
        <v>Employee Benefits (12)</v>
      </c>
      <c r="C110" s="90"/>
      <c r="D110" s="111">
        <v>5.504</v>
      </c>
      <c r="E110" s="128"/>
      <c r="F110" s="90"/>
    </row>
    <row r="111" spans="1:6" ht="15.75">
      <c r="A111" s="90"/>
      <c r="B111" s="130" t="str">
        <f t="shared" si="0"/>
        <v>Historical (65)</v>
      </c>
      <c r="C111" s="90"/>
      <c r="D111" s="111">
        <v>0.363</v>
      </c>
      <c r="E111" s="128"/>
      <c r="F111" s="90"/>
    </row>
    <row r="112" spans="1:6" ht="15.75">
      <c r="A112" s="90"/>
      <c r="B112" s="130" t="str">
        <f t="shared" si="0"/>
        <v>Hospital (33)</v>
      </c>
      <c r="C112" s="90"/>
      <c r="D112" s="111">
        <v>0.913</v>
      </c>
      <c r="E112" s="128"/>
      <c r="F112" s="90"/>
    </row>
    <row r="113" spans="1:6" ht="15.75">
      <c r="A113" s="90"/>
      <c r="B113" s="130" t="str">
        <f t="shared" si="0"/>
        <v>Juvenile Detention (68)</v>
      </c>
      <c r="C113" s="90"/>
      <c r="D113" s="111">
        <v>0.33</v>
      </c>
      <c r="E113" s="128"/>
      <c r="F113" s="90"/>
    </row>
    <row r="114" spans="1:6" ht="15.75">
      <c r="A114" s="90"/>
      <c r="B114" s="130" t="str">
        <f t="shared" si="0"/>
        <v>PBC - Cloud Co CC (25)</v>
      </c>
      <c r="C114" s="90"/>
      <c r="D114" s="111"/>
      <c r="E114" s="128"/>
      <c r="F114" s="90"/>
    </row>
    <row r="115" spans="1:6" ht="15.75">
      <c r="A115" s="90"/>
      <c r="B115" s="130" t="str">
        <f t="shared" si="0"/>
        <v>Capital Improvements (44)</v>
      </c>
      <c r="C115" s="90"/>
      <c r="D115" s="111"/>
      <c r="E115" s="128"/>
      <c r="F115" s="90"/>
    </row>
    <row r="116" spans="1:6" ht="15.75">
      <c r="A116" s="90"/>
      <c r="B116" s="130" t="str">
        <f t="shared" si="0"/>
        <v>Geary Comm Hosp B&amp;I (27)</v>
      </c>
      <c r="C116" s="90"/>
      <c r="D116" s="111">
        <v>3.99</v>
      </c>
      <c r="E116" s="128"/>
      <c r="F116" s="90"/>
    </row>
    <row r="117" spans="1:6" ht="15.75">
      <c r="A117" s="90"/>
      <c r="B117" s="130" t="str">
        <f t="shared" si="0"/>
        <v>Co. Neighborhood Revital (35)</v>
      </c>
      <c r="C117" s="90"/>
      <c r="D117" s="674">
        <v>2.905</v>
      </c>
      <c r="E117" s="128"/>
      <c r="F117" s="90"/>
    </row>
    <row r="118" spans="1:6" ht="15.75">
      <c r="A118" s="90"/>
      <c r="B118" s="130" t="str">
        <f t="shared" si="0"/>
        <v>Co. The Bluffs TIF District (36)</v>
      </c>
      <c r="C118" s="90"/>
      <c r="D118" s="674">
        <v>0.615</v>
      </c>
      <c r="E118" s="128"/>
      <c r="F118" s="90"/>
    </row>
    <row r="119" spans="1:6" ht="15.75">
      <c r="A119" s="118" t="s">
        <v>133</v>
      </c>
      <c r="B119" s="118"/>
      <c r="C119" s="122"/>
      <c r="D119" s="120">
        <f>SUM(D92:D118)</f>
        <v>49.59799999999999</v>
      </c>
      <c r="E119" s="128"/>
      <c r="F119" s="90"/>
    </row>
    <row r="120" spans="1:6" ht="15.75">
      <c r="A120" s="90"/>
      <c r="B120" s="90"/>
      <c r="C120" s="90"/>
      <c r="D120" s="90"/>
      <c r="E120" s="90"/>
      <c r="F120" s="90"/>
    </row>
    <row r="121" spans="1:6" ht="15.75">
      <c r="A121" s="131" t="str">
        <f>CONCATENATE("Total Tax Levied (",C4-2," budget column)")</f>
        <v>Total Tax Levied (2010 budget column)</v>
      </c>
      <c r="B121" s="132"/>
      <c r="C121" s="118"/>
      <c r="D121" s="118"/>
      <c r="E121" s="122"/>
      <c r="F121" s="116">
        <v>10511357</v>
      </c>
    </row>
    <row r="122" spans="1:6" ht="15.75">
      <c r="A122" s="133" t="str">
        <f>CONCATENATE("Assessed Valuation  (",C4-2," budget column)")</f>
        <v>Assessed Valuation  (2010 budget column)</v>
      </c>
      <c r="B122" s="134"/>
      <c r="C122" s="135"/>
      <c r="D122" s="135"/>
      <c r="E122" s="119"/>
      <c r="F122" s="116">
        <v>211937573</v>
      </c>
    </row>
    <row r="123" spans="1:6" ht="15.75">
      <c r="A123" s="124"/>
      <c r="B123" s="93"/>
      <c r="C123" s="93"/>
      <c r="D123" s="93"/>
      <c r="E123" s="93"/>
      <c r="F123" s="136"/>
    </row>
    <row r="124" spans="1:6" ht="15.75">
      <c r="A124" s="137" t="str">
        <f>CONCATENATE("From the ",C4-1," Budget, Budget Summary Page:")</f>
        <v>From the 2011 Budget, Budget Summary Page:</v>
      </c>
      <c r="B124" s="138"/>
      <c r="C124" s="128"/>
      <c r="D124" s="128"/>
      <c r="E124" s="128"/>
      <c r="F124" s="128"/>
    </row>
    <row r="125" spans="1:6" ht="15.75">
      <c r="A125" s="139" t="s">
        <v>0</v>
      </c>
      <c r="B125" s="139"/>
      <c r="C125" s="140"/>
      <c r="D125" s="141">
        <f>C4-3</f>
        <v>2009</v>
      </c>
      <c r="E125" s="142">
        <f>C4-2</f>
        <v>2010</v>
      </c>
      <c r="F125" s="128"/>
    </row>
    <row r="126" spans="1:6" ht="15.75">
      <c r="A126" s="143" t="s">
        <v>1</v>
      </c>
      <c r="B126" s="143"/>
      <c r="C126" s="144"/>
      <c r="D126" s="110">
        <v>33825000</v>
      </c>
      <c r="E126" s="110">
        <v>33440000</v>
      </c>
      <c r="F126" s="128"/>
    </row>
    <row r="127" spans="1:6" s="146" customFormat="1" ht="15.75">
      <c r="A127" s="145" t="s">
        <v>2</v>
      </c>
      <c r="B127" s="145"/>
      <c r="C127" s="144"/>
      <c r="D127" s="110"/>
      <c r="E127" s="110"/>
      <c r="F127" s="140"/>
    </row>
    <row r="128" spans="1:6" s="146" customFormat="1" ht="15.75">
      <c r="A128" s="145" t="s">
        <v>3</v>
      </c>
      <c r="B128" s="145"/>
      <c r="C128" s="144"/>
      <c r="D128" s="110"/>
      <c r="E128" s="110"/>
      <c r="F128" s="140"/>
    </row>
    <row r="129" spans="1:6" s="146" customFormat="1" ht="15.75">
      <c r="A129" s="145" t="s">
        <v>4</v>
      </c>
      <c r="B129" s="145"/>
      <c r="C129" s="144"/>
      <c r="D129" s="110">
        <v>367500</v>
      </c>
      <c r="E129" s="110">
        <v>245000</v>
      </c>
      <c r="F129" s="140"/>
    </row>
    <row r="130" s="146" customFormat="1" ht="15.75"/>
  </sheetData>
  <sheetProtection sheet="1"/>
  <mergeCells count="3">
    <mergeCell ref="D90:D91"/>
    <mergeCell ref="A9:F9"/>
    <mergeCell ref="A1:F1"/>
  </mergeCells>
  <printOptions/>
  <pageMargins left="0.5" right="0.5" top="1" bottom="0.5" header="0.5" footer="0.25"/>
  <pageSetup blackAndWhite="1" fitToHeight="3" fitToWidth="1" horizontalDpi="120" verticalDpi="120" orientation="portrait" scale="94" r:id="rId1"/>
</worksheet>
</file>

<file path=xl/worksheets/sheet20.xml><?xml version="1.0" encoding="utf-8"?>
<worksheet xmlns="http://schemas.openxmlformats.org/spreadsheetml/2006/main" xmlns:r="http://schemas.openxmlformats.org/officeDocument/2006/relationships">
  <sheetPr>
    <pageSetUpPr fitToPage="1"/>
  </sheetPr>
  <dimension ref="B1:F88"/>
  <sheetViews>
    <sheetView zoomScale="85" zoomScaleNormal="85" zoomScalePageLayoutView="0" workbookViewId="0" topLeftCell="A17">
      <selection activeCell="H67" sqref="H67"/>
    </sheetView>
  </sheetViews>
  <sheetFormatPr defaultColWidth="8.796875" defaultRowHeight="15"/>
  <cols>
    <col min="1" max="1" width="2.3984375" style="77" customWidth="1"/>
    <col min="2" max="2" width="31.09765625" style="77" customWidth="1"/>
    <col min="3" max="4" width="15.796875" style="77" customWidth="1"/>
    <col min="5" max="5" width="16.19921875" style="77" customWidth="1"/>
    <col min="6" max="16384" width="8.8984375" style="77" customWidth="1"/>
  </cols>
  <sheetData>
    <row r="1" spans="2:5" ht="15.75">
      <c r="B1" s="237" t="str">
        <f>(inputPrYr!C2)</f>
        <v>Geary County</v>
      </c>
      <c r="C1" s="90"/>
      <c r="D1" s="90"/>
      <c r="E1" s="294">
        <f>inputPrYr!C4</f>
        <v>2012</v>
      </c>
    </row>
    <row r="2" spans="2:5" ht="15.75">
      <c r="B2" s="90"/>
      <c r="C2" s="90"/>
      <c r="D2" s="90"/>
      <c r="E2" s="249"/>
    </row>
    <row r="3" spans="2:5" ht="15.75">
      <c r="B3" s="155" t="s">
        <v>239</v>
      </c>
      <c r="C3" s="340"/>
      <c r="D3" s="340"/>
      <c r="E3" s="341"/>
    </row>
    <row r="4" spans="2:5" ht="15.75">
      <c r="B4" s="90"/>
      <c r="C4" s="334"/>
      <c r="D4" s="334"/>
      <c r="E4" s="334"/>
    </row>
    <row r="5" spans="2:5" ht="15.75">
      <c r="B5" s="89" t="s">
        <v>162</v>
      </c>
      <c r="C5" s="478" t="str">
        <f>general!C4</f>
        <v>Prior Year Actual</v>
      </c>
      <c r="D5" s="477" t="str">
        <f>general!D4</f>
        <v>Current Year Estimate</v>
      </c>
      <c r="E5" s="479" t="str">
        <f>general!E4</f>
        <v>Proposed Budget Year</v>
      </c>
    </row>
    <row r="6" spans="2:5" ht="15.75">
      <c r="B6" s="512" t="str">
        <f>inputPrYr!B25</f>
        <v>Mental Health (10)</v>
      </c>
      <c r="C6" s="459">
        <f>general!$C$5</f>
        <v>2010</v>
      </c>
      <c r="D6" s="459">
        <f>general!D5</f>
        <v>2011</v>
      </c>
      <c r="E6" s="310">
        <f>general!E5</f>
        <v>2012</v>
      </c>
    </row>
    <row r="7" spans="2:5" ht="15.75">
      <c r="B7" s="151" t="s">
        <v>281</v>
      </c>
      <c r="C7" s="456">
        <v>7105</v>
      </c>
      <c r="D7" s="460">
        <f>C31</f>
        <v>4707</v>
      </c>
      <c r="E7" s="273">
        <f>D31</f>
        <v>0</v>
      </c>
    </row>
    <row r="8" spans="2:5" ht="15.75">
      <c r="B8" s="298" t="s">
        <v>283</v>
      </c>
      <c r="C8" s="313"/>
      <c r="D8" s="313"/>
      <c r="E8" s="130"/>
    </row>
    <row r="9" spans="2:5" ht="15.75">
      <c r="B9" s="151" t="s">
        <v>163</v>
      </c>
      <c r="C9" s="456">
        <v>110212</v>
      </c>
      <c r="D9" s="456">
        <v>104629</v>
      </c>
      <c r="E9" s="344" t="s">
        <v>149</v>
      </c>
    </row>
    <row r="10" spans="2:5" ht="15.75">
      <c r="B10" s="151" t="s">
        <v>164</v>
      </c>
      <c r="C10" s="456">
        <v>2673</v>
      </c>
      <c r="D10" s="456">
        <v>2000</v>
      </c>
      <c r="E10" s="116">
        <v>1500</v>
      </c>
    </row>
    <row r="11" spans="2:5" ht="15.75">
      <c r="B11" s="151" t="s">
        <v>165</v>
      </c>
      <c r="C11" s="456">
        <v>11070</v>
      </c>
      <c r="D11" s="456">
        <v>12658</v>
      </c>
      <c r="E11" s="273">
        <f>mvalloc!D17</f>
        <v>11722</v>
      </c>
    </row>
    <row r="12" spans="2:5" ht="15.75">
      <c r="B12" s="151" t="s">
        <v>166</v>
      </c>
      <c r="C12" s="456">
        <v>130</v>
      </c>
      <c r="D12" s="456">
        <v>142</v>
      </c>
      <c r="E12" s="273">
        <f>mvalloc!E17</f>
        <v>136</v>
      </c>
    </row>
    <row r="13" spans="2:5" ht="15.75">
      <c r="B13" s="313" t="s">
        <v>232</v>
      </c>
      <c r="C13" s="456">
        <v>223</v>
      </c>
      <c r="D13" s="456">
        <v>203</v>
      </c>
      <c r="E13" s="273">
        <f>mvalloc!F17</f>
        <v>192</v>
      </c>
    </row>
    <row r="14" spans="2:5" ht="15.75">
      <c r="B14" s="313" t="s">
        <v>333</v>
      </c>
      <c r="C14" s="456"/>
      <c r="D14" s="456"/>
      <c r="E14" s="273">
        <f>mvalloc!G17</f>
        <v>0</v>
      </c>
    </row>
    <row r="15" spans="2:5" ht="15.75">
      <c r="B15" s="325" t="s">
        <v>976</v>
      </c>
      <c r="C15" s="456">
        <v>31</v>
      </c>
      <c r="D15" s="456"/>
      <c r="E15" s="116"/>
    </row>
    <row r="16" spans="2:5" ht="15.75">
      <c r="B16" s="325"/>
      <c r="C16" s="456"/>
      <c r="D16" s="456"/>
      <c r="E16" s="116"/>
    </row>
    <row r="17" spans="2:5" ht="15.75">
      <c r="B17" s="325"/>
      <c r="C17" s="456"/>
      <c r="D17" s="456"/>
      <c r="E17" s="116"/>
    </row>
    <row r="18" spans="2:5" ht="15.75">
      <c r="B18" s="316" t="s">
        <v>170</v>
      </c>
      <c r="C18" s="456"/>
      <c r="D18" s="456"/>
      <c r="E18" s="116"/>
    </row>
    <row r="19" spans="2:5" ht="15.75">
      <c r="B19" s="317" t="s">
        <v>76</v>
      </c>
      <c r="C19" s="456"/>
      <c r="D19" s="456"/>
      <c r="E19" s="116"/>
    </row>
    <row r="20" spans="2:5" ht="15.75">
      <c r="B20" s="317" t="s">
        <v>682</v>
      </c>
      <c r="C20" s="457">
        <f>IF(C21*0.1&lt;C19,"Exceed 10% Rule","")</f>
      </c>
      <c r="D20" s="457">
        <f>IF(D21*0.1&lt;D19,"Exceed 10% Rule","")</f>
      </c>
      <c r="E20" s="351">
        <f>IF(E21*0.1+E37&lt;E19,"Exceed 10% Rule","")</f>
      </c>
    </row>
    <row r="21" spans="2:5" ht="15.75">
      <c r="B21" s="319" t="s">
        <v>171</v>
      </c>
      <c r="C21" s="458">
        <f>SUM(C9:C19)</f>
        <v>124339</v>
      </c>
      <c r="D21" s="458">
        <f>SUM(D9:D19)</f>
        <v>119632</v>
      </c>
      <c r="E21" s="358">
        <f>SUM(E9:E19)</f>
        <v>13550</v>
      </c>
    </row>
    <row r="22" spans="2:5" ht="15.75">
      <c r="B22" s="319" t="s">
        <v>172</v>
      </c>
      <c r="C22" s="458">
        <f>C7+C21</f>
        <v>131444</v>
      </c>
      <c r="D22" s="458">
        <f>D7+D21</f>
        <v>124339</v>
      </c>
      <c r="E22" s="358">
        <f>E7+E21</f>
        <v>13550</v>
      </c>
    </row>
    <row r="23" spans="2:5" ht="15.75">
      <c r="B23" s="151" t="s">
        <v>175</v>
      </c>
      <c r="C23" s="317"/>
      <c r="D23" s="317"/>
      <c r="E23" s="112"/>
    </row>
    <row r="24" spans="2:5" ht="15.75">
      <c r="B24" s="325" t="s">
        <v>987</v>
      </c>
      <c r="C24" s="456">
        <v>126737</v>
      </c>
      <c r="D24" s="456">
        <v>124339</v>
      </c>
      <c r="E24" s="116">
        <v>126737</v>
      </c>
    </row>
    <row r="25" spans="2:5" ht="15.75">
      <c r="B25" s="325"/>
      <c r="C25" s="456"/>
      <c r="D25" s="456"/>
      <c r="E25" s="116"/>
    </row>
    <row r="26" spans="2:5" ht="15.75">
      <c r="B26" s="325"/>
      <c r="C26" s="456"/>
      <c r="D26" s="456"/>
      <c r="E26" s="116"/>
    </row>
    <row r="27" spans="2:5" ht="15.75">
      <c r="B27" s="317" t="s">
        <v>78</v>
      </c>
      <c r="C27" s="456"/>
      <c r="D27" s="456"/>
      <c r="E27" s="123">
        <f>Nhood!E15</f>
      </c>
    </row>
    <row r="28" spans="2:5" ht="15.75">
      <c r="B28" s="317" t="s">
        <v>76</v>
      </c>
      <c r="C28" s="456"/>
      <c r="D28" s="456"/>
      <c r="E28" s="116"/>
    </row>
    <row r="29" spans="2:5" ht="15.75">
      <c r="B29" s="317" t="s">
        <v>681</v>
      </c>
      <c r="C29" s="457">
        <f>IF(C30*0.1&lt;C28,"Exceed 10% Rule","")</f>
      </c>
      <c r="D29" s="457">
        <f>IF(D30*0.1&lt;D28,"Exceed 10% Rule","")</f>
      </c>
      <c r="E29" s="351">
        <f>IF(E30*0.1&lt;E28,"Exceed 10% Rule","")</f>
      </c>
    </row>
    <row r="30" spans="2:5" ht="15.75">
      <c r="B30" s="319" t="s">
        <v>176</v>
      </c>
      <c r="C30" s="458">
        <f>SUM(C24:C28)</f>
        <v>126737</v>
      </c>
      <c r="D30" s="458">
        <f>SUM(D24:D28)</f>
        <v>124339</v>
      </c>
      <c r="E30" s="358">
        <f>SUM(E24:E28)</f>
        <v>126737</v>
      </c>
    </row>
    <row r="31" spans="2:5" ht="15.75">
      <c r="B31" s="151" t="s">
        <v>282</v>
      </c>
      <c r="C31" s="461">
        <f>C22-C30</f>
        <v>4707</v>
      </c>
      <c r="D31" s="461">
        <f>D22-D30</f>
        <v>0</v>
      </c>
      <c r="E31" s="344" t="s">
        <v>149</v>
      </c>
    </row>
    <row r="32" spans="2:6" ht="15.75">
      <c r="B32" s="295" t="str">
        <f>CONCATENATE("",E$1-2,"/",E$1-1," Budget Authority Amount:")</f>
        <v>2010/2011 Budget Authority Amount:</v>
      </c>
      <c r="C32" s="287">
        <f>inputOth!B40</f>
        <v>126737</v>
      </c>
      <c r="D32" s="287">
        <f>inputPrYr!D25</f>
        <v>126737</v>
      </c>
      <c r="E32" s="344" t="s">
        <v>149</v>
      </c>
      <c r="F32" s="327"/>
    </row>
    <row r="33" spans="2:6" ht="15.75">
      <c r="B33" s="295"/>
      <c r="C33" s="772" t="s">
        <v>684</v>
      </c>
      <c r="D33" s="773"/>
      <c r="E33" s="116"/>
      <c r="F33" s="327">
        <f>IF(E30/0.95-E30&lt;E33,"Exceeds 5%","")</f>
      </c>
    </row>
    <row r="34" spans="2:5" ht="15.75">
      <c r="B34" s="534" t="str">
        <f>CONCATENATE(C85,"     ",D85)</f>
        <v>     </v>
      </c>
      <c r="C34" s="774" t="s">
        <v>685</v>
      </c>
      <c r="D34" s="775"/>
      <c r="E34" s="273">
        <f>E30+E33</f>
        <v>126737</v>
      </c>
    </row>
    <row r="35" spans="2:5" ht="15.75">
      <c r="B35" s="534" t="str">
        <f>CONCATENATE(C86,"     ",D86)</f>
        <v>     </v>
      </c>
      <c r="C35" s="328"/>
      <c r="D35" s="249" t="s">
        <v>177</v>
      </c>
      <c r="E35" s="123">
        <f>IF(E34-E22&gt;0,E34-E22,0)</f>
        <v>113187</v>
      </c>
    </row>
    <row r="36" spans="2:5" ht="15.75">
      <c r="B36" s="249"/>
      <c r="C36" s="532" t="s">
        <v>686</v>
      </c>
      <c r="D36" s="505">
        <f>inputOth!$E$24</f>
        <v>0.065</v>
      </c>
      <c r="E36" s="273">
        <f>ROUND(IF(D36&gt;0,($E$35*D36),0),0)</f>
        <v>7357</v>
      </c>
    </row>
    <row r="37" spans="2:5" ht="15.75">
      <c r="B37" s="90"/>
      <c r="C37" s="781" t="str">
        <f>CONCATENATE("Amount of  ",$E$1-1," Ad Valorem Tax")</f>
        <v>Amount of  2011 Ad Valorem Tax</v>
      </c>
      <c r="D37" s="782"/>
      <c r="E37" s="355">
        <f>E35+E36</f>
        <v>120544</v>
      </c>
    </row>
    <row r="38" spans="2:5" ht="15.75">
      <c r="B38" s="90"/>
      <c r="C38" s="334"/>
      <c r="D38" s="334"/>
      <c r="E38" s="334"/>
    </row>
    <row r="39" spans="2:5" ht="15.75">
      <c r="B39" s="89" t="s">
        <v>162</v>
      </c>
      <c r="C39" s="478" t="str">
        <f aca="true" t="shared" si="0" ref="C39:E40">C5</f>
        <v>Prior Year Actual</v>
      </c>
      <c r="D39" s="477" t="str">
        <f t="shared" si="0"/>
        <v>Current Year Estimate</v>
      </c>
      <c r="E39" s="479" t="str">
        <f t="shared" si="0"/>
        <v>Proposed Budget Year</v>
      </c>
    </row>
    <row r="40" spans="2:5" ht="15.75">
      <c r="B40" s="511" t="str">
        <f>inputPrYr!B26</f>
        <v>Election (11)</v>
      </c>
      <c r="C40" s="459">
        <f t="shared" si="0"/>
        <v>2010</v>
      </c>
      <c r="D40" s="459">
        <f t="shared" si="0"/>
        <v>2011</v>
      </c>
      <c r="E40" s="310">
        <f t="shared" si="0"/>
        <v>2012</v>
      </c>
    </row>
    <row r="41" spans="2:5" ht="15.75">
      <c r="B41" s="151" t="s">
        <v>281</v>
      </c>
      <c r="C41" s="456">
        <v>207516</v>
      </c>
      <c r="D41" s="460">
        <f>C68</f>
        <v>265169</v>
      </c>
      <c r="E41" s="273">
        <f>D68</f>
        <v>208456</v>
      </c>
    </row>
    <row r="42" spans="2:5" ht="15.75">
      <c r="B42" s="311" t="s">
        <v>283</v>
      </c>
      <c r="C42" s="313"/>
      <c r="D42" s="313"/>
      <c r="E42" s="130"/>
    </row>
    <row r="43" spans="2:5" ht="15.75">
      <c r="B43" s="151" t="s">
        <v>163</v>
      </c>
      <c r="C43" s="456">
        <v>141292</v>
      </c>
      <c r="D43" s="456">
        <v>19970</v>
      </c>
      <c r="E43" s="344" t="s">
        <v>149</v>
      </c>
    </row>
    <row r="44" spans="2:5" ht="15.75">
      <c r="B44" s="151" t="s">
        <v>164</v>
      </c>
      <c r="C44" s="456">
        <v>2293</v>
      </c>
      <c r="D44" s="456">
        <v>1500</v>
      </c>
      <c r="E44" s="116">
        <v>1800</v>
      </c>
    </row>
    <row r="45" spans="2:5" ht="15.75">
      <c r="B45" s="151" t="s">
        <v>165</v>
      </c>
      <c r="C45" s="456">
        <v>6407</v>
      </c>
      <c r="D45" s="456">
        <v>16224</v>
      </c>
      <c r="E45" s="273">
        <f>mvalloc!D18</f>
        <v>2237</v>
      </c>
    </row>
    <row r="46" spans="2:5" ht="15.75">
      <c r="B46" s="151" t="s">
        <v>166</v>
      </c>
      <c r="C46" s="456">
        <v>75</v>
      </c>
      <c r="D46" s="456">
        <v>182</v>
      </c>
      <c r="E46" s="273">
        <f>mvalloc!E18</f>
        <v>26</v>
      </c>
    </row>
    <row r="47" spans="2:5" ht="15.75">
      <c r="B47" s="313" t="s">
        <v>232</v>
      </c>
      <c r="C47" s="456">
        <v>384</v>
      </c>
      <c r="D47" s="456">
        <v>260</v>
      </c>
      <c r="E47" s="273">
        <f>mvalloc!F18</f>
        <v>37</v>
      </c>
    </row>
    <row r="48" spans="2:5" ht="15.75">
      <c r="B48" s="313" t="s">
        <v>333</v>
      </c>
      <c r="C48" s="456"/>
      <c r="D48" s="456"/>
      <c r="E48" s="273">
        <f>mvalloc!G18</f>
        <v>0</v>
      </c>
    </row>
    <row r="49" spans="2:5" ht="15.75">
      <c r="B49" s="325" t="s">
        <v>976</v>
      </c>
      <c r="C49" s="456">
        <v>39</v>
      </c>
      <c r="D49" s="456"/>
      <c r="E49" s="116"/>
    </row>
    <row r="50" spans="2:5" ht="15.75">
      <c r="B50" s="325"/>
      <c r="C50" s="456"/>
      <c r="D50" s="456"/>
      <c r="E50" s="116"/>
    </row>
    <row r="51" spans="2:5" ht="15.75">
      <c r="B51" s="325"/>
      <c r="C51" s="456"/>
      <c r="D51" s="456"/>
      <c r="E51" s="116"/>
    </row>
    <row r="52" spans="2:5" ht="15.75">
      <c r="B52" s="316" t="s">
        <v>170</v>
      </c>
      <c r="C52" s="456"/>
      <c r="D52" s="456"/>
      <c r="E52" s="116"/>
    </row>
    <row r="53" spans="2:5" ht="15.75">
      <c r="B53" s="317" t="s">
        <v>76</v>
      </c>
      <c r="C53" s="456">
        <v>959</v>
      </c>
      <c r="D53" s="456"/>
      <c r="E53" s="116"/>
    </row>
    <row r="54" spans="2:5" ht="15.75">
      <c r="B54" s="317" t="s">
        <v>682</v>
      </c>
      <c r="C54" s="457">
        <f>IF(C55*0.1&lt;C53,"Exceed 10% Rule","")</f>
      </c>
      <c r="D54" s="457">
        <f>IF(D55*0.1&lt;D53,"Exceed 10% Rule","")</f>
      </c>
      <c r="E54" s="351">
        <f>IF(E55*0.1+E74&lt;E53,"Exceed 10% Rule","")</f>
      </c>
    </row>
    <row r="55" spans="2:5" ht="15.75">
      <c r="B55" s="319" t="s">
        <v>171</v>
      </c>
      <c r="C55" s="458">
        <f>SUM(C43:C53)</f>
        <v>151449</v>
      </c>
      <c r="D55" s="458">
        <f>SUM(D43:D53)</f>
        <v>38136</v>
      </c>
      <c r="E55" s="358">
        <f>SUM(E43:E53)</f>
        <v>4100</v>
      </c>
    </row>
    <row r="56" spans="2:5" ht="15.75">
      <c r="B56" s="319" t="s">
        <v>172</v>
      </c>
      <c r="C56" s="458">
        <f>C41+C55</f>
        <v>358965</v>
      </c>
      <c r="D56" s="458">
        <f>D41+D55</f>
        <v>303305</v>
      </c>
      <c r="E56" s="358">
        <f>E41+E55</f>
        <v>212556</v>
      </c>
    </row>
    <row r="57" spans="2:5" ht="15.75">
      <c r="B57" s="151" t="s">
        <v>175</v>
      </c>
      <c r="C57" s="317"/>
      <c r="D57" s="317"/>
      <c r="E57" s="112"/>
    </row>
    <row r="58" spans="2:5" ht="15.75">
      <c r="B58" s="687" t="s">
        <v>959</v>
      </c>
      <c r="C58" s="456">
        <v>20262</v>
      </c>
      <c r="D58" s="456">
        <v>17584</v>
      </c>
      <c r="E58" s="116">
        <v>70487</v>
      </c>
    </row>
    <row r="59" spans="2:5" ht="15.75">
      <c r="B59" s="687" t="s">
        <v>977</v>
      </c>
      <c r="C59" s="456">
        <v>45836</v>
      </c>
      <c r="D59" s="456">
        <v>62653</v>
      </c>
      <c r="E59" s="116">
        <v>98073</v>
      </c>
    </row>
    <row r="60" spans="2:5" ht="15.75">
      <c r="B60" s="687" t="s">
        <v>978</v>
      </c>
      <c r="C60" s="456">
        <v>9847</v>
      </c>
      <c r="D60" s="456">
        <v>12112</v>
      </c>
      <c r="E60" s="116">
        <v>24828</v>
      </c>
    </row>
    <row r="61" spans="2:5" ht="15.75">
      <c r="B61" s="687" t="s">
        <v>972</v>
      </c>
      <c r="C61" s="456">
        <v>17851</v>
      </c>
      <c r="D61" s="456">
        <v>2500</v>
      </c>
      <c r="E61" s="116">
        <v>4000</v>
      </c>
    </row>
    <row r="62" spans="2:5" ht="15.75">
      <c r="B62" s="325" t="s">
        <v>1095</v>
      </c>
      <c r="C62" s="456"/>
      <c r="D62" s="456"/>
      <c r="E62" s="116">
        <v>15168</v>
      </c>
    </row>
    <row r="63" spans="2:5" ht="15.75">
      <c r="B63" s="325"/>
      <c r="C63" s="456"/>
      <c r="D63" s="456"/>
      <c r="E63" s="116"/>
    </row>
    <row r="64" spans="2:5" ht="15.75">
      <c r="B64" s="317" t="s">
        <v>78</v>
      </c>
      <c r="C64" s="456"/>
      <c r="D64" s="456"/>
      <c r="E64" s="123">
        <f>Nhood!E16</f>
      </c>
    </row>
    <row r="65" spans="2:5" ht="15.75">
      <c r="B65" s="317" t="s">
        <v>76</v>
      </c>
      <c r="C65" s="456"/>
      <c r="D65" s="456"/>
      <c r="E65" s="116"/>
    </row>
    <row r="66" spans="2:5" ht="15.75">
      <c r="B66" s="317" t="s">
        <v>681</v>
      </c>
      <c r="C66" s="457">
        <f>IF(C67*0.1&lt;C65,"Exceed 10% Rule","")</f>
      </c>
      <c r="D66" s="457">
        <f>IF(D67*0.1&lt;D65,"Exceed 10% Rule","")</f>
      </c>
      <c r="E66" s="351">
        <f>IF(E67*0.1&lt;E65,"Exceed 10% Rule","")</f>
      </c>
    </row>
    <row r="67" spans="2:5" ht="15.75">
      <c r="B67" s="319" t="s">
        <v>176</v>
      </c>
      <c r="C67" s="458">
        <f>SUM(C58:C65)</f>
        <v>93796</v>
      </c>
      <c r="D67" s="458">
        <f>SUM(D58:D65)</f>
        <v>94849</v>
      </c>
      <c r="E67" s="358">
        <f>SUM(E58:E65)</f>
        <v>212556</v>
      </c>
    </row>
    <row r="68" spans="2:5" ht="15.75">
      <c r="B68" s="151" t="s">
        <v>282</v>
      </c>
      <c r="C68" s="461">
        <f>C56-C67</f>
        <v>265169</v>
      </c>
      <c r="D68" s="461">
        <f>D56-D67</f>
        <v>208456</v>
      </c>
      <c r="E68" s="344" t="s">
        <v>149</v>
      </c>
    </row>
    <row r="69" spans="2:6" ht="15.75">
      <c r="B69" s="295" t="str">
        <f>CONCATENATE("",E$1-2,"/",E$1-1," Budget Authority Amount:")</f>
        <v>2010/2011 Budget Authority Amount:</v>
      </c>
      <c r="C69" s="287">
        <f>inputOth!B41</f>
        <v>222918</v>
      </c>
      <c r="D69" s="287">
        <f>inputPrYr!D26</f>
        <v>175653</v>
      </c>
      <c r="E69" s="344" t="s">
        <v>149</v>
      </c>
      <c r="F69" s="327"/>
    </row>
    <row r="70" spans="2:6" ht="15.75">
      <c r="B70" s="295"/>
      <c r="C70" s="772" t="s">
        <v>684</v>
      </c>
      <c r="D70" s="773"/>
      <c r="E70" s="116"/>
      <c r="F70" s="327">
        <f>IF(E67/0.95-E67&lt;E70,"Exceeds 5%","")</f>
      </c>
    </row>
    <row r="71" spans="2:5" ht="15.75">
      <c r="B71" s="533" t="str">
        <f>CONCATENATE(C87,"     ",D87)</f>
        <v>     </v>
      </c>
      <c r="C71" s="774" t="s">
        <v>685</v>
      </c>
      <c r="D71" s="775"/>
      <c r="E71" s="273">
        <f>E67+E70</f>
        <v>212556</v>
      </c>
    </row>
    <row r="72" spans="2:5" ht="15.75">
      <c r="B72" s="533" t="str">
        <f>CONCATENATE(C88,"     ",D88)</f>
        <v>     </v>
      </c>
      <c r="C72" s="328"/>
      <c r="D72" s="249" t="s">
        <v>177</v>
      </c>
      <c r="E72" s="123">
        <f>IF(E71-E56&gt;0,E71-E56,0)</f>
        <v>0</v>
      </c>
    </row>
    <row r="73" spans="2:5" ht="15.75">
      <c r="B73" s="249"/>
      <c r="C73" s="532" t="s">
        <v>686</v>
      </c>
      <c r="D73" s="505">
        <f>inputOth!$E$24</f>
        <v>0.065</v>
      </c>
      <c r="E73" s="273">
        <f>ROUND(IF(D73&gt;0,($E$72*D73),0),0)</f>
        <v>0</v>
      </c>
    </row>
    <row r="74" spans="2:5" ht="15.75">
      <c r="B74" s="90"/>
      <c r="C74" s="781" t="str">
        <f>CONCATENATE("Amount of  ",$E$1-1," Ad Valorem Tax")</f>
        <v>Amount of  2011 Ad Valorem Tax</v>
      </c>
      <c r="D74" s="782"/>
      <c r="E74" s="355">
        <f>E72+E73</f>
        <v>0</v>
      </c>
    </row>
    <row r="75" spans="2:5" ht="15.75">
      <c r="B75" s="295" t="s">
        <v>190</v>
      </c>
      <c r="C75" s="356">
        <v>13</v>
      </c>
      <c r="D75" s="90"/>
      <c r="E75" s="90"/>
    </row>
    <row r="85" spans="3:4" ht="15.75" hidden="1">
      <c r="C85" s="77">
        <f>IF(C30&gt;C32,"See Tab A","")</f>
      </c>
      <c r="D85" s="77">
        <f>IF(D30&gt;D32,"See Tab C","")</f>
      </c>
    </row>
    <row r="86" spans="3:4" ht="15.75" hidden="1">
      <c r="C86" s="77">
        <f>IF(C31&lt;0,"See Tab B","")</f>
      </c>
      <c r="D86" s="77">
        <f>IF(D31&lt;0,"See Tab D","")</f>
      </c>
    </row>
    <row r="87" spans="3:4" ht="15.75" hidden="1">
      <c r="C87" s="77">
        <f>IF(C67&gt;C69,"See Tab A","")</f>
      </c>
      <c r="D87" s="77">
        <f>IF(D67&gt;D69,"See Tab C","")</f>
      </c>
    </row>
    <row r="88" spans="3:4" ht="15.75" hidden="1">
      <c r="C88" s="77">
        <f>IF(C68&lt;0,"See Tab B","")</f>
      </c>
      <c r="D88" s="77">
        <f>IF(D68&lt;0,"See Tab D","")</f>
      </c>
    </row>
  </sheetData>
  <sheetProtection sheet="1"/>
  <mergeCells count="6">
    <mergeCell ref="C33:D33"/>
    <mergeCell ref="C34:D34"/>
    <mergeCell ref="C70:D70"/>
    <mergeCell ref="C71:D71"/>
    <mergeCell ref="C74:D74"/>
    <mergeCell ref="C37:D37"/>
  </mergeCells>
  <conditionalFormatting sqref="E65">
    <cfRule type="cellIs" priority="3" dxfId="426" operator="greaterThan" stopIfTrue="1">
      <formula>$E$67*0.1</formula>
    </cfRule>
  </conditionalFormatting>
  <conditionalFormatting sqref="E70">
    <cfRule type="cellIs" priority="4" dxfId="426" operator="greaterThan" stopIfTrue="1">
      <formula>$E$67/0.95-$E$67</formula>
    </cfRule>
  </conditionalFormatting>
  <conditionalFormatting sqref="E33">
    <cfRule type="cellIs" priority="5" dxfId="426" operator="greaterThan" stopIfTrue="1">
      <formula>$E$30/0.95-$E$30</formula>
    </cfRule>
  </conditionalFormatting>
  <conditionalFormatting sqref="E28">
    <cfRule type="cellIs" priority="6" dxfId="426" operator="greaterThan" stopIfTrue="1">
      <formula>$E$30*0.1</formula>
    </cfRule>
  </conditionalFormatting>
  <conditionalFormatting sqref="C68 C31">
    <cfRule type="cellIs" priority="7" dxfId="2" operator="lessThan" stopIfTrue="1">
      <formula>0</formula>
    </cfRule>
  </conditionalFormatting>
  <conditionalFormatting sqref="C67">
    <cfRule type="cellIs" priority="8" dxfId="2" operator="greaterThan" stopIfTrue="1">
      <formula>$C$69</formula>
    </cfRule>
  </conditionalFormatting>
  <conditionalFormatting sqref="D67">
    <cfRule type="cellIs" priority="9" dxfId="2" operator="greaterThan" stopIfTrue="1">
      <formula>$D$69</formula>
    </cfRule>
  </conditionalFormatting>
  <conditionalFormatting sqref="C65">
    <cfRule type="cellIs" priority="10" dxfId="2" operator="greaterThan" stopIfTrue="1">
      <formula>$C$67*0.1</formula>
    </cfRule>
  </conditionalFormatting>
  <conditionalFormatting sqref="D65">
    <cfRule type="cellIs" priority="11" dxfId="2" operator="greaterThan" stopIfTrue="1">
      <formula>$D$67*0.1</formula>
    </cfRule>
  </conditionalFormatting>
  <conditionalFormatting sqref="E53">
    <cfRule type="cellIs" priority="12" dxfId="426" operator="greaterThan" stopIfTrue="1">
      <formula>$E$55*0.1+E74</formula>
    </cfRule>
  </conditionalFormatting>
  <conditionalFormatting sqref="C53">
    <cfRule type="cellIs" priority="13" dxfId="2" operator="greaterThan" stopIfTrue="1">
      <formula>$C$55*0.1</formula>
    </cfRule>
  </conditionalFormatting>
  <conditionalFormatting sqref="D53">
    <cfRule type="cellIs" priority="14" dxfId="2" operator="greaterThan" stopIfTrue="1">
      <formula>$D$55*0.1</formula>
    </cfRule>
  </conditionalFormatting>
  <conditionalFormatting sqref="C30">
    <cfRule type="cellIs" priority="15" dxfId="2" operator="greaterThan" stopIfTrue="1">
      <formula>$C$32</formula>
    </cfRule>
  </conditionalFormatting>
  <conditionalFormatting sqref="D30">
    <cfRule type="cellIs" priority="16" dxfId="2" operator="greaterThan" stopIfTrue="1">
      <formula>$D$32</formula>
    </cfRule>
  </conditionalFormatting>
  <conditionalFormatting sqref="C28">
    <cfRule type="cellIs" priority="17" dxfId="2" operator="greaterThan" stopIfTrue="1">
      <formula>$C$30*0.1</formula>
    </cfRule>
  </conditionalFormatting>
  <conditionalFormatting sqref="D28">
    <cfRule type="cellIs" priority="18" dxfId="2" operator="greaterThan" stopIfTrue="1">
      <formula>$D$30*0.1</formula>
    </cfRule>
  </conditionalFormatting>
  <conditionalFormatting sqref="E19">
    <cfRule type="cellIs" priority="19" dxfId="426" operator="greaterThan" stopIfTrue="1">
      <formula>$E$21*0.1+E37</formula>
    </cfRule>
  </conditionalFormatting>
  <conditionalFormatting sqref="C19">
    <cfRule type="cellIs" priority="20" dxfId="2" operator="greaterThan" stopIfTrue="1">
      <formula>$C$21*0.1</formula>
    </cfRule>
  </conditionalFormatting>
  <conditionalFormatting sqref="D19">
    <cfRule type="cellIs" priority="21" dxfId="2" operator="greaterThan" stopIfTrue="1">
      <formula>$D$21*0.1</formula>
    </cfRule>
  </conditionalFormatting>
  <conditionalFormatting sqref="D31 D68">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61" r:id="rId1"/>
  <headerFooter alignWithMargins="0">
    <oddHeader>&amp;RState of Kansas
County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F86"/>
  <sheetViews>
    <sheetView zoomScale="85" zoomScaleNormal="85" zoomScalePageLayoutView="0" workbookViewId="0" topLeftCell="A23">
      <selection activeCell="H67" sqref="H67"/>
    </sheetView>
  </sheetViews>
  <sheetFormatPr defaultColWidth="8.796875" defaultRowHeight="15"/>
  <cols>
    <col min="1" max="1" width="2.3984375" style="77" customWidth="1"/>
    <col min="2" max="2" width="31.09765625" style="77" customWidth="1"/>
    <col min="3" max="4" width="15.796875" style="77" customWidth="1"/>
    <col min="5" max="5" width="16.09765625" style="77" customWidth="1"/>
    <col min="6" max="16384" width="8.8984375" style="77" customWidth="1"/>
  </cols>
  <sheetData>
    <row r="1" spans="2:5" ht="15.75">
      <c r="B1" s="237" t="str">
        <f>(inputPrYr!C2)</f>
        <v>Geary County</v>
      </c>
      <c r="C1" s="90"/>
      <c r="D1" s="90"/>
      <c r="E1" s="294">
        <f>inputPrYr!C4</f>
        <v>2012</v>
      </c>
    </row>
    <row r="2" spans="2:5" ht="15.75">
      <c r="B2" s="90"/>
      <c r="C2" s="90"/>
      <c r="D2" s="90"/>
      <c r="E2" s="249"/>
    </row>
    <row r="3" spans="2:5" ht="15.75">
      <c r="B3" s="155" t="s">
        <v>239</v>
      </c>
      <c r="C3" s="340"/>
      <c r="D3" s="340"/>
      <c r="E3" s="341"/>
    </row>
    <row r="4" spans="2:5" ht="15.75">
      <c r="B4" s="90"/>
      <c r="C4" s="334"/>
      <c r="D4" s="334"/>
      <c r="E4" s="334"/>
    </row>
    <row r="5" spans="2:5" ht="15.75">
      <c r="B5" s="89" t="s">
        <v>162</v>
      </c>
      <c r="C5" s="478" t="str">
        <f>general!C4</f>
        <v>Prior Year Actual</v>
      </c>
      <c r="D5" s="477" t="str">
        <f>general!D4</f>
        <v>Current Year Estimate</v>
      </c>
      <c r="E5" s="479" t="str">
        <f>general!E4</f>
        <v>Proposed Budget Year</v>
      </c>
    </row>
    <row r="6" spans="2:5" ht="15.75">
      <c r="B6" s="512" t="str">
        <f>inputPrYr!B27</f>
        <v>Special Assessments (20)</v>
      </c>
      <c r="C6" s="459">
        <f>general!$C$5</f>
        <v>2010</v>
      </c>
      <c r="D6" s="459">
        <f>general!D5</f>
        <v>2011</v>
      </c>
      <c r="E6" s="310">
        <f>general!E5</f>
        <v>2012</v>
      </c>
    </row>
    <row r="7" spans="2:5" ht="15.75">
      <c r="B7" s="151" t="s">
        <v>281</v>
      </c>
      <c r="C7" s="456">
        <v>2</v>
      </c>
      <c r="D7" s="460">
        <f>C32</f>
        <v>4</v>
      </c>
      <c r="E7" s="273">
        <f>D32</f>
        <v>4</v>
      </c>
    </row>
    <row r="8" spans="2:5" ht="15.75">
      <c r="B8" s="298" t="s">
        <v>283</v>
      </c>
      <c r="C8" s="313"/>
      <c r="D8" s="313"/>
      <c r="E8" s="130"/>
    </row>
    <row r="9" spans="2:5" ht="15.75">
      <c r="B9" s="151" t="s">
        <v>163</v>
      </c>
      <c r="C9" s="456"/>
      <c r="D9" s="456"/>
      <c r="E9" s="344" t="s">
        <v>149</v>
      </c>
    </row>
    <row r="10" spans="2:5" ht="15.75">
      <c r="B10" s="151" t="s">
        <v>164</v>
      </c>
      <c r="C10" s="456">
        <v>4</v>
      </c>
      <c r="D10" s="456"/>
      <c r="E10" s="116"/>
    </row>
    <row r="11" spans="2:5" ht="15.75">
      <c r="B11" s="151" t="s">
        <v>165</v>
      </c>
      <c r="C11" s="456"/>
      <c r="D11" s="456"/>
      <c r="E11" s="273" t="str">
        <f>mvalloc!D19</f>
        <v>  </v>
      </c>
    </row>
    <row r="12" spans="2:5" ht="15.75">
      <c r="B12" s="151" t="s">
        <v>166</v>
      </c>
      <c r="C12" s="456"/>
      <c r="D12" s="456"/>
      <c r="E12" s="273" t="str">
        <f>mvalloc!E19</f>
        <v>  </v>
      </c>
    </row>
    <row r="13" spans="2:5" ht="15.75">
      <c r="B13" s="313" t="s">
        <v>232</v>
      </c>
      <c r="C13" s="456"/>
      <c r="D13" s="456"/>
      <c r="E13" s="273" t="str">
        <f>mvalloc!F19</f>
        <v>  </v>
      </c>
    </row>
    <row r="14" spans="2:5" ht="15.75">
      <c r="B14" s="313" t="s">
        <v>333</v>
      </c>
      <c r="C14" s="456"/>
      <c r="D14" s="456"/>
      <c r="E14" s="273" t="str">
        <f>mvalloc!G19</f>
        <v> </v>
      </c>
    </row>
    <row r="15" spans="2:5" ht="15.75">
      <c r="B15" s="325"/>
      <c r="C15" s="456"/>
      <c r="D15" s="456"/>
      <c r="E15" s="116"/>
    </row>
    <row r="16" spans="2:5" ht="15.75">
      <c r="B16" s="325"/>
      <c r="C16" s="456"/>
      <c r="D16" s="456"/>
      <c r="E16" s="116"/>
    </row>
    <row r="17" spans="2:5" ht="15.75">
      <c r="B17" s="325"/>
      <c r="C17" s="456"/>
      <c r="D17" s="456"/>
      <c r="E17" s="116"/>
    </row>
    <row r="18" spans="2:5" ht="15.75">
      <c r="B18" s="316" t="s">
        <v>170</v>
      </c>
      <c r="C18" s="456"/>
      <c r="D18" s="456"/>
      <c r="E18" s="116"/>
    </row>
    <row r="19" spans="2:5" ht="15.75">
      <c r="B19" s="317" t="s">
        <v>76</v>
      </c>
      <c r="C19" s="456"/>
      <c r="D19" s="456"/>
      <c r="E19" s="116"/>
    </row>
    <row r="20" spans="2:5" ht="15.75">
      <c r="B20" s="317" t="s">
        <v>682</v>
      </c>
      <c r="C20" s="457">
        <f>IF(C21*0.1&lt;C19,"Exceed 10% Rule","")</f>
      </c>
      <c r="D20" s="457">
        <f>IF(D21*0.1&lt;D19,"Exceed 10% Rule","")</f>
      </c>
      <c r="E20" s="351">
        <f>IF(E21*0.1+E38&lt;E19,"Exceed 10% Rule","")</f>
      </c>
    </row>
    <row r="21" spans="2:5" ht="15.75">
      <c r="B21" s="319" t="s">
        <v>171</v>
      </c>
      <c r="C21" s="458">
        <f>SUM(C9:C19)</f>
        <v>4</v>
      </c>
      <c r="D21" s="458">
        <f>SUM(D9:D19)</f>
        <v>0</v>
      </c>
      <c r="E21" s="358">
        <f>SUM(E9:E19)</f>
        <v>0</v>
      </c>
    </row>
    <row r="22" spans="2:5" ht="15.75">
      <c r="B22" s="319" t="s">
        <v>172</v>
      </c>
      <c r="C22" s="458">
        <f>C7+C21</f>
        <v>6</v>
      </c>
      <c r="D22" s="458">
        <f>D7+D21</f>
        <v>4</v>
      </c>
      <c r="E22" s="358">
        <f>E7+E21</f>
        <v>4</v>
      </c>
    </row>
    <row r="23" spans="2:5" ht="15.75">
      <c r="B23" s="151" t="s">
        <v>175</v>
      </c>
      <c r="C23" s="317"/>
      <c r="D23" s="317"/>
      <c r="E23" s="112"/>
    </row>
    <row r="24" spans="2:5" ht="15.75">
      <c r="B24" s="325" t="s">
        <v>952</v>
      </c>
      <c r="C24" s="456">
        <v>2</v>
      </c>
      <c r="D24" s="456"/>
      <c r="E24" s="116">
        <v>4</v>
      </c>
    </row>
    <row r="25" spans="2:5" ht="15.75">
      <c r="B25" s="325"/>
      <c r="C25" s="456"/>
      <c r="D25" s="456"/>
      <c r="E25" s="116"/>
    </row>
    <row r="26" spans="2:5" ht="15.75">
      <c r="B26" s="325"/>
      <c r="C26" s="456"/>
      <c r="D26" s="456"/>
      <c r="E26" s="116"/>
    </row>
    <row r="27" spans="2:5" ht="15.75">
      <c r="B27" s="325"/>
      <c r="C27" s="456"/>
      <c r="D27" s="456"/>
      <c r="E27" s="116"/>
    </row>
    <row r="28" spans="2:5" ht="15.75">
      <c r="B28" s="317" t="s">
        <v>78</v>
      </c>
      <c r="C28" s="456"/>
      <c r="D28" s="456"/>
      <c r="E28" s="123">
        <f>Nhood!E17</f>
      </c>
    </row>
    <row r="29" spans="2:5" ht="15.75">
      <c r="B29" s="317" t="s">
        <v>76</v>
      </c>
      <c r="C29" s="456"/>
      <c r="D29" s="456"/>
      <c r="E29" s="116"/>
    </row>
    <row r="30" spans="2:5" ht="15.75">
      <c r="B30" s="317" t="s">
        <v>681</v>
      </c>
      <c r="C30" s="457">
        <f>IF(C31*0.1&lt;C29,"Exceed 10% Rule","")</f>
      </c>
      <c r="D30" s="457">
        <f>IF(D31*0.1&lt;D29,"Exceed 10% Rule","")</f>
      </c>
      <c r="E30" s="351">
        <f>IF(E31*0.1&lt;E29,"Exceed 10% Rule","")</f>
      </c>
    </row>
    <row r="31" spans="2:5" ht="15.75">
      <c r="B31" s="319" t="s">
        <v>176</v>
      </c>
      <c r="C31" s="458">
        <f>SUM(C24:C29)</f>
        <v>2</v>
      </c>
      <c r="D31" s="458">
        <f>SUM(D24:D29)</f>
        <v>0</v>
      </c>
      <c r="E31" s="358">
        <f>SUM(E24:E29)</f>
        <v>4</v>
      </c>
    </row>
    <row r="32" spans="2:5" ht="15.75">
      <c r="B32" s="151" t="s">
        <v>282</v>
      </c>
      <c r="C32" s="461">
        <f>C22-C31</f>
        <v>4</v>
      </c>
      <c r="D32" s="461">
        <f>D22-D31</f>
        <v>4</v>
      </c>
      <c r="E32" s="344" t="s">
        <v>149</v>
      </c>
    </row>
    <row r="33" spans="2:6" ht="15.75">
      <c r="B33" s="295" t="str">
        <f>CONCATENATE("",E$1-2,"/",E$1-1," Budget Authority Amount:")</f>
        <v>2010/2011 Budget Authority Amount:</v>
      </c>
      <c r="C33" s="287">
        <f>inputOth!B42</f>
        <v>2</v>
      </c>
      <c r="D33" s="287">
        <f>inputPrYr!D27</f>
        <v>0</v>
      </c>
      <c r="E33" s="344" t="s">
        <v>149</v>
      </c>
      <c r="F33" s="327"/>
    </row>
    <row r="34" spans="2:6" ht="15.75">
      <c r="B34" s="295"/>
      <c r="C34" s="772" t="s">
        <v>684</v>
      </c>
      <c r="D34" s="773"/>
      <c r="E34" s="116"/>
      <c r="F34" s="327">
        <f>IF(E31/0.95-E31&lt;E34,"Exceeds 5%","")</f>
      </c>
    </row>
    <row r="35" spans="2:5" ht="15.75">
      <c r="B35" s="534" t="str">
        <f>CONCATENATE(C83,"     ",D83)</f>
        <v>     </v>
      </c>
      <c r="C35" s="774" t="s">
        <v>685</v>
      </c>
      <c r="D35" s="775"/>
      <c r="E35" s="273">
        <f>E31+E34</f>
        <v>4</v>
      </c>
    </row>
    <row r="36" spans="2:5" ht="15.75">
      <c r="B36" s="534" t="str">
        <f>CONCATENATE(C84,"     ",D84)</f>
        <v>     </v>
      </c>
      <c r="C36" s="328"/>
      <c r="D36" s="249" t="s">
        <v>177</v>
      </c>
      <c r="E36" s="123">
        <f>IF(E35-E22&gt;0,E35-E22,0)</f>
        <v>0</v>
      </c>
    </row>
    <row r="37" spans="2:5" ht="15.75">
      <c r="B37" s="249"/>
      <c r="C37" s="532" t="s">
        <v>686</v>
      </c>
      <c r="D37" s="505">
        <f>inputOth!$E$24</f>
        <v>0.065</v>
      </c>
      <c r="E37" s="273">
        <f>ROUND(IF(D37&gt;0,($E$36*D37),0),0)</f>
        <v>0</v>
      </c>
    </row>
    <row r="38" spans="2:5" ht="15.75">
      <c r="B38" s="90"/>
      <c r="C38" s="781" t="str">
        <f>CONCATENATE("Amount of  ",$E$1-1," Ad Valorem Tax")</f>
        <v>Amount of  2011 Ad Valorem Tax</v>
      </c>
      <c r="D38" s="782"/>
      <c r="E38" s="355">
        <f>E36+E37</f>
        <v>0</v>
      </c>
    </row>
    <row r="39" spans="2:5" ht="15.75">
      <c r="B39" s="90"/>
      <c r="C39" s="334"/>
      <c r="D39" s="334"/>
      <c r="E39" s="334"/>
    </row>
    <row r="40" spans="2:5" ht="15.75">
      <c r="B40" s="89" t="s">
        <v>162</v>
      </c>
      <c r="C40" s="478" t="str">
        <f aca="true" t="shared" si="0" ref="C40:E41">C5</f>
        <v>Prior Year Actual</v>
      </c>
      <c r="D40" s="477" t="str">
        <f t="shared" si="0"/>
        <v>Current Year Estimate</v>
      </c>
      <c r="E40" s="479" t="str">
        <f t="shared" si="0"/>
        <v>Proposed Budget Year</v>
      </c>
    </row>
    <row r="41" spans="2:5" ht="15.75">
      <c r="B41" s="511" t="str">
        <f>inputPrYr!B28</f>
        <v>Senior Citizens (22)</v>
      </c>
      <c r="C41" s="459">
        <f t="shared" si="0"/>
        <v>2010</v>
      </c>
      <c r="D41" s="459">
        <f t="shared" si="0"/>
        <v>2011</v>
      </c>
      <c r="E41" s="310">
        <f t="shared" si="0"/>
        <v>2012</v>
      </c>
    </row>
    <row r="42" spans="2:5" ht="15.75">
      <c r="B42" s="151" t="s">
        <v>281</v>
      </c>
      <c r="C42" s="456">
        <v>6024</v>
      </c>
      <c r="D42" s="460">
        <f>C66</f>
        <v>3706</v>
      </c>
      <c r="E42" s="273">
        <f>D66</f>
        <v>0</v>
      </c>
    </row>
    <row r="43" spans="2:5" ht="15.75">
      <c r="B43" s="311" t="s">
        <v>283</v>
      </c>
      <c r="C43" s="313"/>
      <c r="D43" s="313"/>
      <c r="E43" s="130"/>
    </row>
    <row r="44" spans="2:5" ht="15.75">
      <c r="B44" s="151" t="s">
        <v>163</v>
      </c>
      <c r="C44" s="456">
        <v>89324</v>
      </c>
      <c r="D44" s="456">
        <v>84928</v>
      </c>
      <c r="E44" s="344" t="s">
        <v>149</v>
      </c>
    </row>
    <row r="45" spans="2:5" ht="15.75">
      <c r="B45" s="151" t="s">
        <v>164</v>
      </c>
      <c r="C45" s="456">
        <v>2199</v>
      </c>
      <c r="D45" s="456">
        <v>1500</v>
      </c>
      <c r="E45" s="116">
        <v>1500</v>
      </c>
    </row>
    <row r="46" spans="2:5" ht="15.75">
      <c r="B46" s="151" t="s">
        <v>165</v>
      </c>
      <c r="C46" s="456">
        <v>8841</v>
      </c>
      <c r="D46" s="456">
        <v>10268</v>
      </c>
      <c r="E46" s="273">
        <f>mvalloc!D20</f>
        <v>9515</v>
      </c>
    </row>
    <row r="47" spans="2:5" ht="15.75">
      <c r="B47" s="151" t="s">
        <v>166</v>
      </c>
      <c r="C47" s="456">
        <v>104</v>
      </c>
      <c r="D47" s="456">
        <v>115</v>
      </c>
      <c r="E47" s="273">
        <f>mvalloc!E20</f>
        <v>111</v>
      </c>
    </row>
    <row r="48" spans="2:5" ht="15.75">
      <c r="B48" s="313" t="s">
        <v>232</v>
      </c>
      <c r="C48" s="456">
        <v>189</v>
      </c>
      <c r="D48" s="456">
        <v>165</v>
      </c>
      <c r="E48" s="273">
        <f>mvalloc!F20</f>
        <v>156</v>
      </c>
    </row>
    <row r="49" spans="2:5" ht="15.75">
      <c r="B49" s="313" t="s">
        <v>333</v>
      </c>
      <c r="C49" s="456"/>
      <c r="D49" s="456"/>
      <c r="E49" s="273">
        <f>mvalloc!G20</f>
        <v>0</v>
      </c>
    </row>
    <row r="50" spans="2:5" ht="15.75">
      <c r="B50" s="325" t="s">
        <v>976</v>
      </c>
      <c r="C50" s="456">
        <v>25</v>
      </c>
      <c r="D50" s="456"/>
      <c r="E50" s="116"/>
    </row>
    <row r="51" spans="2:5" ht="15.75">
      <c r="B51" s="325"/>
      <c r="C51" s="456"/>
      <c r="D51" s="456"/>
      <c r="E51" s="116"/>
    </row>
    <row r="52" spans="2:5" ht="15.75">
      <c r="B52" s="325"/>
      <c r="C52" s="456"/>
      <c r="D52" s="456"/>
      <c r="E52" s="116"/>
    </row>
    <row r="53" spans="2:5" ht="15.75">
      <c r="B53" s="316" t="s">
        <v>170</v>
      </c>
      <c r="C53" s="456"/>
      <c r="D53" s="456"/>
      <c r="E53" s="116"/>
    </row>
    <row r="54" spans="2:5" ht="15.75">
      <c r="B54" s="317" t="s">
        <v>76</v>
      </c>
      <c r="C54" s="456"/>
      <c r="D54" s="456"/>
      <c r="E54" s="116"/>
    </row>
    <row r="55" spans="2:5" ht="15.75">
      <c r="B55" s="317" t="s">
        <v>682</v>
      </c>
      <c r="C55" s="457">
        <f>IF(C56*0.1&lt;C54,"Exceed 10% Rule","")</f>
      </c>
      <c r="D55" s="457">
        <f>IF(D56*0.1&lt;D54,"Exceed 10% Rule","")</f>
      </c>
      <c r="E55" s="351">
        <f>IF(E56*0.1+E72&lt;E54,"Exceed 10% Rule","")</f>
      </c>
    </row>
    <row r="56" spans="2:5" ht="15.75">
      <c r="B56" s="319" t="s">
        <v>171</v>
      </c>
      <c r="C56" s="458">
        <f>SUM(C44:C54)</f>
        <v>100682</v>
      </c>
      <c r="D56" s="458">
        <f>SUM(D44:D54)</f>
        <v>96976</v>
      </c>
      <c r="E56" s="358">
        <f>SUM(E44:E54)</f>
        <v>11282</v>
      </c>
    </row>
    <row r="57" spans="2:5" ht="15.75">
      <c r="B57" s="319" t="s">
        <v>172</v>
      </c>
      <c r="C57" s="458">
        <f>C42+C56</f>
        <v>106706</v>
      </c>
      <c r="D57" s="458">
        <f>D42+D56</f>
        <v>100682</v>
      </c>
      <c r="E57" s="358">
        <f>E42+E56</f>
        <v>11282</v>
      </c>
    </row>
    <row r="58" spans="2:5" ht="15.75">
      <c r="B58" s="151" t="s">
        <v>175</v>
      </c>
      <c r="C58" s="317"/>
      <c r="D58" s="317"/>
      <c r="E58" s="112"/>
    </row>
    <row r="59" spans="2:5" ht="15.75">
      <c r="B59" s="325" t="s">
        <v>980</v>
      </c>
      <c r="C59" s="456">
        <v>103000</v>
      </c>
      <c r="D59" s="456">
        <v>100682</v>
      </c>
      <c r="E59" s="116">
        <v>113000</v>
      </c>
    </row>
    <row r="60" spans="2:5" ht="15.75">
      <c r="B60" s="325"/>
      <c r="C60" s="456"/>
      <c r="D60" s="456"/>
      <c r="E60" s="116"/>
    </row>
    <row r="61" spans="2:5" ht="15.75">
      <c r="B61" s="325"/>
      <c r="C61" s="456"/>
      <c r="D61" s="456"/>
      <c r="E61" s="116"/>
    </row>
    <row r="62" spans="2:5" ht="15.75">
      <c r="B62" s="317" t="s">
        <v>78</v>
      </c>
      <c r="C62" s="456"/>
      <c r="D62" s="456"/>
      <c r="E62" s="123">
        <f>Nhood!E18</f>
      </c>
    </row>
    <row r="63" spans="2:5" ht="15.75">
      <c r="B63" s="317" t="s">
        <v>76</v>
      </c>
      <c r="C63" s="456"/>
      <c r="D63" s="456"/>
      <c r="E63" s="116"/>
    </row>
    <row r="64" spans="2:5" ht="15.75">
      <c r="B64" s="317" t="s">
        <v>681</v>
      </c>
      <c r="C64" s="457">
        <f>IF(C65*0.1&lt;C63,"Exceed 10% Rule","")</f>
      </c>
      <c r="D64" s="457">
        <f>IF(D65*0.1&lt;D63,"Exceed 10% Rule","")</f>
      </c>
      <c r="E64" s="351">
        <f>IF(E65*0.1&lt;E63,"Exceed 10% Rule","")</f>
      </c>
    </row>
    <row r="65" spans="2:5" ht="15.75">
      <c r="B65" s="319" t="s">
        <v>176</v>
      </c>
      <c r="C65" s="458">
        <f>SUM(C59:C63)</f>
        <v>103000</v>
      </c>
      <c r="D65" s="458">
        <f>SUM(D59:D63)</f>
        <v>100682</v>
      </c>
      <c r="E65" s="358">
        <f>SUM(E59:E63)</f>
        <v>113000</v>
      </c>
    </row>
    <row r="66" spans="2:5" ht="15.75">
      <c r="B66" s="151" t="s">
        <v>282</v>
      </c>
      <c r="C66" s="461">
        <f>C57-C65</f>
        <v>3706</v>
      </c>
      <c r="D66" s="461">
        <f>D57-D65</f>
        <v>0</v>
      </c>
      <c r="E66" s="344" t="s">
        <v>149</v>
      </c>
    </row>
    <row r="67" spans="2:6" ht="15.75">
      <c r="B67" s="295" t="str">
        <f>CONCATENATE("",E$1-2,"/",E$1-1," Budget Authority Amount:")</f>
        <v>2010/2011 Budget Authority Amount:</v>
      </c>
      <c r="C67" s="287">
        <f>inputOth!B43</f>
        <v>103000</v>
      </c>
      <c r="D67" s="287">
        <f>inputPrYr!D28</f>
        <v>103000</v>
      </c>
      <c r="E67" s="344" t="s">
        <v>149</v>
      </c>
      <c r="F67" s="327"/>
    </row>
    <row r="68" spans="2:6" ht="15.75">
      <c r="B68" s="295"/>
      <c r="C68" s="772" t="s">
        <v>684</v>
      </c>
      <c r="D68" s="773"/>
      <c r="E68" s="116"/>
      <c r="F68" s="327">
        <f>IF(E65/0.95-E65&lt;E68,"Exceeds 5%","")</f>
      </c>
    </row>
    <row r="69" spans="2:5" ht="15.75">
      <c r="B69" s="533" t="str">
        <f>CONCATENATE(C85,"     ",D85)</f>
        <v>     </v>
      </c>
      <c r="C69" s="774" t="s">
        <v>685</v>
      </c>
      <c r="D69" s="775"/>
      <c r="E69" s="273">
        <f>E65+E68</f>
        <v>113000</v>
      </c>
    </row>
    <row r="70" spans="2:5" ht="15.75">
      <c r="B70" s="533" t="str">
        <f>CONCATENATE(C86,"     ",D86)</f>
        <v>     </v>
      </c>
      <c r="C70" s="328"/>
      <c r="D70" s="249" t="s">
        <v>177</v>
      </c>
      <c r="E70" s="123">
        <f>IF(E69-E57&gt;0,E69-E57,0)</f>
        <v>101718</v>
      </c>
    </row>
    <row r="71" spans="2:5" ht="15.75">
      <c r="B71" s="249"/>
      <c r="C71" s="532" t="s">
        <v>686</v>
      </c>
      <c r="D71" s="505">
        <f>inputOth!$E$24</f>
        <v>0.065</v>
      </c>
      <c r="E71" s="273">
        <f>ROUND(IF(D71&gt;0,($E$70*D71),0),0)</f>
        <v>6612</v>
      </c>
    </row>
    <row r="72" spans="2:5" ht="15.75">
      <c r="B72" s="309"/>
      <c r="C72" s="781" t="str">
        <f>CONCATENATE("Amount of  ",$E$1-1," Ad Valorem Tax")</f>
        <v>Amount of  2011 Ad Valorem Tax</v>
      </c>
      <c r="D72" s="782"/>
      <c r="E72" s="355">
        <f>E70+E71</f>
        <v>108330</v>
      </c>
    </row>
    <row r="73" spans="2:5" ht="15.75">
      <c r="B73" s="295" t="s">
        <v>190</v>
      </c>
      <c r="C73" s="356">
        <v>14</v>
      </c>
      <c r="D73" s="90"/>
      <c r="E73" s="90"/>
    </row>
    <row r="83" spans="3:4" ht="15.75" hidden="1">
      <c r="C83" s="77">
        <f>IF(C31&gt;C33,"See Tab A","")</f>
      </c>
      <c r="D83" s="77">
        <f>IF(D31&gt;D33,"See Tab C","")</f>
      </c>
    </row>
    <row r="84" spans="3:4" ht="15.75" hidden="1">
      <c r="C84" s="77">
        <f>IF(C32&lt;0,"See Tab B","")</f>
      </c>
      <c r="D84" s="77">
        <f>IF(D32&lt;0,"See Tab D","")</f>
      </c>
    </row>
    <row r="85" spans="3:4" ht="15.75" hidden="1">
      <c r="C85" s="77">
        <f>IF(C65&gt;C67,"See Tab A","")</f>
      </c>
      <c r="D85" s="77">
        <f>IF(D65&gt;D67,"See Tab C","")</f>
      </c>
    </row>
    <row r="86" spans="3:4" ht="15.75" hidden="1">
      <c r="C86" s="77">
        <f>IF(C66&lt;0,"See Tab B","")</f>
      </c>
      <c r="D86" s="77">
        <f>IF(D66&lt;0,"See Tab D","")</f>
      </c>
    </row>
  </sheetData>
  <sheetProtection sheet="1"/>
  <mergeCells count="6">
    <mergeCell ref="C68:D68"/>
    <mergeCell ref="C69:D69"/>
    <mergeCell ref="C34:D34"/>
    <mergeCell ref="C35:D35"/>
    <mergeCell ref="C72:D72"/>
    <mergeCell ref="C38:D38"/>
  </mergeCells>
  <conditionalFormatting sqref="E63">
    <cfRule type="cellIs" priority="3" dxfId="426" operator="greaterThan" stopIfTrue="1">
      <formula>$E$65*0.1</formula>
    </cfRule>
  </conditionalFormatting>
  <conditionalFormatting sqref="E68">
    <cfRule type="cellIs" priority="4" dxfId="426" operator="greaterThan" stopIfTrue="1">
      <formula>$E$65/0.95-$E$65</formula>
    </cfRule>
  </conditionalFormatting>
  <conditionalFormatting sqref="E34">
    <cfRule type="cellIs" priority="5" dxfId="426" operator="greaterThan" stopIfTrue="1">
      <formula>$E$31/0.95-$E$31</formula>
    </cfRule>
  </conditionalFormatting>
  <conditionalFormatting sqref="E29">
    <cfRule type="cellIs" priority="6" dxfId="426" operator="greaterThan" stopIfTrue="1">
      <formula>$E$31*0.1</formula>
    </cfRule>
  </conditionalFormatting>
  <conditionalFormatting sqref="C66 C32">
    <cfRule type="cellIs" priority="7" dxfId="2" operator="lessThan" stopIfTrue="1">
      <formula>0</formula>
    </cfRule>
  </conditionalFormatting>
  <conditionalFormatting sqref="C65">
    <cfRule type="cellIs" priority="8" dxfId="2" operator="greaterThan" stopIfTrue="1">
      <formula>$C$67</formula>
    </cfRule>
  </conditionalFormatting>
  <conditionalFormatting sqref="D65">
    <cfRule type="cellIs" priority="9" dxfId="2" operator="greaterThan" stopIfTrue="1">
      <formula>$D$67</formula>
    </cfRule>
  </conditionalFormatting>
  <conditionalFormatting sqref="C63">
    <cfRule type="cellIs" priority="10" dxfId="2" operator="greaterThan" stopIfTrue="1">
      <formula>$C$65*0.1</formula>
    </cfRule>
  </conditionalFormatting>
  <conditionalFormatting sqref="D63">
    <cfRule type="cellIs" priority="11" dxfId="2" operator="greaterThan" stopIfTrue="1">
      <formula>$D$65*0.1</formula>
    </cfRule>
  </conditionalFormatting>
  <conditionalFormatting sqref="E54">
    <cfRule type="cellIs" priority="12" dxfId="426" operator="greaterThan" stopIfTrue="1">
      <formula>$E$56*0.1+E72</formula>
    </cfRule>
  </conditionalFormatting>
  <conditionalFormatting sqref="C54">
    <cfRule type="cellIs" priority="13" dxfId="2" operator="greaterThan" stopIfTrue="1">
      <formula>$C$56*0.1</formula>
    </cfRule>
  </conditionalFormatting>
  <conditionalFormatting sqref="D54">
    <cfRule type="cellIs" priority="14" dxfId="2" operator="greaterThan" stopIfTrue="1">
      <formula>$D$56*0.1</formula>
    </cfRule>
  </conditionalFormatting>
  <conditionalFormatting sqref="C31">
    <cfRule type="cellIs" priority="15" dxfId="2" operator="greaterThan" stopIfTrue="1">
      <formula>$C$33</formula>
    </cfRule>
  </conditionalFormatting>
  <conditionalFormatting sqref="D31">
    <cfRule type="cellIs" priority="16" dxfId="2" operator="greaterThan" stopIfTrue="1">
      <formula>$D$33</formula>
    </cfRule>
  </conditionalFormatting>
  <conditionalFormatting sqref="C29">
    <cfRule type="cellIs" priority="17" dxfId="2" operator="greaterThan" stopIfTrue="1">
      <formula>$C$31*0.1</formula>
    </cfRule>
  </conditionalFormatting>
  <conditionalFormatting sqref="D29">
    <cfRule type="cellIs" priority="18" dxfId="2" operator="greaterThan" stopIfTrue="1">
      <formula>$D$31*0.1</formula>
    </cfRule>
  </conditionalFormatting>
  <conditionalFormatting sqref="E19">
    <cfRule type="cellIs" priority="19" dxfId="426" operator="greaterThan" stopIfTrue="1">
      <formula>$E$21*0.1+E38</formula>
    </cfRule>
  </conditionalFormatting>
  <conditionalFormatting sqref="C19">
    <cfRule type="cellIs" priority="20" dxfId="2" operator="greaterThan" stopIfTrue="1">
      <formula>$C$21*0.1</formula>
    </cfRule>
  </conditionalFormatting>
  <conditionalFormatting sqref="D19">
    <cfRule type="cellIs" priority="21" dxfId="2" operator="greaterThan" stopIfTrue="1">
      <formula>$D$21*0.1</formula>
    </cfRule>
  </conditionalFormatting>
  <conditionalFormatting sqref="D66 D32">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62" r:id="rId1"/>
  <headerFooter alignWithMargins="0">
    <oddHeader>&amp;RState of Kansas
County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F85"/>
  <sheetViews>
    <sheetView zoomScale="85" zoomScaleNormal="85" zoomScalePageLayoutView="0" workbookViewId="0" topLeftCell="A23">
      <selection activeCell="H67" sqref="H67"/>
    </sheetView>
  </sheetViews>
  <sheetFormatPr defaultColWidth="8.796875" defaultRowHeight="15"/>
  <cols>
    <col min="1" max="1" width="2.3984375" style="77" customWidth="1"/>
    <col min="2" max="2" width="31.09765625" style="77" customWidth="1"/>
    <col min="3" max="4" width="15.796875" style="77" customWidth="1"/>
    <col min="5" max="5" width="16.09765625" style="77" customWidth="1"/>
    <col min="6" max="16384" width="8.8984375" style="77" customWidth="1"/>
  </cols>
  <sheetData>
    <row r="1" spans="2:5" ht="15.75">
      <c r="B1" s="237" t="str">
        <f>(inputPrYr!C2)</f>
        <v>Geary County</v>
      </c>
      <c r="C1" s="90"/>
      <c r="D1" s="90"/>
      <c r="E1" s="294">
        <f>inputPrYr!C4</f>
        <v>2012</v>
      </c>
    </row>
    <row r="2" spans="2:5" ht="15.75">
      <c r="B2" s="90"/>
      <c r="C2" s="90"/>
      <c r="D2" s="90"/>
      <c r="E2" s="249"/>
    </row>
    <row r="3" spans="2:5" ht="15.75">
      <c r="B3" s="155" t="s">
        <v>239</v>
      </c>
      <c r="C3" s="340"/>
      <c r="D3" s="340"/>
      <c r="E3" s="341"/>
    </row>
    <row r="4" spans="2:5" ht="15.75">
      <c r="B4" s="90"/>
      <c r="C4" s="334"/>
      <c r="D4" s="334"/>
      <c r="E4" s="334"/>
    </row>
    <row r="5" spans="2:5" ht="15.75">
      <c r="B5" s="89" t="s">
        <v>162</v>
      </c>
      <c r="C5" s="478" t="str">
        <f>general!C4</f>
        <v>Prior Year Actual</v>
      </c>
      <c r="D5" s="477" t="str">
        <f>general!D4</f>
        <v>Current Year Estimate</v>
      </c>
      <c r="E5" s="479" t="str">
        <f>general!E4</f>
        <v>Proposed Budget Year</v>
      </c>
    </row>
    <row r="6" spans="2:5" ht="15.75">
      <c r="B6" s="512" t="str">
        <f>inputPrYr!B29</f>
        <v>Community College (15)</v>
      </c>
      <c r="C6" s="459">
        <f>general!$C$5</f>
        <v>2010</v>
      </c>
      <c r="D6" s="459">
        <f>general!D5</f>
        <v>2011</v>
      </c>
      <c r="E6" s="310">
        <f>general!E5</f>
        <v>2012</v>
      </c>
    </row>
    <row r="7" spans="2:5" ht="15.75">
      <c r="B7" s="151" t="s">
        <v>281</v>
      </c>
      <c r="C7" s="456">
        <v>22184</v>
      </c>
      <c r="D7" s="460">
        <f>C31</f>
        <v>0</v>
      </c>
      <c r="E7" s="273">
        <f>D31</f>
        <v>0</v>
      </c>
    </row>
    <row r="8" spans="2:5" ht="15.75">
      <c r="B8" s="298" t="s">
        <v>283</v>
      </c>
      <c r="C8" s="313"/>
      <c r="D8" s="313"/>
      <c r="E8" s="130"/>
    </row>
    <row r="9" spans="2:5" ht="15.75">
      <c r="B9" s="151" t="s">
        <v>163</v>
      </c>
      <c r="C9" s="456"/>
      <c r="D9" s="456"/>
      <c r="E9" s="344" t="s">
        <v>149</v>
      </c>
    </row>
    <row r="10" spans="2:5" ht="15.75">
      <c r="B10" s="151" t="s">
        <v>164</v>
      </c>
      <c r="C10" s="456">
        <v>273</v>
      </c>
      <c r="D10" s="456">
        <v>600</v>
      </c>
      <c r="E10" s="116">
        <v>500</v>
      </c>
    </row>
    <row r="11" spans="2:5" ht="15.75">
      <c r="B11" s="151" t="s">
        <v>165</v>
      </c>
      <c r="C11" s="456"/>
      <c r="D11" s="456"/>
      <c r="E11" s="273" t="str">
        <f>mvalloc!D21</f>
        <v>  </v>
      </c>
    </row>
    <row r="12" spans="2:5" ht="15.75">
      <c r="B12" s="151" t="s">
        <v>166</v>
      </c>
      <c r="C12" s="456"/>
      <c r="D12" s="456"/>
      <c r="E12" s="273" t="str">
        <f>mvalloc!E21</f>
        <v>  </v>
      </c>
    </row>
    <row r="13" spans="2:5" ht="15.75">
      <c r="B13" s="313" t="s">
        <v>232</v>
      </c>
      <c r="C13" s="456"/>
      <c r="D13" s="456"/>
      <c r="E13" s="273" t="str">
        <f>mvalloc!F21</f>
        <v>  </v>
      </c>
    </row>
    <row r="14" spans="2:5" ht="15.75">
      <c r="B14" s="313" t="s">
        <v>333</v>
      </c>
      <c r="C14" s="456"/>
      <c r="D14" s="456"/>
      <c r="E14" s="273" t="str">
        <f>mvalloc!G21</f>
        <v> </v>
      </c>
    </row>
    <row r="15" spans="2:5" ht="15.75">
      <c r="B15" s="325"/>
      <c r="C15" s="456"/>
      <c r="D15" s="456"/>
      <c r="E15" s="116"/>
    </row>
    <row r="16" spans="2:5" ht="15.75">
      <c r="B16" s="325"/>
      <c r="C16" s="456"/>
      <c r="D16" s="456"/>
      <c r="E16" s="116"/>
    </row>
    <row r="17" spans="2:5" ht="15.75">
      <c r="B17" s="325"/>
      <c r="C17" s="456"/>
      <c r="D17" s="456"/>
      <c r="E17" s="116"/>
    </row>
    <row r="18" spans="2:5" ht="15.75">
      <c r="B18" s="316" t="s">
        <v>170</v>
      </c>
      <c r="C18" s="456"/>
      <c r="D18" s="456"/>
      <c r="E18" s="116"/>
    </row>
    <row r="19" spans="2:5" ht="15.75">
      <c r="B19" s="317" t="s">
        <v>76</v>
      </c>
      <c r="C19" s="456"/>
      <c r="D19" s="456"/>
      <c r="E19" s="116"/>
    </row>
    <row r="20" spans="2:5" ht="15.75">
      <c r="B20" s="317" t="s">
        <v>77</v>
      </c>
      <c r="C20" s="457">
        <f>IF(C21*0.1&lt;C19,"Exceed 10% Rule","")</f>
      </c>
      <c r="D20" s="457">
        <f>IF(D21*0.1&lt;D19,"Exceed 10% Rule","")</f>
      </c>
      <c r="E20" s="351">
        <f>IF(E21*0.1+E37&lt;E19,"Exceed 10% Rule","")</f>
      </c>
    </row>
    <row r="21" spans="2:5" ht="15.75">
      <c r="B21" s="319" t="s">
        <v>171</v>
      </c>
      <c r="C21" s="458">
        <f>SUM(C9:C19)</f>
        <v>273</v>
      </c>
      <c r="D21" s="458">
        <f>SUM(D9:D19)</f>
        <v>600</v>
      </c>
      <c r="E21" s="358">
        <f>SUM(E9:E19)</f>
        <v>500</v>
      </c>
    </row>
    <row r="22" spans="2:5" ht="15.75">
      <c r="B22" s="319" t="s">
        <v>172</v>
      </c>
      <c r="C22" s="458">
        <f>C7+C21</f>
        <v>22457</v>
      </c>
      <c r="D22" s="458">
        <f>D7+D21</f>
        <v>600</v>
      </c>
      <c r="E22" s="358">
        <f>E7+E21</f>
        <v>500</v>
      </c>
    </row>
    <row r="23" spans="2:5" ht="15.75">
      <c r="B23" s="151" t="s">
        <v>175</v>
      </c>
      <c r="C23" s="317"/>
      <c r="D23" s="317"/>
      <c r="E23" s="112"/>
    </row>
    <row r="24" spans="2:5" ht="15.75">
      <c r="B24" s="325" t="s">
        <v>952</v>
      </c>
      <c r="C24" s="456">
        <v>22457</v>
      </c>
      <c r="D24" s="456">
        <v>600</v>
      </c>
      <c r="E24" s="116">
        <v>500</v>
      </c>
    </row>
    <row r="25" spans="2:5" ht="15.75">
      <c r="B25" s="325"/>
      <c r="C25" s="456"/>
      <c r="D25" s="456"/>
      <c r="E25" s="116"/>
    </row>
    <row r="26" spans="2:5" ht="15.75">
      <c r="B26" s="325"/>
      <c r="C26" s="456"/>
      <c r="D26" s="456"/>
      <c r="E26" s="116"/>
    </row>
    <row r="27" spans="2:5" ht="15.75">
      <c r="B27" s="317" t="s">
        <v>78</v>
      </c>
      <c r="C27" s="456"/>
      <c r="D27" s="456"/>
      <c r="E27" s="123">
        <f>Nhood!E19</f>
      </c>
    </row>
    <row r="28" spans="2:5" ht="15.75">
      <c r="B28" s="317" t="s">
        <v>76</v>
      </c>
      <c r="C28" s="456"/>
      <c r="D28" s="456"/>
      <c r="E28" s="116"/>
    </row>
    <row r="29" spans="2:5" ht="15.75">
      <c r="B29" s="317" t="s">
        <v>79</v>
      </c>
      <c r="C29" s="457">
        <f>IF(C30*0.1&lt;C28,"Exceed 10% Rule","")</f>
      </c>
      <c r="D29" s="457">
        <f>IF(D30*0.1&lt;D28,"Exceed 10% Rule","")</f>
      </c>
      <c r="E29" s="351">
        <f>IF(E30*0.1&lt;E28,"Exceed 10% Rule","")</f>
      </c>
    </row>
    <row r="30" spans="2:5" ht="15.75">
      <c r="B30" s="319" t="s">
        <v>176</v>
      </c>
      <c r="C30" s="458">
        <f>SUM(C24:C28)</f>
        <v>22457</v>
      </c>
      <c r="D30" s="458">
        <f>SUM(D24:D28)</f>
        <v>600</v>
      </c>
      <c r="E30" s="358">
        <f>SUM(E24:E28)</f>
        <v>500</v>
      </c>
    </row>
    <row r="31" spans="2:5" ht="15.75">
      <c r="B31" s="151" t="s">
        <v>282</v>
      </c>
      <c r="C31" s="461">
        <f>C22-C30</f>
        <v>0</v>
      </c>
      <c r="D31" s="461">
        <f>D22-D30</f>
        <v>0</v>
      </c>
      <c r="E31" s="344" t="s">
        <v>149</v>
      </c>
    </row>
    <row r="32" spans="2:6" ht="15.75">
      <c r="B32" s="295" t="str">
        <f>CONCATENATE("",E$1-2,"/",E$1-1," Budget Authority Amount:")</f>
        <v>2010/2011 Budget Authority Amount:</v>
      </c>
      <c r="C32" s="287">
        <f>inputOth!B44</f>
        <v>23038</v>
      </c>
      <c r="D32" s="287">
        <f>inputPrYr!D29</f>
        <v>600</v>
      </c>
      <c r="E32" s="344" t="s">
        <v>149</v>
      </c>
      <c r="F32" s="327"/>
    </row>
    <row r="33" spans="2:6" ht="15.75">
      <c r="B33" s="295"/>
      <c r="C33" s="772" t="s">
        <v>684</v>
      </c>
      <c r="D33" s="773"/>
      <c r="E33" s="116"/>
      <c r="F33" s="327">
        <f>IF(E30/0.95-E30&lt;E33,"Exceeds 5%","")</f>
      </c>
    </row>
    <row r="34" spans="2:5" ht="15.75">
      <c r="B34" s="534" t="str">
        <f>CONCATENATE(C82,"     ",D82)</f>
        <v>     </v>
      </c>
      <c r="C34" s="774" t="s">
        <v>685</v>
      </c>
      <c r="D34" s="775"/>
      <c r="E34" s="273">
        <f>E30+E33</f>
        <v>500</v>
      </c>
    </row>
    <row r="35" spans="2:5" ht="15.75">
      <c r="B35" s="534" t="str">
        <f>CONCATENATE(C83,"     ",D83)</f>
        <v>     </v>
      </c>
      <c r="C35" s="328"/>
      <c r="D35" s="249" t="s">
        <v>177</v>
      </c>
      <c r="E35" s="123">
        <f>IF(E34-E22&gt;0,E34-E22,0)</f>
        <v>0</v>
      </c>
    </row>
    <row r="36" spans="2:5" ht="15.75">
      <c r="B36" s="249"/>
      <c r="C36" s="532" t="s">
        <v>686</v>
      </c>
      <c r="D36" s="505">
        <f>inputOth!$E$24</f>
        <v>0.065</v>
      </c>
      <c r="E36" s="273">
        <f>ROUND(IF(D36&gt;0,($E$35*D36),0),0)</f>
        <v>0</v>
      </c>
    </row>
    <row r="37" spans="2:5" ht="15.75">
      <c r="B37" s="90"/>
      <c r="C37" s="781" t="str">
        <f>CONCATENATE("Amount of  ",$E$1-1," Ad Valorem Tax")</f>
        <v>Amount of  2011 Ad Valorem Tax</v>
      </c>
      <c r="D37" s="782"/>
      <c r="E37" s="355">
        <f>E35+E36</f>
        <v>0</v>
      </c>
    </row>
    <row r="38" spans="2:5" ht="15.75">
      <c r="B38" s="90"/>
      <c r="C38" s="334"/>
      <c r="D38" s="334"/>
      <c r="E38" s="334"/>
    </row>
    <row r="39" spans="2:5" ht="15.75">
      <c r="B39" s="89" t="s">
        <v>162</v>
      </c>
      <c r="C39" s="478" t="str">
        <f aca="true" t="shared" si="0" ref="C39:E40">C5</f>
        <v>Prior Year Actual</v>
      </c>
      <c r="D39" s="477" t="str">
        <f t="shared" si="0"/>
        <v>Current Year Estimate</v>
      </c>
      <c r="E39" s="479" t="str">
        <f t="shared" si="0"/>
        <v>Proposed Budget Year</v>
      </c>
    </row>
    <row r="40" spans="2:5" ht="15.75">
      <c r="B40" s="511" t="str">
        <f>inputPrYr!B30</f>
        <v>Mental Retardation (19)</v>
      </c>
      <c r="C40" s="459">
        <f t="shared" si="0"/>
        <v>2010</v>
      </c>
      <c r="D40" s="459">
        <f t="shared" si="0"/>
        <v>2011</v>
      </c>
      <c r="E40" s="310">
        <f t="shared" si="0"/>
        <v>2012</v>
      </c>
    </row>
    <row r="41" spans="2:5" ht="15.75">
      <c r="B41" s="151" t="s">
        <v>281</v>
      </c>
      <c r="C41" s="456">
        <v>4585</v>
      </c>
      <c r="D41" s="460">
        <f>C65</f>
        <v>3238</v>
      </c>
      <c r="E41" s="273">
        <f>D65</f>
        <v>0</v>
      </c>
    </row>
    <row r="42" spans="2:5" ht="15.75">
      <c r="B42" s="311" t="s">
        <v>283</v>
      </c>
      <c r="C42" s="313"/>
      <c r="D42" s="313"/>
      <c r="E42" s="130"/>
    </row>
    <row r="43" spans="2:5" ht="15.75">
      <c r="B43" s="151" t="s">
        <v>163</v>
      </c>
      <c r="C43" s="456">
        <v>71219</v>
      </c>
      <c r="D43" s="456">
        <v>67731</v>
      </c>
      <c r="E43" s="344" t="s">
        <v>149</v>
      </c>
    </row>
    <row r="44" spans="2:5" ht="15.75">
      <c r="B44" s="151" t="s">
        <v>164</v>
      </c>
      <c r="C44" s="456">
        <v>1750</v>
      </c>
      <c r="D44" s="456">
        <v>1200</v>
      </c>
      <c r="E44" s="116">
        <v>1300</v>
      </c>
    </row>
    <row r="45" spans="2:5" ht="15.75">
      <c r="B45" s="151" t="s">
        <v>165</v>
      </c>
      <c r="C45" s="456">
        <v>7341</v>
      </c>
      <c r="D45" s="456">
        <v>8168</v>
      </c>
      <c r="E45" s="273">
        <f>mvalloc!D22</f>
        <v>7588</v>
      </c>
    </row>
    <row r="46" spans="2:5" ht="15.75">
      <c r="B46" s="151" t="s">
        <v>166</v>
      </c>
      <c r="C46" s="456">
        <v>86</v>
      </c>
      <c r="D46" s="456">
        <v>92</v>
      </c>
      <c r="E46" s="273">
        <f>mvalloc!E22</f>
        <v>88</v>
      </c>
    </row>
    <row r="47" spans="2:5" ht="15.75">
      <c r="B47" s="313" t="s">
        <v>232</v>
      </c>
      <c r="C47" s="456">
        <v>144</v>
      </c>
      <c r="D47" s="456">
        <v>131</v>
      </c>
      <c r="E47" s="273">
        <f>mvalloc!F22</f>
        <v>124</v>
      </c>
    </row>
    <row r="48" spans="2:5" ht="15.75">
      <c r="B48" s="313" t="s">
        <v>333</v>
      </c>
      <c r="C48" s="456"/>
      <c r="D48" s="456"/>
      <c r="E48" s="273">
        <f>mvalloc!G22</f>
        <v>0</v>
      </c>
    </row>
    <row r="49" spans="2:5" ht="15.75">
      <c r="B49" s="325" t="s">
        <v>976</v>
      </c>
      <c r="C49" s="456">
        <v>20</v>
      </c>
      <c r="D49" s="456"/>
      <c r="E49" s="116"/>
    </row>
    <row r="50" spans="2:5" ht="15.75">
      <c r="B50" s="325"/>
      <c r="C50" s="456"/>
      <c r="D50" s="456"/>
      <c r="E50" s="116"/>
    </row>
    <row r="51" spans="2:5" ht="15.75">
      <c r="B51" s="325"/>
      <c r="C51" s="456"/>
      <c r="D51" s="456"/>
      <c r="E51" s="116"/>
    </row>
    <row r="52" spans="2:5" ht="15.75">
      <c r="B52" s="316" t="s">
        <v>170</v>
      </c>
      <c r="C52" s="456"/>
      <c r="D52" s="456"/>
      <c r="E52" s="116"/>
    </row>
    <row r="53" spans="2:5" ht="15.75">
      <c r="B53" s="317" t="s">
        <v>76</v>
      </c>
      <c r="C53" s="456"/>
      <c r="D53" s="456"/>
      <c r="E53" s="116"/>
    </row>
    <row r="54" spans="2:5" ht="15.75">
      <c r="B54" s="317" t="s">
        <v>77</v>
      </c>
      <c r="C54" s="457">
        <f>IF(C55*0.1&lt;C53,"Exceed 10% Rule","")</f>
      </c>
      <c r="D54" s="457">
        <f>IF(D55*0.1&lt;D53,"Exceed 10% Rule","")</f>
      </c>
      <c r="E54" s="351">
        <f>IF(E55*0.1+E71&lt;E53,"Exceed 10% Rule","")</f>
      </c>
    </row>
    <row r="55" spans="2:5" ht="15.75">
      <c r="B55" s="319" t="s">
        <v>171</v>
      </c>
      <c r="C55" s="458">
        <f>SUM(C43:C53)</f>
        <v>80560</v>
      </c>
      <c r="D55" s="458">
        <f>SUM(D43:D53)</f>
        <v>77322</v>
      </c>
      <c r="E55" s="358">
        <f>SUM(E43:E53)</f>
        <v>9100</v>
      </c>
    </row>
    <row r="56" spans="2:5" ht="15.75">
      <c r="B56" s="319" t="s">
        <v>172</v>
      </c>
      <c r="C56" s="458">
        <f>C41+C55</f>
        <v>85145</v>
      </c>
      <c r="D56" s="458">
        <f>D41+D55</f>
        <v>80560</v>
      </c>
      <c r="E56" s="358">
        <f>E41+E55</f>
        <v>9100</v>
      </c>
    </row>
    <row r="57" spans="2:5" ht="15.75">
      <c r="B57" s="151" t="s">
        <v>175</v>
      </c>
      <c r="C57" s="317"/>
      <c r="D57" s="317"/>
      <c r="E57" s="112"/>
    </row>
    <row r="58" spans="2:5" ht="15.75">
      <c r="B58" s="688" t="s">
        <v>988</v>
      </c>
      <c r="C58" s="456">
        <v>81907</v>
      </c>
      <c r="D58" s="456">
        <v>80560</v>
      </c>
      <c r="E58" s="116">
        <v>84364</v>
      </c>
    </row>
    <row r="59" spans="2:5" ht="15.75">
      <c r="B59" s="325"/>
      <c r="C59" s="456"/>
      <c r="D59" s="456"/>
      <c r="E59" s="116"/>
    </row>
    <row r="60" spans="2:5" ht="15.75">
      <c r="B60" s="325"/>
      <c r="C60" s="456"/>
      <c r="D60" s="456"/>
      <c r="E60" s="116"/>
    </row>
    <row r="61" spans="2:5" ht="15.75">
      <c r="B61" s="317" t="s">
        <v>78</v>
      </c>
      <c r="C61" s="456"/>
      <c r="D61" s="456"/>
      <c r="E61" s="123">
        <f>Nhood!E20</f>
      </c>
    </row>
    <row r="62" spans="2:5" ht="15.75">
      <c r="B62" s="317" t="s">
        <v>76</v>
      </c>
      <c r="C62" s="456"/>
      <c r="D62" s="456"/>
      <c r="E62" s="116"/>
    </row>
    <row r="63" spans="2:5" ht="15.75">
      <c r="B63" s="317" t="s">
        <v>79</v>
      </c>
      <c r="C63" s="457">
        <f>IF(C64*0.1&lt;C62,"Exceed 10% Rule","")</f>
      </c>
      <c r="D63" s="457">
        <f>IF(D64*0.1&lt;D62,"Exceed 10% Rule","")</f>
      </c>
      <c r="E63" s="351">
        <f>IF(E64*0.1&lt;E62,"Exceed 10% Rule","")</f>
      </c>
    </row>
    <row r="64" spans="2:5" ht="15.75">
      <c r="B64" s="319" t="s">
        <v>176</v>
      </c>
      <c r="C64" s="458">
        <f>SUM(C58:C62)</f>
        <v>81907</v>
      </c>
      <c r="D64" s="458">
        <f>SUM(D58:D62)</f>
        <v>80560</v>
      </c>
      <c r="E64" s="358">
        <f>SUM(E58:E62)</f>
        <v>84364</v>
      </c>
    </row>
    <row r="65" spans="2:5" ht="15.75">
      <c r="B65" s="151" t="s">
        <v>282</v>
      </c>
      <c r="C65" s="461">
        <f>C56-C64</f>
        <v>3238</v>
      </c>
      <c r="D65" s="461">
        <f>D56-D64</f>
        <v>0</v>
      </c>
      <c r="E65" s="344" t="s">
        <v>149</v>
      </c>
    </row>
    <row r="66" spans="2:6" ht="15.75">
      <c r="B66" s="295" t="str">
        <f>CONCATENATE("",E$1-2,"/",E$1-1," Budget Authority Amount:")</f>
        <v>2010/2011 Budget Authority Amount:</v>
      </c>
      <c r="C66" s="287">
        <f>inputOth!B45</f>
        <v>81907</v>
      </c>
      <c r="D66" s="287">
        <f>inputPrYr!D30</f>
        <v>81907</v>
      </c>
      <c r="E66" s="344" t="s">
        <v>149</v>
      </c>
      <c r="F66" s="327"/>
    </row>
    <row r="67" spans="2:6" ht="15.75">
      <c r="B67" s="295"/>
      <c r="C67" s="772" t="s">
        <v>684</v>
      </c>
      <c r="D67" s="773"/>
      <c r="E67" s="116"/>
      <c r="F67" s="327">
        <f>IF(E64/0.95-E64&lt;E67,"Exceeds 5%","")</f>
      </c>
    </row>
    <row r="68" spans="2:5" ht="15.75">
      <c r="B68" s="533" t="str">
        <f>CONCATENATE(C84,"     ",D84)</f>
        <v>     </v>
      </c>
      <c r="C68" s="774" t="s">
        <v>685</v>
      </c>
      <c r="D68" s="775"/>
      <c r="E68" s="273">
        <f>E64+E67</f>
        <v>84364</v>
      </c>
    </row>
    <row r="69" spans="2:5" ht="15.75">
      <c r="B69" s="533" t="str">
        <f>CONCATENATE(C85,"     ",D85)</f>
        <v>     </v>
      </c>
      <c r="C69" s="328"/>
      <c r="D69" s="249" t="s">
        <v>177</v>
      </c>
      <c r="E69" s="123">
        <f>IF(E68-E56&gt;0,E68-E56,0)</f>
        <v>75264</v>
      </c>
    </row>
    <row r="70" spans="2:5" ht="15.75">
      <c r="B70" s="249"/>
      <c r="C70" s="532" t="s">
        <v>686</v>
      </c>
      <c r="D70" s="505">
        <f>inputOth!$E$24</f>
        <v>0.065</v>
      </c>
      <c r="E70" s="273">
        <f>ROUND(IF(D70&gt;0,($E$69*D70),0),0)</f>
        <v>4892</v>
      </c>
    </row>
    <row r="71" spans="2:5" ht="15.75">
      <c r="B71" s="90"/>
      <c r="C71" s="781" t="str">
        <f>CONCATENATE("Amount of  ",$E$1-1," Ad Valorem Tax")</f>
        <v>Amount of  2011 Ad Valorem Tax</v>
      </c>
      <c r="D71" s="782"/>
      <c r="E71" s="355">
        <f>E69+E70</f>
        <v>80156</v>
      </c>
    </row>
    <row r="72" spans="2:5" ht="15.75">
      <c r="B72" s="295" t="s">
        <v>190</v>
      </c>
      <c r="C72" s="356">
        <v>15</v>
      </c>
      <c r="D72" s="90"/>
      <c r="E72" s="90"/>
    </row>
    <row r="82" spans="3:4" ht="15.75" hidden="1">
      <c r="C82" s="77">
        <f>IF(C30&gt;C32,"See Tab A","")</f>
      </c>
      <c r="D82" s="77">
        <f>IF(D30&gt;D32,"See Tab C","")</f>
      </c>
    </row>
    <row r="83" spans="3:4" ht="15.75" hidden="1">
      <c r="C83" s="77">
        <f>IF(C31&lt;0,"See Tab B","")</f>
      </c>
      <c r="D83" s="77">
        <f>IF(D31&lt;0,"See Tab D","")</f>
      </c>
    </row>
    <row r="84" spans="3:4" ht="15.75" hidden="1">
      <c r="C84" s="77">
        <f>IF(C64&gt;C66,"See Tab A","")</f>
      </c>
      <c r="D84" s="77">
        <f>IF(D64&gt;D66,"See Tab C","")</f>
      </c>
    </row>
    <row r="85" spans="3:4" ht="15.75" hidden="1">
      <c r="C85" s="77">
        <f>IF(C65&lt;0,"See Tab B","")</f>
      </c>
      <c r="D85" s="77">
        <f>IF(D65&lt;0,"See Tab D","")</f>
      </c>
    </row>
  </sheetData>
  <sheetProtection sheet="1"/>
  <mergeCells count="6">
    <mergeCell ref="C33:D33"/>
    <mergeCell ref="C34:D34"/>
    <mergeCell ref="C67:D67"/>
    <mergeCell ref="C68:D68"/>
    <mergeCell ref="C71:D71"/>
    <mergeCell ref="C37:D37"/>
  </mergeCells>
  <conditionalFormatting sqref="E62">
    <cfRule type="cellIs" priority="3" dxfId="426" operator="greaterThan" stopIfTrue="1">
      <formula>$E$64*0.1</formula>
    </cfRule>
  </conditionalFormatting>
  <conditionalFormatting sqref="E67">
    <cfRule type="cellIs" priority="4" dxfId="426" operator="greaterThan" stopIfTrue="1">
      <formula>$E$64/0.95-$E$64</formula>
    </cfRule>
  </conditionalFormatting>
  <conditionalFormatting sqref="E33">
    <cfRule type="cellIs" priority="5" dxfId="426" operator="greaterThan" stopIfTrue="1">
      <formula>$E$30/0.95-$E$30</formula>
    </cfRule>
  </conditionalFormatting>
  <conditionalFormatting sqref="E28">
    <cfRule type="cellIs" priority="6" dxfId="426" operator="greaterThan" stopIfTrue="1">
      <formula>$E$30*0.1</formula>
    </cfRule>
  </conditionalFormatting>
  <conditionalFormatting sqref="C65 C31">
    <cfRule type="cellIs" priority="7" dxfId="2" operator="lessThan" stopIfTrue="1">
      <formula>0</formula>
    </cfRule>
  </conditionalFormatting>
  <conditionalFormatting sqref="C64">
    <cfRule type="cellIs" priority="8" dxfId="2" operator="greaterThan" stopIfTrue="1">
      <formula>$C$66</formula>
    </cfRule>
  </conditionalFormatting>
  <conditionalFormatting sqref="D64">
    <cfRule type="cellIs" priority="9" dxfId="2" operator="greaterThan" stopIfTrue="1">
      <formula>$D$66</formula>
    </cfRule>
  </conditionalFormatting>
  <conditionalFormatting sqref="C62">
    <cfRule type="cellIs" priority="10" dxfId="2" operator="greaterThan" stopIfTrue="1">
      <formula>$C$64*0.1</formula>
    </cfRule>
  </conditionalFormatting>
  <conditionalFormatting sqref="D62">
    <cfRule type="cellIs" priority="11" dxfId="2" operator="greaterThan" stopIfTrue="1">
      <formula>$D$64*0.1</formula>
    </cfRule>
  </conditionalFormatting>
  <conditionalFormatting sqref="E53">
    <cfRule type="cellIs" priority="12" dxfId="426" operator="greaterThan" stopIfTrue="1">
      <formula>$E$55*0.1+E71</formula>
    </cfRule>
  </conditionalFormatting>
  <conditionalFormatting sqref="C53">
    <cfRule type="cellIs" priority="13" dxfId="2" operator="greaterThan" stopIfTrue="1">
      <formula>$C$55*0.1</formula>
    </cfRule>
  </conditionalFormatting>
  <conditionalFormatting sqref="D53">
    <cfRule type="cellIs" priority="14" dxfId="2" operator="greaterThan" stopIfTrue="1">
      <formula>$D$55*0.1</formula>
    </cfRule>
  </conditionalFormatting>
  <conditionalFormatting sqref="C30">
    <cfRule type="cellIs" priority="15" dxfId="2" operator="greaterThan" stopIfTrue="1">
      <formula>$C$32</formula>
    </cfRule>
  </conditionalFormatting>
  <conditionalFormatting sqref="D30">
    <cfRule type="cellIs" priority="16" dxfId="2" operator="greaterThan" stopIfTrue="1">
      <formula>$D$32</formula>
    </cfRule>
  </conditionalFormatting>
  <conditionalFormatting sqref="C28">
    <cfRule type="cellIs" priority="17" dxfId="2" operator="greaterThan" stopIfTrue="1">
      <formula>$C$30*0.1</formula>
    </cfRule>
  </conditionalFormatting>
  <conditionalFormatting sqref="D28">
    <cfRule type="cellIs" priority="18" dxfId="2" operator="greaterThan" stopIfTrue="1">
      <formula>$D$30*0.1</formula>
    </cfRule>
  </conditionalFormatting>
  <conditionalFormatting sqref="E19">
    <cfRule type="cellIs" priority="19" dxfId="426" operator="greaterThan" stopIfTrue="1">
      <formula>$E$21*0.1+E37</formula>
    </cfRule>
  </conditionalFormatting>
  <conditionalFormatting sqref="C19">
    <cfRule type="cellIs" priority="20" dxfId="2" operator="greaterThan" stopIfTrue="1">
      <formula>$C$21*0.1</formula>
    </cfRule>
  </conditionalFormatting>
  <conditionalFormatting sqref="D19">
    <cfRule type="cellIs" priority="21" dxfId="2" operator="greaterThan" stopIfTrue="1">
      <formula>$D$21*0.1</formula>
    </cfRule>
  </conditionalFormatting>
  <conditionalFormatting sqref="D65 D31">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63" r:id="rId1"/>
  <headerFooter alignWithMargins="0">
    <oddHeader>&amp;RState of Kansas
County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F89"/>
  <sheetViews>
    <sheetView zoomScale="85" zoomScaleNormal="85" zoomScalePageLayoutView="0" workbookViewId="0" topLeftCell="A4">
      <selection activeCell="H67" sqref="H67"/>
    </sheetView>
  </sheetViews>
  <sheetFormatPr defaultColWidth="8.796875" defaultRowHeight="15"/>
  <cols>
    <col min="1" max="1" width="2.3984375" style="77" customWidth="1"/>
    <col min="2" max="2" width="31.09765625" style="77" customWidth="1"/>
    <col min="3" max="4" width="15.796875" style="77" customWidth="1"/>
    <col min="5" max="5" width="16.19921875" style="77" customWidth="1"/>
    <col min="6" max="16384" width="8.8984375" style="77" customWidth="1"/>
  </cols>
  <sheetData>
    <row r="1" spans="2:5" ht="15.75">
      <c r="B1" s="237" t="str">
        <f>(inputPrYr!C2)</f>
        <v>Geary County</v>
      </c>
      <c r="C1" s="90"/>
      <c r="D1" s="90"/>
      <c r="E1" s="294">
        <f>inputPrYr!C4</f>
        <v>2012</v>
      </c>
    </row>
    <row r="2" spans="2:5" ht="15.75">
      <c r="B2" s="90"/>
      <c r="C2" s="90"/>
      <c r="D2" s="90"/>
      <c r="E2" s="249"/>
    </row>
    <row r="3" spans="2:5" ht="15.75">
      <c r="B3" s="155" t="s">
        <v>239</v>
      </c>
      <c r="C3" s="340"/>
      <c r="D3" s="340"/>
      <c r="E3" s="341"/>
    </row>
    <row r="4" spans="2:5" ht="15.75">
      <c r="B4" s="90"/>
      <c r="C4" s="334"/>
      <c r="D4" s="334"/>
      <c r="E4" s="334"/>
    </row>
    <row r="5" spans="2:5" ht="15.75">
      <c r="B5" s="89" t="s">
        <v>162</v>
      </c>
      <c r="C5" s="478" t="str">
        <f>general!C4</f>
        <v>Prior Year Actual</v>
      </c>
      <c r="D5" s="477" t="str">
        <f>general!D4</f>
        <v>Current Year Estimate</v>
      </c>
      <c r="E5" s="479" t="str">
        <f>general!E4</f>
        <v>Proposed Budget Year</v>
      </c>
    </row>
    <row r="6" spans="2:5" ht="15.75">
      <c r="B6" s="512" t="str">
        <f>inputPrYr!B31</f>
        <v>Economic Development (18)</v>
      </c>
      <c r="C6" s="459">
        <f>general!$C$5</f>
        <v>2010</v>
      </c>
      <c r="D6" s="459">
        <f>general!D5</f>
        <v>2011</v>
      </c>
      <c r="E6" s="310">
        <f>general!E5</f>
        <v>2012</v>
      </c>
    </row>
    <row r="7" spans="2:5" ht="15.75">
      <c r="B7" s="151" t="s">
        <v>281</v>
      </c>
      <c r="C7" s="456">
        <v>17728</v>
      </c>
      <c r="D7" s="460">
        <f>C33</f>
        <v>30739</v>
      </c>
      <c r="E7" s="273">
        <f>D33</f>
        <v>13011</v>
      </c>
    </row>
    <row r="8" spans="2:5" ht="15.75">
      <c r="B8" s="298" t="s">
        <v>283</v>
      </c>
      <c r="C8" s="313"/>
      <c r="D8" s="313"/>
      <c r="E8" s="130"/>
    </row>
    <row r="9" spans="2:5" ht="15.75">
      <c r="B9" s="151" t="s">
        <v>163</v>
      </c>
      <c r="C9" s="456">
        <v>222023</v>
      </c>
      <c r="D9" s="456">
        <v>169347</v>
      </c>
      <c r="E9" s="344" t="s">
        <v>149</v>
      </c>
    </row>
    <row r="10" spans="2:5" ht="15.75">
      <c r="B10" s="151" t="s">
        <v>164</v>
      </c>
      <c r="C10" s="456">
        <v>5090</v>
      </c>
      <c r="D10" s="456">
        <v>4000</v>
      </c>
      <c r="E10" s="116">
        <v>4000</v>
      </c>
    </row>
    <row r="11" spans="2:5" ht="15.75">
      <c r="B11" s="151" t="s">
        <v>165</v>
      </c>
      <c r="C11" s="456">
        <v>21129</v>
      </c>
      <c r="D11" s="456">
        <v>25487</v>
      </c>
      <c r="E11" s="273">
        <f>mvalloc!D23</f>
        <v>18973</v>
      </c>
    </row>
    <row r="12" spans="2:5" ht="15.75">
      <c r="B12" s="151" t="s">
        <v>166</v>
      </c>
      <c r="C12" s="456">
        <v>247</v>
      </c>
      <c r="D12" s="456">
        <v>286</v>
      </c>
      <c r="E12" s="273">
        <f>mvalloc!E23</f>
        <v>220</v>
      </c>
    </row>
    <row r="13" spans="2:5" ht="15.75">
      <c r="B13" s="313" t="s">
        <v>232</v>
      </c>
      <c r="C13" s="456">
        <v>460</v>
      </c>
      <c r="D13" s="456">
        <v>408</v>
      </c>
      <c r="E13" s="273">
        <f>mvalloc!F23</f>
        <v>311</v>
      </c>
    </row>
    <row r="14" spans="2:5" ht="15.75">
      <c r="B14" s="313" t="s">
        <v>333</v>
      </c>
      <c r="C14" s="456"/>
      <c r="D14" s="456"/>
      <c r="E14" s="273">
        <f>mvalloc!G23</f>
        <v>0</v>
      </c>
    </row>
    <row r="15" spans="2:5" ht="15.75">
      <c r="B15" s="325" t="s">
        <v>976</v>
      </c>
      <c r="C15" s="456">
        <v>62</v>
      </c>
      <c r="D15" s="456"/>
      <c r="E15" s="116"/>
    </row>
    <row r="16" spans="2:5" ht="15.75">
      <c r="B16" s="325"/>
      <c r="C16" s="456"/>
      <c r="D16" s="456"/>
      <c r="E16" s="116"/>
    </row>
    <row r="17" spans="2:5" ht="15.75">
      <c r="B17" s="325"/>
      <c r="C17" s="456"/>
      <c r="D17" s="456"/>
      <c r="E17" s="116"/>
    </row>
    <row r="18" spans="2:5" ht="15.75">
      <c r="B18" s="316" t="s">
        <v>170</v>
      </c>
      <c r="C18" s="456"/>
      <c r="D18" s="456"/>
      <c r="E18" s="116"/>
    </row>
    <row r="19" spans="2:5" ht="15.75">
      <c r="B19" s="317" t="s">
        <v>76</v>
      </c>
      <c r="C19" s="456"/>
      <c r="D19" s="456"/>
      <c r="E19" s="116"/>
    </row>
    <row r="20" spans="2:5" ht="15.75">
      <c r="B20" s="317" t="s">
        <v>682</v>
      </c>
      <c r="C20" s="457">
        <f>IF(C21*0.1&lt;C19,"Exceed 10% Rule","")</f>
      </c>
      <c r="D20" s="457">
        <f>IF(D21*0.1&lt;D19,"Exceed 10% Rule","")</f>
      </c>
      <c r="E20" s="351">
        <f>IF(E21*0.1+E39&lt;E19,"Exceed 10% Rule","")</f>
      </c>
    </row>
    <row r="21" spans="2:5" ht="15.75">
      <c r="B21" s="319" t="s">
        <v>171</v>
      </c>
      <c r="C21" s="458">
        <f>SUM(C9:C19)</f>
        <v>249011</v>
      </c>
      <c r="D21" s="458">
        <f>SUM(D9:D19)</f>
        <v>199528</v>
      </c>
      <c r="E21" s="358">
        <f>SUM(E9:E19)</f>
        <v>23504</v>
      </c>
    </row>
    <row r="22" spans="2:5" ht="15.75">
      <c r="B22" s="319" t="s">
        <v>172</v>
      </c>
      <c r="C22" s="458">
        <f>C7+C21</f>
        <v>266739</v>
      </c>
      <c r="D22" s="458">
        <f>D7+D21</f>
        <v>230267</v>
      </c>
      <c r="E22" s="358">
        <f>E7+E21</f>
        <v>36515</v>
      </c>
    </row>
    <row r="23" spans="2:5" ht="15.75">
      <c r="B23" s="151" t="s">
        <v>175</v>
      </c>
      <c r="C23" s="317"/>
      <c r="D23" s="317"/>
      <c r="E23" s="112"/>
    </row>
    <row r="24" spans="2:5" ht="15.75">
      <c r="B24" s="689" t="s">
        <v>980</v>
      </c>
      <c r="C24" s="456">
        <v>93000</v>
      </c>
      <c r="D24" s="456">
        <v>107256</v>
      </c>
      <c r="E24" s="116">
        <v>110000</v>
      </c>
    </row>
    <row r="25" spans="2:5" ht="15.75">
      <c r="B25" s="689" t="s">
        <v>989</v>
      </c>
      <c r="C25" s="456">
        <v>75000</v>
      </c>
      <c r="D25" s="456">
        <v>75000</v>
      </c>
      <c r="E25" s="116">
        <v>75000</v>
      </c>
    </row>
    <row r="26" spans="2:5" ht="15.75">
      <c r="B26" s="689" t="s">
        <v>990</v>
      </c>
      <c r="C26" s="456">
        <v>68000</v>
      </c>
      <c r="D26" s="456">
        <v>35000</v>
      </c>
      <c r="E26" s="116">
        <v>22000</v>
      </c>
    </row>
    <row r="27" spans="2:5" ht="15.75">
      <c r="B27" s="325"/>
      <c r="C27" s="456"/>
      <c r="D27" s="456"/>
      <c r="E27" s="116"/>
    </row>
    <row r="28" spans="2:5" ht="15.75">
      <c r="B28" s="325"/>
      <c r="C28" s="456"/>
      <c r="D28" s="456"/>
      <c r="E28" s="116"/>
    </row>
    <row r="29" spans="2:5" ht="15.75">
      <c r="B29" s="317" t="s">
        <v>78</v>
      </c>
      <c r="C29" s="456"/>
      <c r="D29" s="456"/>
      <c r="E29" s="123">
        <f>Nhood!E21</f>
      </c>
    </row>
    <row r="30" spans="2:5" ht="15.75">
      <c r="B30" s="317" t="s">
        <v>76</v>
      </c>
      <c r="C30" s="456"/>
      <c r="D30" s="456"/>
      <c r="E30" s="116"/>
    </row>
    <row r="31" spans="2:5" ht="15.75">
      <c r="B31" s="317" t="s">
        <v>681</v>
      </c>
      <c r="C31" s="457">
        <f>IF(C32*0.1&lt;C30,"Exceed 10% Rule","")</f>
      </c>
      <c r="D31" s="457">
        <f>IF(D32*0.1&lt;D30,"Exceed 10% Rule","")</f>
      </c>
      <c r="E31" s="351">
        <f>IF(E32*0.1&lt;E30,"Exceed 10% Rule","")</f>
      </c>
    </row>
    <row r="32" spans="2:5" ht="15.75">
      <c r="B32" s="319" t="s">
        <v>176</v>
      </c>
      <c r="C32" s="458">
        <f>SUM(C24:C30)</f>
        <v>236000</v>
      </c>
      <c r="D32" s="458">
        <f>SUM(D24:D30)</f>
        <v>217256</v>
      </c>
      <c r="E32" s="358">
        <f>SUM(E24:E30)</f>
        <v>207000</v>
      </c>
    </row>
    <row r="33" spans="2:5" ht="15.75">
      <c r="B33" s="151" t="s">
        <v>282</v>
      </c>
      <c r="C33" s="461">
        <f>C22-C32</f>
        <v>30739</v>
      </c>
      <c r="D33" s="461">
        <f>D22-D32</f>
        <v>13011</v>
      </c>
      <c r="E33" s="344" t="s">
        <v>149</v>
      </c>
    </row>
    <row r="34" spans="2:6" ht="15.75">
      <c r="B34" s="295" t="str">
        <f>CONCATENATE("",E$1-2,"/",E$1-1," Budget Authority Amount:")</f>
        <v>2010/2011 Budget Authority Amount:</v>
      </c>
      <c r="C34" s="287">
        <f>inputOth!B46</f>
        <v>253900</v>
      </c>
      <c r="D34" s="287">
        <f>inputPrYr!D31</f>
        <v>217256</v>
      </c>
      <c r="E34" s="344" t="s">
        <v>149</v>
      </c>
      <c r="F34" s="327"/>
    </row>
    <row r="35" spans="2:6" ht="15.75">
      <c r="B35" s="295"/>
      <c r="C35" s="772" t="s">
        <v>684</v>
      </c>
      <c r="D35" s="773"/>
      <c r="E35" s="116"/>
      <c r="F35" s="327">
        <f>IF(E32/0.95-E32&lt;E35,"Exceeds 5%","")</f>
      </c>
    </row>
    <row r="36" spans="2:5" ht="15.75">
      <c r="B36" s="534" t="str">
        <f>CONCATENATE(C86,"     ",D86)</f>
        <v>     </v>
      </c>
      <c r="C36" s="774" t="s">
        <v>685</v>
      </c>
      <c r="D36" s="775"/>
      <c r="E36" s="273">
        <f>E32+E35</f>
        <v>207000</v>
      </c>
    </row>
    <row r="37" spans="2:5" ht="15.75">
      <c r="B37" s="534" t="str">
        <f>CONCATENATE(C87,"     ",D87)</f>
        <v>     </v>
      </c>
      <c r="C37" s="328"/>
      <c r="D37" s="249" t="s">
        <v>177</v>
      </c>
      <c r="E37" s="123">
        <f>IF(E36-E22&gt;0,E36-E22,0)</f>
        <v>170485</v>
      </c>
    </row>
    <row r="38" spans="2:5" ht="15.75">
      <c r="B38" s="249"/>
      <c r="C38" s="532" t="s">
        <v>686</v>
      </c>
      <c r="D38" s="505">
        <f>inputOth!$E$24</f>
        <v>0.065</v>
      </c>
      <c r="E38" s="273">
        <f>ROUND(IF(D38&gt;0,($E$37*D38),0),0)</f>
        <v>11082</v>
      </c>
    </row>
    <row r="39" spans="2:5" ht="15.75">
      <c r="B39" s="90"/>
      <c r="C39" s="781" t="str">
        <f>CONCATENATE("Amount of  ",$E$1-1," Ad Valorem Tax")</f>
        <v>Amount of  2011 Ad Valorem Tax</v>
      </c>
      <c r="D39" s="782"/>
      <c r="E39" s="355">
        <f>E37+E38</f>
        <v>181567</v>
      </c>
    </row>
    <row r="40" spans="2:5" ht="15.75">
      <c r="B40" s="90"/>
      <c r="C40" s="334"/>
      <c r="D40" s="334"/>
      <c r="E40" s="334"/>
    </row>
    <row r="41" spans="2:5" ht="15.75">
      <c r="B41" s="89" t="s">
        <v>162</v>
      </c>
      <c r="C41" s="478" t="str">
        <f aca="true" t="shared" si="0" ref="C41:E42">C5</f>
        <v>Prior Year Actual</v>
      </c>
      <c r="D41" s="477" t="str">
        <f t="shared" si="0"/>
        <v>Current Year Estimate</v>
      </c>
      <c r="E41" s="479" t="str">
        <f t="shared" si="0"/>
        <v>Proposed Budget Year</v>
      </c>
    </row>
    <row r="42" spans="2:5" ht="15.75">
      <c r="B42" s="511" t="str">
        <f>inputPrYr!B32</f>
        <v>Law Enforcement (17)</v>
      </c>
      <c r="C42" s="459">
        <f t="shared" si="0"/>
        <v>2010</v>
      </c>
      <c r="D42" s="459">
        <f t="shared" si="0"/>
        <v>2011</v>
      </c>
      <c r="E42" s="310">
        <f t="shared" si="0"/>
        <v>2012</v>
      </c>
    </row>
    <row r="43" spans="2:5" ht="15.75">
      <c r="B43" s="151" t="s">
        <v>281</v>
      </c>
      <c r="C43" s="456">
        <v>527573</v>
      </c>
      <c r="D43" s="460">
        <f>C69</f>
        <v>506188</v>
      </c>
      <c r="E43" s="273">
        <f>D69</f>
        <v>406688</v>
      </c>
    </row>
    <row r="44" spans="2:5" ht="15.75">
      <c r="B44" s="311" t="s">
        <v>283</v>
      </c>
      <c r="C44" s="313"/>
      <c r="D44" s="313"/>
      <c r="E44" s="130"/>
    </row>
    <row r="45" spans="2:5" ht="15.75">
      <c r="B45" s="151" t="s">
        <v>163</v>
      </c>
      <c r="C45" s="456"/>
      <c r="D45" s="456"/>
      <c r="E45" s="344" t="s">
        <v>149</v>
      </c>
    </row>
    <row r="46" spans="2:5" ht="15.75">
      <c r="B46" s="151" t="s">
        <v>164</v>
      </c>
      <c r="C46" s="456">
        <v>812</v>
      </c>
      <c r="D46" s="456">
        <v>500</v>
      </c>
      <c r="E46" s="116">
        <v>750</v>
      </c>
    </row>
    <row r="47" spans="2:5" ht="15.75">
      <c r="B47" s="151" t="s">
        <v>165</v>
      </c>
      <c r="C47" s="456">
        <v>366</v>
      </c>
      <c r="D47" s="456"/>
      <c r="E47" s="273" t="str">
        <f>mvalloc!D24</f>
        <v>  </v>
      </c>
    </row>
    <row r="48" spans="2:5" ht="15.75">
      <c r="B48" s="151" t="s">
        <v>166</v>
      </c>
      <c r="C48" s="456">
        <v>196</v>
      </c>
      <c r="D48" s="456"/>
      <c r="E48" s="273" t="str">
        <f>mvalloc!E24</f>
        <v>  </v>
      </c>
    </row>
    <row r="49" spans="2:5" ht="15.75">
      <c r="B49" s="313" t="s">
        <v>232</v>
      </c>
      <c r="C49" s="456"/>
      <c r="D49" s="456"/>
      <c r="E49" s="273" t="str">
        <f>mvalloc!F24</f>
        <v>  </v>
      </c>
    </row>
    <row r="50" spans="2:5" ht="15.75">
      <c r="B50" s="313" t="s">
        <v>333</v>
      </c>
      <c r="C50" s="456"/>
      <c r="D50" s="456"/>
      <c r="E50" s="273" t="str">
        <f>mvalloc!G24</f>
        <v> </v>
      </c>
    </row>
    <row r="51" spans="2:5" ht="15.75">
      <c r="B51" s="325"/>
      <c r="C51" s="456"/>
      <c r="D51" s="456"/>
      <c r="E51" s="116"/>
    </row>
    <row r="52" spans="2:5" ht="15.75">
      <c r="B52" s="325"/>
      <c r="C52" s="456"/>
      <c r="D52" s="456"/>
      <c r="E52" s="116"/>
    </row>
    <row r="53" spans="2:5" ht="15.75">
      <c r="B53" s="316" t="s">
        <v>170</v>
      </c>
      <c r="C53" s="456"/>
      <c r="D53" s="456"/>
      <c r="E53" s="116"/>
    </row>
    <row r="54" spans="2:5" ht="15.75">
      <c r="B54" s="317" t="s">
        <v>76</v>
      </c>
      <c r="C54" s="456"/>
      <c r="D54" s="456"/>
      <c r="E54" s="116"/>
    </row>
    <row r="55" spans="2:5" ht="15.75">
      <c r="B55" s="317" t="s">
        <v>682</v>
      </c>
      <c r="C55" s="457">
        <f>IF(C56*0.1&lt;C54,"Exceed 10% Rule","")</f>
      </c>
      <c r="D55" s="457">
        <f>IF(D56*0.1&lt;D54,"Exceed 10% Rule","")</f>
      </c>
      <c r="E55" s="351">
        <f>IF(E56*0.1+E75&lt;E54,"Exceed 10% Rule","")</f>
      </c>
    </row>
    <row r="56" spans="2:5" ht="15.75">
      <c r="B56" s="319" t="s">
        <v>171</v>
      </c>
      <c r="C56" s="458">
        <f>SUM(C45:C54)</f>
        <v>1374</v>
      </c>
      <c r="D56" s="458">
        <f>SUM(D45:D54)</f>
        <v>500</v>
      </c>
      <c r="E56" s="358">
        <f>SUM(E45:E54)</f>
        <v>750</v>
      </c>
    </row>
    <row r="57" spans="2:5" ht="15.75">
      <c r="B57" s="319" t="s">
        <v>172</v>
      </c>
      <c r="C57" s="458">
        <f>C43+C56</f>
        <v>528947</v>
      </c>
      <c r="D57" s="458">
        <f>D43+D56</f>
        <v>506688</v>
      </c>
      <c r="E57" s="358">
        <f>E43+E56</f>
        <v>407438</v>
      </c>
    </row>
    <row r="58" spans="2:5" ht="15.75">
      <c r="B58" s="151" t="s">
        <v>175</v>
      </c>
      <c r="C58" s="317"/>
      <c r="D58" s="317"/>
      <c r="E58" s="112"/>
    </row>
    <row r="59" spans="2:5" ht="15.75">
      <c r="B59" s="690" t="s">
        <v>978</v>
      </c>
      <c r="C59" s="456">
        <v>4891</v>
      </c>
      <c r="D59" s="456"/>
      <c r="E59" s="116"/>
    </row>
    <row r="60" spans="2:5" ht="15.75">
      <c r="B60" s="690" t="s">
        <v>972</v>
      </c>
      <c r="C60" s="456"/>
      <c r="D60" s="456">
        <v>100000</v>
      </c>
      <c r="E60" s="116">
        <v>407438</v>
      </c>
    </row>
    <row r="61" spans="2:5" ht="15.75">
      <c r="B61" s="325" t="s">
        <v>991</v>
      </c>
      <c r="C61" s="456">
        <v>17868</v>
      </c>
      <c r="D61" s="456"/>
      <c r="E61" s="116"/>
    </row>
    <row r="62" spans="2:5" ht="15.75">
      <c r="B62" s="325"/>
      <c r="C62" s="456"/>
      <c r="D62" s="456"/>
      <c r="E62" s="116"/>
    </row>
    <row r="63" spans="2:5" ht="15.75">
      <c r="B63" s="325"/>
      <c r="C63" s="456"/>
      <c r="D63" s="456"/>
      <c r="E63" s="116"/>
    </row>
    <row r="64" spans="2:5" ht="15.75">
      <c r="B64" s="325"/>
      <c r="C64" s="456"/>
      <c r="D64" s="456"/>
      <c r="E64" s="116"/>
    </row>
    <row r="65" spans="2:5" ht="15.75">
      <c r="B65" s="317" t="s">
        <v>78</v>
      </c>
      <c r="C65" s="456"/>
      <c r="D65" s="456"/>
      <c r="E65" s="123">
        <f>Nhood!E22</f>
      </c>
    </row>
    <row r="66" spans="2:5" ht="15.75">
      <c r="B66" s="317" t="s">
        <v>76</v>
      </c>
      <c r="C66" s="456"/>
      <c r="D66" s="456"/>
      <c r="E66" s="116"/>
    </row>
    <row r="67" spans="2:5" ht="15.75">
      <c r="B67" s="317" t="s">
        <v>681</v>
      </c>
      <c r="C67" s="457">
        <f>IF(C68*0.1&lt;C66,"Exceed 10% Rule","")</f>
      </c>
      <c r="D67" s="457">
        <f>IF(D68*0.1&lt;D66,"Exceed 10% Rule","")</f>
      </c>
      <c r="E67" s="351">
        <f>IF(E68*0.1&lt;E66,"Exceed 10% Rule","")</f>
      </c>
    </row>
    <row r="68" spans="2:5" ht="15.75">
      <c r="B68" s="319" t="s">
        <v>176</v>
      </c>
      <c r="C68" s="458">
        <f>SUM(C59:C66)</f>
        <v>22759</v>
      </c>
      <c r="D68" s="458">
        <f>SUM(D59:D66)</f>
        <v>100000</v>
      </c>
      <c r="E68" s="358">
        <f>SUM(E59:E66)</f>
        <v>407438</v>
      </c>
    </row>
    <row r="69" spans="2:5" ht="15.75">
      <c r="B69" s="151" t="s">
        <v>282</v>
      </c>
      <c r="C69" s="461">
        <f>C57-C68</f>
        <v>506188</v>
      </c>
      <c r="D69" s="461">
        <f>D57-D68</f>
        <v>406688</v>
      </c>
      <c r="E69" s="344" t="s">
        <v>149</v>
      </c>
    </row>
    <row r="70" spans="2:6" ht="15.75">
      <c r="B70" s="295" t="str">
        <f>CONCATENATE("",E$1-2,"/",E$1-1," Budget Authority Amount:")</f>
        <v>2010/2011 Budget Authority Amount:</v>
      </c>
      <c r="C70" s="287">
        <f>inputOth!B47</f>
        <v>441375</v>
      </c>
      <c r="D70" s="287">
        <f>inputPrYr!D32</f>
        <v>429073</v>
      </c>
      <c r="E70" s="344" t="s">
        <v>149</v>
      </c>
      <c r="F70" s="327"/>
    </row>
    <row r="71" spans="2:6" ht="15.75">
      <c r="B71" s="295"/>
      <c r="C71" s="772" t="s">
        <v>684</v>
      </c>
      <c r="D71" s="773"/>
      <c r="E71" s="116"/>
      <c r="F71" s="327">
        <f>IF(E68/0.95-E68&lt;E71,"Exceeds 5%","")</f>
      </c>
    </row>
    <row r="72" spans="2:5" ht="15.75">
      <c r="B72" s="533" t="str">
        <f>CONCATENATE(C88,"     ",D88)</f>
        <v>     </v>
      </c>
      <c r="C72" s="774" t="s">
        <v>685</v>
      </c>
      <c r="D72" s="775"/>
      <c r="E72" s="273">
        <f>E68+E71</f>
        <v>407438</v>
      </c>
    </row>
    <row r="73" spans="2:5" ht="15.75">
      <c r="B73" s="533" t="str">
        <f>CONCATENATE(C89,"     ",D89)</f>
        <v>     </v>
      </c>
      <c r="C73" s="328"/>
      <c r="D73" s="249" t="s">
        <v>177</v>
      </c>
      <c r="E73" s="123">
        <f>IF(E72-E57&gt;0,E72-E57,0)</f>
        <v>0</v>
      </c>
    </row>
    <row r="74" spans="2:5" ht="15.75">
      <c r="B74" s="249"/>
      <c r="C74" s="532" t="s">
        <v>686</v>
      </c>
      <c r="D74" s="505">
        <f>inputOth!$E$24</f>
        <v>0.065</v>
      </c>
      <c r="E74" s="273">
        <f>ROUND(IF(D74&gt;0,($E$73*D74),0),0)</f>
        <v>0</v>
      </c>
    </row>
    <row r="75" spans="2:5" ht="15.75">
      <c r="B75" s="90"/>
      <c r="C75" s="781" t="str">
        <f>CONCATENATE("Amount of  ",$E$1-1," Ad Valorem Tax")</f>
        <v>Amount of  2011 Ad Valorem Tax</v>
      </c>
      <c r="D75" s="782"/>
      <c r="E75" s="355">
        <f>E73+E74</f>
        <v>0</v>
      </c>
    </row>
    <row r="76" spans="2:5" ht="15.75">
      <c r="B76" s="295" t="s">
        <v>190</v>
      </c>
      <c r="C76" s="356">
        <v>16</v>
      </c>
      <c r="D76" s="90"/>
      <c r="E76" s="90"/>
    </row>
    <row r="86" spans="3:4" ht="15.75" hidden="1">
      <c r="C86" s="77">
        <f>IF(C32&gt;C34,"See Tab A","")</f>
      </c>
      <c r="D86" s="77">
        <f>IF(D32&gt;D34,"See Tab C","")</f>
      </c>
    </row>
    <row r="87" spans="3:4" ht="15.75" hidden="1">
      <c r="C87" s="77">
        <f>IF(C33&lt;0,"See Tab B","")</f>
      </c>
      <c r="D87" s="77">
        <f>IF(D33&lt;0,"See Tab D","")</f>
      </c>
    </row>
    <row r="88" spans="3:4" ht="15.75" hidden="1">
      <c r="C88" s="77">
        <f>IF(C68&gt;C70,"See Tab A","")</f>
      </c>
      <c r="D88" s="77">
        <f>IF(D68&gt;D70,"See Tab C","")</f>
      </c>
    </row>
    <row r="89" spans="3:4" ht="15.75" hidden="1">
      <c r="C89" s="77">
        <f>IF(C69&lt;0,"See Tab B","")</f>
      </c>
      <c r="D89" s="77">
        <f>IF(D69&lt;0,"See Tab D","")</f>
      </c>
    </row>
  </sheetData>
  <sheetProtection sheet="1"/>
  <mergeCells count="6">
    <mergeCell ref="C35:D35"/>
    <mergeCell ref="C36:D36"/>
    <mergeCell ref="C71:D71"/>
    <mergeCell ref="C72:D72"/>
    <mergeCell ref="C75:D75"/>
    <mergeCell ref="C39:D39"/>
  </mergeCells>
  <conditionalFormatting sqref="E66">
    <cfRule type="cellIs" priority="3" dxfId="426" operator="greaterThan" stopIfTrue="1">
      <formula>$E$68*0.1</formula>
    </cfRule>
  </conditionalFormatting>
  <conditionalFormatting sqref="E71">
    <cfRule type="cellIs" priority="4" dxfId="426" operator="greaterThan" stopIfTrue="1">
      <formula>$E$68/0.95-$E$68</formula>
    </cfRule>
  </conditionalFormatting>
  <conditionalFormatting sqref="E35">
    <cfRule type="cellIs" priority="5" dxfId="426" operator="greaterThan" stopIfTrue="1">
      <formula>$E$32/0.95-$E$32</formula>
    </cfRule>
  </conditionalFormatting>
  <conditionalFormatting sqref="E30">
    <cfRule type="cellIs" priority="6" dxfId="426" operator="greaterThan" stopIfTrue="1">
      <formula>$E$32*0.1</formula>
    </cfRule>
  </conditionalFormatting>
  <conditionalFormatting sqref="C69 C33">
    <cfRule type="cellIs" priority="7" dxfId="2" operator="lessThan" stopIfTrue="1">
      <formula>0</formula>
    </cfRule>
  </conditionalFormatting>
  <conditionalFormatting sqref="C68">
    <cfRule type="cellIs" priority="8" dxfId="2" operator="greaterThan" stopIfTrue="1">
      <formula>$C$70</formula>
    </cfRule>
  </conditionalFormatting>
  <conditionalFormatting sqref="D68">
    <cfRule type="cellIs" priority="9" dxfId="2" operator="greaterThan" stopIfTrue="1">
      <formula>$D$70</formula>
    </cfRule>
  </conditionalFormatting>
  <conditionalFormatting sqref="C66">
    <cfRule type="cellIs" priority="10" dxfId="2" operator="greaterThan" stopIfTrue="1">
      <formula>$C$68*0.1</formula>
    </cfRule>
  </conditionalFormatting>
  <conditionalFormatting sqref="D66">
    <cfRule type="cellIs" priority="11" dxfId="2" operator="greaterThan" stopIfTrue="1">
      <formula>$D$68*0.1</formula>
    </cfRule>
  </conditionalFormatting>
  <conditionalFormatting sqref="E54">
    <cfRule type="cellIs" priority="12" dxfId="426" operator="greaterThan" stopIfTrue="1">
      <formula>$E$56*0.1+E75</formula>
    </cfRule>
  </conditionalFormatting>
  <conditionalFormatting sqref="C54">
    <cfRule type="cellIs" priority="13" dxfId="2" operator="greaterThan" stopIfTrue="1">
      <formula>$C$56*0.1</formula>
    </cfRule>
  </conditionalFormatting>
  <conditionalFormatting sqref="D54">
    <cfRule type="cellIs" priority="14" dxfId="2" operator="greaterThan" stopIfTrue="1">
      <formula>$D$56*0.1</formula>
    </cfRule>
  </conditionalFormatting>
  <conditionalFormatting sqref="C32">
    <cfRule type="cellIs" priority="15" dxfId="2" operator="greaterThan" stopIfTrue="1">
      <formula>$C$34</formula>
    </cfRule>
  </conditionalFormatting>
  <conditionalFormatting sqref="D32">
    <cfRule type="cellIs" priority="16" dxfId="2" operator="greaterThan" stopIfTrue="1">
      <formula>$D$34</formula>
    </cfRule>
  </conditionalFormatting>
  <conditionalFormatting sqref="C30">
    <cfRule type="cellIs" priority="17" dxfId="2" operator="greaterThan" stopIfTrue="1">
      <formula>$C$32*0.1</formula>
    </cfRule>
  </conditionalFormatting>
  <conditionalFormatting sqref="D30">
    <cfRule type="cellIs" priority="18" dxfId="2" operator="greaterThan" stopIfTrue="1">
      <formula>$D$32*0.1</formula>
    </cfRule>
  </conditionalFormatting>
  <conditionalFormatting sqref="E19">
    <cfRule type="cellIs" priority="19" dxfId="426" operator="greaterThan" stopIfTrue="1">
      <formula>$E$21*0.1+E39</formula>
    </cfRule>
  </conditionalFormatting>
  <conditionalFormatting sqref="C19">
    <cfRule type="cellIs" priority="20" dxfId="2" operator="greaterThan" stopIfTrue="1">
      <formula>$C$21*0.1</formula>
    </cfRule>
  </conditionalFormatting>
  <conditionalFormatting sqref="D19">
    <cfRule type="cellIs" priority="21" dxfId="2" operator="greaterThan" stopIfTrue="1">
      <formula>$D$21*0.1</formula>
    </cfRule>
  </conditionalFormatting>
  <conditionalFormatting sqref="D69 D33">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61" r:id="rId1"/>
  <headerFooter alignWithMargins="0">
    <oddHeader>&amp;RState of Kansas
County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F97"/>
  <sheetViews>
    <sheetView zoomScale="85" zoomScaleNormal="85" zoomScalePageLayoutView="0" workbookViewId="0" topLeftCell="A22">
      <selection activeCell="H67" sqref="H67"/>
    </sheetView>
  </sheetViews>
  <sheetFormatPr defaultColWidth="8.796875" defaultRowHeight="15"/>
  <cols>
    <col min="1" max="1" width="2.3984375" style="77" customWidth="1"/>
    <col min="2" max="2" width="31.09765625" style="77" customWidth="1"/>
    <col min="3" max="4" width="15.796875" style="77" customWidth="1"/>
    <col min="5" max="5" width="16.19921875" style="77" customWidth="1"/>
    <col min="6" max="16384" width="8.8984375" style="77" customWidth="1"/>
  </cols>
  <sheetData>
    <row r="1" spans="2:5" ht="15.75">
      <c r="B1" s="237" t="str">
        <f>inputPrYr!C2</f>
        <v>Geary County</v>
      </c>
      <c r="C1" s="90"/>
      <c r="D1" s="90"/>
      <c r="E1" s="294">
        <f>inputPrYr!C4</f>
        <v>2012</v>
      </c>
    </row>
    <row r="2" spans="2:5" ht="15.75">
      <c r="B2" s="90"/>
      <c r="C2" s="90"/>
      <c r="D2" s="90"/>
      <c r="E2" s="249"/>
    </row>
    <row r="3" spans="2:5" ht="15.75">
      <c r="B3" s="155" t="s">
        <v>239</v>
      </c>
      <c r="C3" s="340"/>
      <c r="D3" s="340"/>
      <c r="E3" s="341"/>
    </row>
    <row r="4" spans="2:5" ht="15.75">
      <c r="B4" s="90"/>
      <c r="C4" s="334"/>
      <c r="D4" s="334"/>
      <c r="E4" s="334"/>
    </row>
    <row r="5" spans="2:5" ht="15.75">
      <c r="B5" s="89" t="s">
        <v>162</v>
      </c>
      <c r="C5" s="478" t="str">
        <f>general!C4</f>
        <v>Prior Year Actual</v>
      </c>
      <c r="D5" s="477" t="str">
        <f>general!D4</f>
        <v>Current Year Estimate</v>
      </c>
      <c r="E5" s="479" t="str">
        <f>general!E4</f>
        <v>Proposed Budget Year</v>
      </c>
    </row>
    <row r="6" spans="2:5" ht="15.75">
      <c r="B6" s="512" t="str">
        <f>inputPrYr!B33</f>
        <v>Appraisers Cost (2)</v>
      </c>
      <c r="C6" s="459">
        <f>general!$C$5</f>
        <v>2010</v>
      </c>
      <c r="D6" s="459">
        <f>general!D5</f>
        <v>2011</v>
      </c>
      <c r="E6" s="310">
        <f>general!E5</f>
        <v>2012</v>
      </c>
    </row>
    <row r="7" spans="2:5" ht="15.75">
      <c r="B7" s="151" t="s">
        <v>281</v>
      </c>
      <c r="C7" s="456">
        <v>74302</v>
      </c>
      <c r="D7" s="460">
        <f>C32</f>
        <v>70778</v>
      </c>
      <c r="E7" s="273">
        <f>D32</f>
        <v>23325</v>
      </c>
    </row>
    <row r="8" spans="2:5" ht="15.75">
      <c r="B8" s="298" t="s">
        <v>283</v>
      </c>
      <c r="C8" s="313"/>
      <c r="D8" s="313"/>
      <c r="E8" s="130"/>
    </row>
    <row r="9" spans="2:5" ht="15.75">
      <c r="B9" s="151" t="s">
        <v>163</v>
      </c>
      <c r="C9" s="456">
        <v>284678</v>
      </c>
      <c r="D9" s="456">
        <v>259669</v>
      </c>
      <c r="E9" s="344" t="s">
        <v>149</v>
      </c>
    </row>
    <row r="10" spans="2:5" ht="15.75">
      <c r="B10" s="151" t="s">
        <v>164</v>
      </c>
      <c r="C10" s="456">
        <v>6986</v>
      </c>
      <c r="D10" s="456">
        <v>4500</v>
      </c>
      <c r="E10" s="116">
        <v>4500</v>
      </c>
    </row>
    <row r="11" spans="2:5" ht="15.75">
      <c r="B11" s="151" t="s">
        <v>165</v>
      </c>
      <c r="C11" s="456">
        <v>29057</v>
      </c>
      <c r="D11" s="456">
        <v>32693</v>
      </c>
      <c r="E11" s="273">
        <f>mvalloc!D25</f>
        <v>29092</v>
      </c>
    </row>
    <row r="12" spans="2:5" ht="15.75">
      <c r="B12" s="151" t="s">
        <v>166</v>
      </c>
      <c r="C12" s="456">
        <v>340</v>
      </c>
      <c r="D12" s="456">
        <v>367</v>
      </c>
      <c r="E12" s="273">
        <f>mvalloc!E25</f>
        <v>338</v>
      </c>
    </row>
    <row r="13" spans="2:5" ht="15.75">
      <c r="B13" s="313" t="s">
        <v>232</v>
      </c>
      <c r="C13" s="456">
        <v>599</v>
      </c>
      <c r="D13" s="456">
        <v>524</v>
      </c>
      <c r="E13" s="273">
        <f>mvalloc!F25</f>
        <v>476</v>
      </c>
    </row>
    <row r="14" spans="2:5" ht="15.75">
      <c r="B14" s="313" t="s">
        <v>333</v>
      </c>
      <c r="C14" s="456"/>
      <c r="D14" s="456"/>
      <c r="E14" s="273">
        <f>mvalloc!G25</f>
        <v>0</v>
      </c>
    </row>
    <row r="15" spans="2:5" ht="15.75">
      <c r="B15" s="325" t="s">
        <v>958</v>
      </c>
      <c r="C15" s="456">
        <v>79</v>
      </c>
      <c r="D15" s="456"/>
      <c r="E15" s="116"/>
    </row>
    <row r="16" spans="2:5" ht="15.75">
      <c r="B16" s="325"/>
      <c r="C16" s="456"/>
      <c r="D16" s="456"/>
      <c r="E16" s="116"/>
    </row>
    <row r="17" spans="2:5" ht="15.75">
      <c r="B17" s="316" t="s">
        <v>170</v>
      </c>
      <c r="C17" s="456"/>
      <c r="D17" s="456"/>
      <c r="E17" s="116"/>
    </row>
    <row r="18" spans="2:5" ht="15.75">
      <c r="B18" s="317" t="s">
        <v>76</v>
      </c>
      <c r="C18" s="456">
        <v>2187</v>
      </c>
      <c r="D18" s="456"/>
      <c r="E18" s="116"/>
    </row>
    <row r="19" spans="2:5" ht="15.75">
      <c r="B19" s="317" t="s">
        <v>682</v>
      </c>
      <c r="C19" s="457">
        <f>IF(C20*0.1&lt;C18,"Exceed 10% Rule","")</f>
      </c>
      <c r="D19" s="457">
        <f>IF(D20*0.1&lt;D18,"Exceed 10% Rule","")</f>
      </c>
      <c r="E19" s="351">
        <f>IF(E20*0.1+E38&lt;E18,"Exceed 10% Rule","")</f>
      </c>
    </row>
    <row r="20" spans="2:5" ht="15.75">
      <c r="B20" s="319" t="s">
        <v>171</v>
      </c>
      <c r="C20" s="458">
        <f>SUM(C9:C18)</f>
        <v>323926</v>
      </c>
      <c r="D20" s="458">
        <f>SUM(D9:D18)</f>
        <v>297753</v>
      </c>
      <c r="E20" s="358">
        <f>SUM(E9:E18)</f>
        <v>34406</v>
      </c>
    </row>
    <row r="21" spans="2:5" ht="15.75">
      <c r="B21" s="319" t="s">
        <v>172</v>
      </c>
      <c r="C21" s="458">
        <f>C7+C20</f>
        <v>398228</v>
      </c>
      <c r="D21" s="458">
        <f>D7+D20</f>
        <v>368531</v>
      </c>
      <c r="E21" s="358">
        <f>E7+E20</f>
        <v>57731</v>
      </c>
    </row>
    <row r="22" spans="2:5" ht="15.75">
      <c r="B22" s="151" t="s">
        <v>175</v>
      </c>
      <c r="C22" s="317"/>
      <c r="D22" s="317"/>
      <c r="E22" s="112"/>
    </row>
    <row r="23" spans="2:5" ht="15.75">
      <c r="B23" s="691" t="s">
        <v>959</v>
      </c>
      <c r="C23" s="456">
        <v>283686</v>
      </c>
      <c r="D23" s="456">
        <v>307706</v>
      </c>
      <c r="E23" s="116">
        <v>301202</v>
      </c>
    </row>
    <row r="24" spans="2:5" ht="15.75">
      <c r="B24" s="691" t="s">
        <v>977</v>
      </c>
      <c r="C24" s="456">
        <v>13785</v>
      </c>
      <c r="D24" s="456">
        <v>18500</v>
      </c>
      <c r="E24" s="116">
        <v>19500</v>
      </c>
    </row>
    <row r="25" spans="2:5" ht="15.75">
      <c r="B25" s="691" t="s">
        <v>978</v>
      </c>
      <c r="C25" s="456">
        <v>9189</v>
      </c>
      <c r="D25" s="456">
        <v>9000</v>
      </c>
      <c r="E25" s="116">
        <v>9500</v>
      </c>
    </row>
    <row r="26" spans="2:5" ht="15.75">
      <c r="B26" s="691" t="s">
        <v>972</v>
      </c>
      <c r="C26" s="456">
        <v>20790</v>
      </c>
      <c r="D26" s="456">
        <v>10000</v>
      </c>
      <c r="E26" s="116">
        <v>11000</v>
      </c>
    </row>
    <row r="27" spans="2:5" ht="15.75">
      <c r="B27" s="325"/>
      <c r="C27" s="456"/>
      <c r="D27" s="456"/>
      <c r="E27" s="116"/>
    </row>
    <row r="28" spans="2:5" ht="15.75">
      <c r="B28" s="317" t="s">
        <v>78</v>
      </c>
      <c r="C28" s="456"/>
      <c r="D28" s="456"/>
      <c r="E28" s="123">
        <f>Nhood!E23</f>
      </c>
    </row>
    <row r="29" spans="2:5" ht="15.75">
      <c r="B29" s="317" t="s">
        <v>76</v>
      </c>
      <c r="C29" s="456"/>
      <c r="D29" s="456"/>
      <c r="E29" s="116"/>
    </row>
    <row r="30" spans="2:5" ht="15.75">
      <c r="B30" s="317" t="s">
        <v>681</v>
      </c>
      <c r="C30" s="457">
        <f>IF(C31*0.1&lt;C29,"Exceed 10% Rule","")</f>
      </c>
      <c r="D30" s="457">
        <f>IF(D31*0.1&lt;D29,"Exceed 10% Rule","")</f>
      </c>
      <c r="E30" s="351">
        <f>IF(E31*0.1&lt;E29,"Exceed 10% Rule","")</f>
      </c>
    </row>
    <row r="31" spans="2:5" ht="15.75">
      <c r="B31" s="319" t="s">
        <v>176</v>
      </c>
      <c r="C31" s="458">
        <f>SUM(C23:C29)</f>
        <v>327450</v>
      </c>
      <c r="D31" s="458">
        <f>SUM(D23:D29)</f>
        <v>345206</v>
      </c>
      <c r="E31" s="358">
        <f>SUM(E23:E29)</f>
        <v>341202</v>
      </c>
    </row>
    <row r="32" spans="2:5" ht="15.75">
      <c r="B32" s="151" t="s">
        <v>282</v>
      </c>
      <c r="C32" s="461">
        <f>C21-C31</f>
        <v>70778</v>
      </c>
      <c r="D32" s="461">
        <f>D21-D31</f>
        <v>23325</v>
      </c>
      <c r="E32" s="344" t="s">
        <v>149</v>
      </c>
    </row>
    <row r="33" spans="2:6" ht="15.75">
      <c r="B33" s="295" t="str">
        <f>CONCATENATE("",E$1-2,"/",E$1-1," Budget Authority Amount:")</f>
        <v>2010/2011 Budget Authority Amount:</v>
      </c>
      <c r="C33" s="287">
        <f>inputOth!B48</f>
        <v>359201</v>
      </c>
      <c r="D33" s="287">
        <f>inputPrYr!D33</f>
        <v>345206</v>
      </c>
      <c r="E33" s="344" t="s">
        <v>149</v>
      </c>
      <c r="F33" s="327"/>
    </row>
    <row r="34" spans="2:6" ht="15.75">
      <c r="B34" s="295"/>
      <c r="C34" s="772" t="s">
        <v>684</v>
      </c>
      <c r="D34" s="773"/>
      <c r="E34" s="116"/>
      <c r="F34" s="327">
        <f>IF(E31/0.95-E31&lt;E34,"Exceeds 5%","")</f>
      </c>
    </row>
    <row r="35" spans="2:5" ht="15.75">
      <c r="B35" s="534" t="str">
        <f>CONCATENATE(C94,"     ",D94)</f>
        <v>     </v>
      </c>
      <c r="C35" s="774" t="s">
        <v>685</v>
      </c>
      <c r="D35" s="775"/>
      <c r="E35" s="273">
        <f>E31+E34</f>
        <v>341202</v>
      </c>
    </row>
    <row r="36" spans="2:5" ht="15.75">
      <c r="B36" s="534" t="str">
        <f>CONCATENATE(C95,"     ",D95)</f>
        <v>     </v>
      </c>
      <c r="C36" s="328"/>
      <c r="D36" s="249" t="s">
        <v>177</v>
      </c>
      <c r="E36" s="123">
        <f>IF(E35-E21&gt;0,E35-E21,0)</f>
        <v>283471</v>
      </c>
    </row>
    <row r="37" spans="2:5" ht="15.75">
      <c r="B37" s="249"/>
      <c r="C37" s="532" t="s">
        <v>686</v>
      </c>
      <c r="D37" s="505">
        <f>inputOth!$E$24</f>
        <v>0.065</v>
      </c>
      <c r="E37" s="273">
        <f>ROUND(IF(D37&gt;0,($E$36*D37),0),0)</f>
        <v>18426</v>
      </c>
    </row>
    <row r="38" spans="2:5" ht="15.75">
      <c r="B38" s="90"/>
      <c r="C38" s="781" t="str">
        <f>CONCATENATE("Amount of  ",$E$1-1," Ad Valorem Tax")</f>
        <v>Amount of  2011 Ad Valorem Tax</v>
      </c>
      <c r="D38" s="782"/>
      <c r="E38" s="355">
        <f>E36+E37</f>
        <v>301897</v>
      </c>
    </row>
    <row r="39" spans="2:5" ht="15.75">
      <c r="B39" s="89"/>
      <c r="C39" s="334"/>
      <c r="D39" s="334"/>
      <c r="E39" s="334"/>
    </row>
    <row r="40" spans="2:5" ht="15.75">
      <c r="B40" s="89" t="s">
        <v>162</v>
      </c>
      <c r="C40" s="478" t="str">
        <f aca="true" t="shared" si="0" ref="C40:E41">C5</f>
        <v>Prior Year Actual</v>
      </c>
      <c r="D40" s="477" t="str">
        <f t="shared" si="0"/>
        <v>Current Year Estimate</v>
      </c>
      <c r="E40" s="479" t="str">
        <f t="shared" si="0"/>
        <v>Proposed Budget Year</v>
      </c>
    </row>
    <row r="41" spans="2:5" ht="15.75">
      <c r="B41" s="511" t="str">
        <f>inputPrYr!B34</f>
        <v>Employee Benefits (12)</v>
      </c>
      <c r="C41" s="459">
        <f t="shared" si="0"/>
        <v>2010</v>
      </c>
      <c r="D41" s="459">
        <f t="shared" si="0"/>
        <v>2011</v>
      </c>
      <c r="E41" s="310">
        <f t="shared" si="0"/>
        <v>2012</v>
      </c>
    </row>
    <row r="42" spans="2:5" ht="15.75">
      <c r="B42" s="151" t="s">
        <v>281</v>
      </c>
      <c r="C42" s="456">
        <v>1467503</v>
      </c>
      <c r="D42" s="460">
        <f>C77</f>
        <v>986385</v>
      </c>
      <c r="E42" s="273">
        <f>D77</f>
        <v>554271</v>
      </c>
    </row>
    <row r="43" spans="2:5" ht="15.75">
      <c r="B43" s="311" t="s">
        <v>283</v>
      </c>
      <c r="C43" s="313"/>
      <c r="D43" s="313"/>
      <c r="E43" s="130"/>
    </row>
    <row r="44" spans="2:5" ht="15.75">
      <c r="B44" s="151" t="s">
        <v>163</v>
      </c>
      <c r="C44" s="456">
        <v>1094708</v>
      </c>
      <c r="D44" s="456">
        <v>1882156</v>
      </c>
      <c r="E44" s="344" t="s">
        <v>149</v>
      </c>
    </row>
    <row r="45" spans="2:5" ht="15.75">
      <c r="B45" s="151" t="s">
        <v>164</v>
      </c>
      <c r="C45" s="456">
        <v>34674</v>
      </c>
      <c r="D45" s="456">
        <v>25000</v>
      </c>
      <c r="E45" s="116">
        <v>27000</v>
      </c>
    </row>
    <row r="46" spans="2:5" ht="15.75">
      <c r="B46" s="151" t="s">
        <v>165</v>
      </c>
      <c r="C46" s="456">
        <v>140002</v>
      </c>
      <c r="D46" s="456">
        <v>125753</v>
      </c>
      <c r="E46" s="273">
        <f>mvalloc!D26</f>
        <v>210868</v>
      </c>
    </row>
    <row r="47" spans="2:5" ht="15.75">
      <c r="B47" s="151" t="s">
        <v>166</v>
      </c>
      <c r="C47" s="456">
        <v>1639</v>
      </c>
      <c r="D47" s="456">
        <v>1413</v>
      </c>
      <c r="E47" s="273">
        <f>mvalloc!E26</f>
        <v>2449</v>
      </c>
    </row>
    <row r="48" spans="2:5" ht="15.75">
      <c r="B48" s="313" t="s">
        <v>232</v>
      </c>
      <c r="C48" s="456">
        <v>2271</v>
      </c>
      <c r="D48" s="456">
        <v>2015</v>
      </c>
      <c r="E48" s="273">
        <f>mvalloc!F26</f>
        <v>3453</v>
      </c>
    </row>
    <row r="49" spans="2:5" ht="15.75">
      <c r="B49" s="313" t="s">
        <v>333</v>
      </c>
      <c r="C49" s="456"/>
      <c r="D49" s="456"/>
      <c r="E49" s="273">
        <f>mvalloc!G26</f>
        <v>0</v>
      </c>
    </row>
    <row r="50" spans="2:5" ht="15.75">
      <c r="B50" s="693" t="s">
        <v>976</v>
      </c>
      <c r="C50" s="456">
        <v>303</v>
      </c>
      <c r="D50" s="456"/>
      <c r="E50" s="116"/>
    </row>
    <row r="51" spans="2:5" ht="15.75">
      <c r="B51" s="693" t="s">
        <v>1062</v>
      </c>
      <c r="C51" s="456">
        <v>285831</v>
      </c>
      <c r="D51" s="456"/>
      <c r="E51" s="116"/>
    </row>
    <row r="52" spans="2:5" ht="15.75">
      <c r="B52" s="693" t="s">
        <v>992</v>
      </c>
      <c r="C52" s="456">
        <v>286044</v>
      </c>
      <c r="D52" s="456">
        <v>300433</v>
      </c>
      <c r="E52" s="116">
        <v>295313</v>
      </c>
    </row>
    <row r="53" spans="2:5" ht="15.75">
      <c r="B53" s="693" t="s">
        <v>993</v>
      </c>
      <c r="C53" s="456">
        <v>207407</v>
      </c>
      <c r="D53" s="456">
        <v>196355</v>
      </c>
      <c r="E53" s="116">
        <v>204756</v>
      </c>
    </row>
    <row r="54" spans="2:5" ht="15.75">
      <c r="B54" s="692" t="s">
        <v>994</v>
      </c>
      <c r="C54" s="456">
        <v>43480</v>
      </c>
      <c r="D54" s="456">
        <v>50831</v>
      </c>
      <c r="E54" s="116">
        <v>53503</v>
      </c>
    </row>
    <row r="55" spans="2:5" ht="15.75">
      <c r="B55" s="692" t="s">
        <v>953</v>
      </c>
      <c r="C55" s="456">
        <v>6604</v>
      </c>
      <c r="D55" s="456">
        <v>5290</v>
      </c>
      <c r="E55" s="116">
        <v>5460</v>
      </c>
    </row>
    <row r="56" spans="2:5" ht="15.75">
      <c r="B56" s="692" t="s">
        <v>995</v>
      </c>
      <c r="C56" s="456">
        <v>25666</v>
      </c>
      <c r="D56" s="456">
        <v>27053</v>
      </c>
      <c r="E56" s="116">
        <v>32258</v>
      </c>
    </row>
    <row r="57" spans="2:5" ht="15.75">
      <c r="B57" s="692" t="s">
        <v>996</v>
      </c>
      <c r="C57" s="456"/>
      <c r="D57" s="456">
        <v>1500</v>
      </c>
      <c r="E57" s="116">
        <v>1500</v>
      </c>
    </row>
    <row r="58" spans="2:5" ht="15.75">
      <c r="B58" s="692" t="s">
        <v>1075</v>
      </c>
      <c r="C58" s="456">
        <v>11078</v>
      </c>
      <c r="D58" s="456">
        <v>12087</v>
      </c>
      <c r="E58" s="116">
        <v>10200</v>
      </c>
    </row>
    <row r="59" spans="2:5" ht="15.75">
      <c r="B59" s="316" t="s">
        <v>170</v>
      </c>
      <c r="C59" s="456"/>
      <c r="D59" s="456"/>
      <c r="E59" s="506"/>
    </row>
    <row r="60" spans="2:5" ht="15.75">
      <c r="B60" s="317" t="s">
        <v>76</v>
      </c>
      <c r="C60" s="456">
        <f>20947+10614</f>
        <v>31561</v>
      </c>
      <c r="D60" s="456"/>
      <c r="E60" s="116"/>
    </row>
    <row r="61" spans="2:5" ht="15.75">
      <c r="B61" s="317" t="s">
        <v>682</v>
      </c>
      <c r="C61" s="457">
        <f>IF(C62*0.1&lt;C60,"Exceed 10% Rule","")</f>
      </c>
      <c r="D61" s="457">
        <f>IF(D62*0.1&lt;D60,"Exceed 10% Rule","")</f>
      </c>
      <c r="E61" s="351">
        <f>IF(E62*0.1+E83&lt;E60,"Exceed 10% Rule","")</f>
      </c>
    </row>
    <row r="62" spans="2:5" ht="15.75">
      <c r="B62" s="319" t="s">
        <v>171</v>
      </c>
      <c r="C62" s="458">
        <f>SUM(C44:C60)</f>
        <v>2171268</v>
      </c>
      <c r="D62" s="458">
        <f>SUM(D44:D60)</f>
        <v>2629886</v>
      </c>
      <c r="E62" s="358">
        <f>SUM(E44:E60)</f>
        <v>846760</v>
      </c>
    </row>
    <row r="63" spans="2:5" ht="15.75">
      <c r="B63" s="319" t="s">
        <v>172</v>
      </c>
      <c r="C63" s="458">
        <f>C42+C62</f>
        <v>3638771</v>
      </c>
      <c r="D63" s="458">
        <f>D42+D62</f>
        <v>3616271</v>
      </c>
      <c r="E63" s="358">
        <f>E42+E62</f>
        <v>1401031</v>
      </c>
    </row>
    <row r="64" spans="2:5" ht="15.75">
      <c r="B64" s="151" t="s">
        <v>175</v>
      </c>
      <c r="C64" s="317"/>
      <c r="D64" s="317"/>
      <c r="E64" s="112"/>
    </row>
    <row r="65" spans="2:5" ht="15.75">
      <c r="B65" s="694" t="s">
        <v>997</v>
      </c>
      <c r="C65" s="456">
        <v>578159</v>
      </c>
      <c r="D65" s="456">
        <v>629000</v>
      </c>
      <c r="E65" s="116">
        <v>638900</v>
      </c>
    </row>
    <row r="66" spans="2:5" ht="15.75">
      <c r="B66" s="694" t="s">
        <v>998</v>
      </c>
      <c r="C66" s="456">
        <v>1373097</v>
      </c>
      <c r="D66" s="456">
        <v>1600000</v>
      </c>
      <c r="E66" s="116">
        <v>1645000</v>
      </c>
    </row>
    <row r="67" spans="2:5" ht="15.75">
      <c r="B67" s="694" t="s">
        <v>345</v>
      </c>
      <c r="C67" s="456">
        <f>514157+10614</f>
        <v>524771</v>
      </c>
      <c r="D67" s="456">
        <v>634000</v>
      </c>
      <c r="E67" s="116">
        <v>665400</v>
      </c>
    </row>
    <row r="68" spans="2:5" ht="15.75">
      <c r="B68" s="694" t="s">
        <v>999</v>
      </c>
      <c r="C68" s="456">
        <v>162944</v>
      </c>
      <c r="D68" s="456">
        <v>175000</v>
      </c>
      <c r="E68" s="116">
        <v>222000</v>
      </c>
    </row>
    <row r="69" spans="2:5" ht="15.75">
      <c r="B69" s="694" t="s">
        <v>1000</v>
      </c>
      <c r="C69" s="456">
        <f>7433+1843</f>
        <v>9276</v>
      </c>
      <c r="D69" s="456">
        <v>15000</v>
      </c>
      <c r="E69" s="116">
        <v>31000</v>
      </c>
    </row>
    <row r="70" spans="2:5" ht="15.75">
      <c r="B70" s="694" t="s">
        <v>1001</v>
      </c>
      <c r="C70" s="456">
        <v>1735</v>
      </c>
      <c r="D70" s="456">
        <v>2000</v>
      </c>
      <c r="E70" s="116">
        <v>2000</v>
      </c>
    </row>
    <row r="71" spans="2:5" ht="15.75">
      <c r="B71" s="694" t="s">
        <v>1074</v>
      </c>
      <c r="C71" s="456">
        <v>2404</v>
      </c>
      <c r="D71" s="456">
        <v>1000</v>
      </c>
      <c r="E71" s="116">
        <v>1000</v>
      </c>
    </row>
    <row r="72" spans="2:5" ht="15.75">
      <c r="B72" s="694" t="s">
        <v>1002</v>
      </c>
      <c r="C72" s="456"/>
      <c r="D72" s="456">
        <v>6000</v>
      </c>
      <c r="E72" s="116">
        <v>6000</v>
      </c>
    </row>
    <row r="73" spans="2:5" ht="15.75">
      <c r="B73" s="317" t="s">
        <v>78</v>
      </c>
      <c r="C73" s="456"/>
      <c r="D73" s="456"/>
      <c r="E73" s="123">
        <f>Nhood!E24</f>
      </c>
    </row>
    <row r="74" spans="2:5" ht="15.75">
      <c r="B74" s="317" t="s">
        <v>76</v>
      </c>
      <c r="C74" s="456"/>
      <c r="D74" s="456"/>
      <c r="E74" s="116"/>
    </row>
    <row r="75" spans="2:5" ht="15.75">
      <c r="B75" s="317" t="s">
        <v>681</v>
      </c>
      <c r="C75" s="457">
        <f>IF(C76*0.1&lt;C74,"Exceed 10% Rule","")</f>
      </c>
      <c r="D75" s="457">
        <f>IF(D76*0.1&lt;D74,"Exceed 10% Rule","")</f>
      </c>
      <c r="E75" s="351">
        <f>IF(E76*0.1&lt;E74,"Exceed 10% Rule","")</f>
      </c>
    </row>
    <row r="76" spans="2:5" ht="15.75">
      <c r="B76" s="319" t="s">
        <v>176</v>
      </c>
      <c r="C76" s="458">
        <f>SUM(C65:C74)</f>
        <v>2652386</v>
      </c>
      <c r="D76" s="458">
        <f>SUM(D65:D74)</f>
        <v>3062000</v>
      </c>
      <c r="E76" s="358">
        <f>SUM(E65:E74)</f>
        <v>3211300</v>
      </c>
    </row>
    <row r="77" spans="2:5" ht="15.75">
      <c r="B77" s="151" t="s">
        <v>282</v>
      </c>
      <c r="C77" s="461">
        <f>C63-C76</f>
        <v>986385</v>
      </c>
      <c r="D77" s="461">
        <f>D63-D76</f>
        <v>554271</v>
      </c>
      <c r="E77" s="344" t="s">
        <v>149</v>
      </c>
    </row>
    <row r="78" spans="2:6" ht="15.75">
      <c r="B78" s="295" t="str">
        <f>CONCATENATE("",E$1-2,"/",E$1-1," Budget Authority Amount:")</f>
        <v>2010/2011 Budget Authority Amount:</v>
      </c>
      <c r="C78" s="287">
        <f>inputOth!B49</f>
        <v>2938000</v>
      </c>
      <c r="D78" s="287">
        <f>inputPrYr!D34</f>
        <v>3062000</v>
      </c>
      <c r="E78" s="344" t="s">
        <v>149</v>
      </c>
      <c r="F78" s="327"/>
    </row>
    <row r="79" spans="2:6" ht="15.75">
      <c r="B79" s="295"/>
      <c r="C79" s="772" t="s">
        <v>684</v>
      </c>
      <c r="D79" s="773"/>
      <c r="E79" s="116"/>
      <c r="F79" s="327">
        <f>IF(E76/0.95-E76&lt;E79,"Exceeds 5%","")</f>
      </c>
    </row>
    <row r="80" spans="2:5" ht="15.75">
      <c r="B80" s="533" t="str">
        <f>CONCATENATE(C96,"     ",D96)</f>
        <v>     </v>
      </c>
      <c r="C80" s="774" t="s">
        <v>685</v>
      </c>
      <c r="D80" s="775"/>
      <c r="E80" s="273">
        <f>E76+E79</f>
        <v>3211300</v>
      </c>
    </row>
    <row r="81" spans="2:5" ht="15.75">
      <c r="B81" s="533" t="str">
        <f>CONCATENATE(C97,"     ",D97)</f>
        <v>     </v>
      </c>
      <c r="C81" s="328"/>
      <c r="D81" s="249" t="s">
        <v>177</v>
      </c>
      <c r="E81" s="123">
        <f>IF(E80-E63&gt;0,E80-E63,0)</f>
        <v>1810269</v>
      </c>
    </row>
    <row r="82" spans="2:5" ht="15.75">
      <c r="B82" s="249"/>
      <c r="C82" s="532" t="s">
        <v>686</v>
      </c>
      <c r="D82" s="505">
        <f>inputOth!$E$24</f>
        <v>0.065</v>
      </c>
      <c r="E82" s="273">
        <f>ROUND(IF(D82&gt;0,($E$81*D82),0),0)</f>
        <v>117667</v>
      </c>
    </row>
    <row r="83" spans="2:5" ht="15.75">
      <c r="B83" s="90"/>
      <c r="C83" s="781" t="str">
        <f>CONCATENATE("Amount of  ",$E$1-1," Ad Valorem Tax")</f>
        <v>Amount of  2011 Ad Valorem Tax</v>
      </c>
      <c r="D83" s="782"/>
      <c r="E83" s="355">
        <f>E81+E82</f>
        <v>1927936</v>
      </c>
    </row>
    <row r="84" spans="2:5" ht="15.75">
      <c r="B84" s="295" t="s">
        <v>190</v>
      </c>
      <c r="C84" s="356">
        <v>17</v>
      </c>
      <c r="D84" s="90"/>
      <c r="E84" s="90"/>
    </row>
    <row r="94" spans="3:4" ht="15.75" hidden="1">
      <c r="C94" s="77">
        <f>IF(C31&gt;C33,"See Tab A","")</f>
      </c>
      <c r="D94" s="77">
        <f>IF(D31&gt;D33,"See Tab C","")</f>
      </c>
    </row>
    <row r="95" spans="3:4" ht="15.75" hidden="1">
      <c r="C95" s="77">
        <f>IF(C32&lt;0,"See Tab B","")</f>
      </c>
      <c r="D95" s="77">
        <f>IF(D32&lt;0,"See Tab D","")</f>
      </c>
    </row>
    <row r="96" spans="3:4" ht="15.75" hidden="1">
      <c r="C96" s="77">
        <f>IF(C76&gt;C78,"See Tab A","")</f>
      </c>
      <c r="D96" s="77">
        <f>IF(D76&gt;D78,"See Tab C","")</f>
      </c>
    </row>
    <row r="97" spans="3:4" ht="15.75" hidden="1">
      <c r="C97" s="77">
        <f>IF(C77&lt;0,"See Tab B","")</f>
      </c>
      <c r="D97" s="77">
        <f>IF(D77&lt;0,"See Tab D","")</f>
      </c>
    </row>
  </sheetData>
  <sheetProtection/>
  <mergeCells count="6">
    <mergeCell ref="C34:D34"/>
    <mergeCell ref="C35:D35"/>
    <mergeCell ref="C79:D79"/>
    <mergeCell ref="C80:D80"/>
    <mergeCell ref="C83:D83"/>
    <mergeCell ref="C38:D38"/>
  </mergeCells>
  <conditionalFormatting sqref="E74">
    <cfRule type="cellIs" priority="3" dxfId="426" operator="greaterThan" stopIfTrue="1">
      <formula>$E$76*0.1</formula>
    </cfRule>
  </conditionalFormatting>
  <conditionalFormatting sqref="E79">
    <cfRule type="cellIs" priority="4" dxfId="426" operator="greaterThan" stopIfTrue="1">
      <formula>$E$76/0.95-$E$76</formula>
    </cfRule>
  </conditionalFormatting>
  <conditionalFormatting sqref="E34">
    <cfRule type="cellIs" priority="5" dxfId="426" operator="greaterThan" stopIfTrue="1">
      <formula>$E$31/0.95-$E$31</formula>
    </cfRule>
  </conditionalFormatting>
  <conditionalFormatting sqref="E29">
    <cfRule type="cellIs" priority="6" dxfId="426" operator="greaterThan" stopIfTrue="1">
      <formula>$E$31*0.1</formula>
    </cfRule>
  </conditionalFormatting>
  <conditionalFormatting sqref="C77 C32">
    <cfRule type="cellIs" priority="7" dxfId="2" operator="lessThan" stopIfTrue="1">
      <formula>0</formula>
    </cfRule>
  </conditionalFormatting>
  <conditionalFormatting sqref="C76">
    <cfRule type="cellIs" priority="8" dxfId="2" operator="greaterThan" stopIfTrue="1">
      <formula>$C$78</formula>
    </cfRule>
  </conditionalFormatting>
  <conditionalFormatting sqref="D76">
    <cfRule type="cellIs" priority="9" dxfId="2" operator="greaterThan" stopIfTrue="1">
      <formula>$D$78</formula>
    </cfRule>
  </conditionalFormatting>
  <conditionalFormatting sqref="C74">
    <cfRule type="cellIs" priority="10" dxfId="2" operator="greaterThan" stopIfTrue="1">
      <formula>$C$76*0.1</formula>
    </cfRule>
  </conditionalFormatting>
  <conditionalFormatting sqref="D74">
    <cfRule type="cellIs" priority="11" dxfId="2" operator="greaterThan" stopIfTrue="1">
      <formula>$D$76*0.1</formula>
    </cfRule>
  </conditionalFormatting>
  <conditionalFormatting sqref="E60">
    <cfRule type="cellIs" priority="12" dxfId="426" operator="greaterThan" stopIfTrue="1">
      <formula>$E$62*0.1+E83</formula>
    </cfRule>
  </conditionalFormatting>
  <conditionalFormatting sqref="C60">
    <cfRule type="cellIs" priority="13" dxfId="2" operator="greaterThan" stopIfTrue="1">
      <formula>$C$62*0.1</formula>
    </cfRule>
  </conditionalFormatting>
  <conditionalFormatting sqref="D60">
    <cfRule type="cellIs" priority="14" dxfId="2" operator="greaterThan" stopIfTrue="1">
      <formula>$D$62*0.1</formula>
    </cfRule>
  </conditionalFormatting>
  <conditionalFormatting sqref="C31">
    <cfRule type="cellIs" priority="15" dxfId="2" operator="greaterThan" stopIfTrue="1">
      <formula>$C$33</formula>
    </cfRule>
  </conditionalFormatting>
  <conditionalFormatting sqref="D31">
    <cfRule type="cellIs" priority="16" dxfId="2" operator="greaterThan" stopIfTrue="1">
      <formula>$D$33</formula>
    </cfRule>
  </conditionalFormatting>
  <conditionalFormatting sqref="C29">
    <cfRule type="cellIs" priority="17" dxfId="2" operator="greaterThan" stopIfTrue="1">
      <formula>$C$31*0.1</formula>
    </cfRule>
  </conditionalFormatting>
  <conditionalFormatting sqref="D29">
    <cfRule type="cellIs" priority="18" dxfId="2" operator="greaterThan" stopIfTrue="1">
      <formula>$D$31*0.1</formula>
    </cfRule>
  </conditionalFormatting>
  <conditionalFormatting sqref="E18">
    <cfRule type="cellIs" priority="19" dxfId="426" operator="greaterThan" stopIfTrue="1">
      <formula>$E$20*0.1+E38</formula>
    </cfRule>
  </conditionalFormatting>
  <conditionalFormatting sqref="C18">
    <cfRule type="cellIs" priority="20" dxfId="2" operator="greaterThan" stopIfTrue="1">
      <formula>$C$20*0.1</formula>
    </cfRule>
  </conditionalFormatting>
  <conditionalFormatting sqref="D18">
    <cfRule type="cellIs" priority="21" dxfId="2" operator="greaterThan" stopIfTrue="1">
      <formula>$D$20*0.1</formula>
    </cfRule>
  </conditionalFormatting>
  <conditionalFormatting sqref="D32 D77">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4" r:id="rId1"/>
  <headerFooter alignWithMargins="0">
    <oddHeader>&amp;RState of Kansas
County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F86"/>
  <sheetViews>
    <sheetView zoomScale="85" zoomScaleNormal="85" zoomScalePageLayoutView="0" workbookViewId="0" topLeftCell="A14">
      <selection activeCell="H67" sqref="H67"/>
    </sheetView>
  </sheetViews>
  <sheetFormatPr defaultColWidth="8.796875" defaultRowHeight="15"/>
  <cols>
    <col min="1" max="1" width="2.3984375" style="77" customWidth="1"/>
    <col min="2" max="2" width="31.09765625" style="77" customWidth="1"/>
    <col min="3" max="4" width="15.796875" style="77" customWidth="1"/>
    <col min="5" max="5" width="16.19921875" style="77" customWidth="1"/>
    <col min="6" max="16384" width="8.8984375" style="77" customWidth="1"/>
  </cols>
  <sheetData>
    <row r="1" spans="2:5" ht="15.75">
      <c r="B1" s="237" t="str">
        <f>inputPrYr!C2</f>
        <v>Geary County</v>
      </c>
      <c r="C1" s="90"/>
      <c r="D1" s="90"/>
      <c r="E1" s="294">
        <f>inputPrYr!C4</f>
        <v>2012</v>
      </c>
    </row>
    <row r="2" spans="2:5" ht="15.75">
      <c r="B2" s="90"/>
      <c r="C2" s="90"/>
      <c r="D2" s="90"/>
      <c r="E2" s="249"/>
    </row>
    <row r="3" spans="2:5" ht="15.75">
      <c r="B3" s="155" t="s">
        <v>239</v>
      </c>
      <c r="C3" s="340"/>
      <c r="D3" s="340"/>
      <c r="E3" s="341"/>
    </row>
    <row r="4" spans="2:5" ht="15.75">
      <c r="B4" s="90"/>
      <c r="C4" s="334"/>
      <c r="D4" s="334"/>
      <c r="E4" s="334"/>
    </row>
    <row r="5" spans="2:5" ht="15.75">
      <c r="B5" s="89" t="s">
        <v>162</v>
      </c>
      <c r="C5" s="478" t="str">
        <f>general!C4</f>
        <v>Prior Year Actual</v>
      </c>
      <c r="D5" s="477" t="str">
        <f>general!D4</f>
        <v>Current Year Estimate</v>
      </c>
      <c r="E5" s="479" t="str">
        <f>general!E4</f>
        <v>Proposed Budget Year</v>
      </c>
    </row>
    <row r="6" spans="2:5" ht="15.75">
      <c r="B6" s="512" t="str">
        <f>inputPrYr!B35</f>
        <v>Historical (65)</v>
      </c>
      <c r="C6" s="459">
        <f>general!$C$5</f>
        <v>2010</v>
      </c>
      <c r="D6" s="459">
        <f>general!D5</f>
        <v>2011</v>
      </c>
      <c r="E6" s="310">
        <f>general!E5</f>
        <v>2012</v>
      </c>
    </row>
    <row r="7" spans="2:5" ht="15.75">
      <c r="B7" s="151" t="s">
        <v>281</v>
      </c>
      <c r="C7" s="456">
        <v>4131</v>
      </c>
      <c r="D7" s="460">
        <f>C31</f>
        <v>2789</v>
      </c>
      <c r="E7" s="273">
        <f>D31</f>
        <v>0</v>
      </c>
    </row>
    <row r="8" spans="2:5" ht="15.75">
      <c r="B8" s="298" t="s">
        <v>283</v>
      </c>
      <c r="C8" s="313"/>
      <c r="D8" s="313"/>
      <c r="E8" s="130"/>
    </row>
    <row r="9" spans="2:5" ht="15.75">
      <c r="B9" s="151" t="s">
        <v>163</v>
      </c>
      <c r="C9" s="456">
        <v>72218</v>
      </c>
      <c r="D9" s="456">
        <v>92363</v>
      </c>
      <c r="E9" s="344" t="s">
        <v>149</v>
      </c>
    </row>
    <row r="10" spans="2:5" ht="15.75">
      <c r="B10" s="151" t="s">
        <v>164</v>
      </c>
      <c r="C10" s="456">
        <v>1582</v>
      </c>
      <c r="D10" s="456">
        <v>1000</v>
      </c>
      <c r="E10" s="116">
        <v>1000</v>
      </c>
    </row>
    <row r="11" spans="2:5" ht="15.75">
      <c r="B11" s="151" t="s">
        <v>165</v>
      </c>
      <c r="C11" s="456">
        <v>6784</v>
      </c>
      <c r="D11" s="456">
        <v>8281</v>
      </c>
      <c r="E11" s="273">
        <f>mvalloc!D27</f>
        <v>10348</v>
      </c>
    </row>
    <row r="12" spans="2:5" ht="15.75">
      <c r="B12" s="151" t="s">
        <v>166</v>
      </c>
      <c r="C12" s="456">
        <v>79</v>
      </c>
      <c r="D12" s="456">
        <v>93</v>
      </c>
      <c r="E12" s="273">
        <f>mvalloc!E27</f>
        <v>120</v>
      </c>
    </row>
    <row r="13" spans="2:5" ht="15.75">
      <c r="B13" s="313" t="s">
        <v>232</v>
      </c>
      <c r="C13" s="456">
        <v>130</v>
      </c>
      <c r="D13" s="456">
        <v>133</v>
      </c>
      <c r="E13" s="273">
        <f>mvalloc!F27</f>
        <v>169</v>
      </c>
    </row>
    <row r="14" spans="2:5" ht="15.75">
      <c r="B14" s="313" t="s">
        <v>333</v>
      </c>
      <c r="C14" s="456"/>
      <c r="D14" s="456"/>
      <c r="E14" s="273">
        <f>mvalloc!G27</f>
        <v>0</v>
      </c>
    </row>
    <row r="15" spans="2:5" ht="15.75">
      <c r="B15" s="325" t="s">
        <v>976</v>
      </c>
      <c r="C15" s="456">
        <v>20</v>
      </c>
      <c r="D15" s="456"/>
      <c r="E15" s="116"/>
    </row>
    <row r="16" spans="2:5" ht="15.75">
      <c r="B16" s="325"/>
      <c r="C16" s="456"/>
      <c r="D16" s="456"/>
      <c r="E16" s="116"/>
    </row>
    <row r="17" spans="2:5" ht="15.75">
      <c r="B17" s="325"/>
      <c r="C17" s="456"/>
      <c r="D17" s="456"/>
      <c r="E17" s="116"/>
    </row>
    <row r="18" spans="2:5" ht="15.75">
      <c r="B18" s="316" t="s">
        <v>170</v>
      </c>
      <c r="C18" s="456"/>
      <c r="D18" s="456"/>
      <c r="E18" s="116"/>
    </row>
    <row r="19" spans="2:5" ht="15.75">
      <c r="B19" s="317" t="s">
        <v>76</v>
      </c>
      <c r="C19" s="456"/>
      <c r="D19" s="456"/>
      <c r="E19" s="116"/>
    </row>
    <row r="20" spans="2:5" ht="15.75">
      <c r="B20" s="317" t="s">
        <v>682</v>
      </c>
      <c r="C20" s="457">
        <f>IF(C21*0.1&lt;C19,"Exceed 10% Rule","")</f>
      </c>
      <c r="D20" s="457">
        <f>IF(D21*0.1&lt;D19,"Exceed 10% Rule","")</f>
      </c>
      <c r="E20" s="351">
        <f>IF(E21*0.1+E37&lt;E19,"Exceed 10% Rule","")</f>
      </c>
    </row>
    <row r="21" spans="2:5" ht="15.75">
      <c r="B21" s="319" t="s">
        <v>171</v>
      </c>
      <c r="C21" s="458">
        <f>SUM(C9:C19)</f>
        <v>80813</v>
      </c>
      <c r="D21" s="458">
        <f>SUM(D9:D19)</f>
        <v>101870</v>
      </c>
      <c r="E21" s="358">
        <f>SUM(E9:E19)</f>
        <v>11637</v>
      </c>
    </row>
    <row r="22" spans="2:5" ht="15.75">
      <c r="B22" s="319" t="s">
        <v>172</v>
      </c>
      <c r="C22" s="458">
        <f>C7+C21</f>
        <v>84944</v>
      </c>
      <c r="D22" s="458">
        <f>D7+D21</f>
        <v>104659</v>
      </c>
      <c r="E22" s="358">
        <f>E7+E21</f>
        <v>11637</v>
      </c>
    </row>
    <row r="23" spans="2:5" ht="15.75">
      <c r="B23" s="151" t="s">
        <v>175</v>
      </c>
      <c r="C23" s="317"/>
      <c r="D23" s="317"/>
      <c r="E23" s="112"/>
    </row>
    <row r="24" spans="2:5" ht="15.75">
      <c r="B24" s="325" t="s">
        <v>980</v>
      </c>
      <c r="C24" s="456">
        <v>82155</v>
      </c>
      <c r="D24" s="456">
        <v>104659</v>
      </c>
      <c r="E24" s="116">
        <v>110000</v>
      </c>
    </row>
    <row r="25" spans="2:5" ht="15.75">
      <c r="B25" s="325"/>
      <c r="C25" s="456"/>
      <c r="D25" s="456"/>
      <c r="E25" s="116"/>
    </row>
    <row r="26" spans="2:5" ht="15.75">
      <c r="B26" s="325"/>
      <c r="C26" s="456"/>
      <c r="D26" s="456"/>
      <c r="E26" s="116"/>
    </row>
    <row r="27" spans="2:5" ht="15.75">
      <c r="B27" s="317" t="s">
        <v>78</v>
      </c>
      <c r="C27" s="456"/>
      <c r="D27" s="456"/>
      <c r="E27" s="123">
        <f>Nhood!E25</f>
      </c>
    </row>
    <row r="28" spans="2:5" ht="15.75">
      <c r="B28" s="317" t="s">
        <v>76</v>
      </c>
      <c r="C28" s="456"/>
      <c r="D28" s="456"/>
      <c r="E28" s="116"/>
    </row>
    <row r="29" spans="2:5" ht="15.75">
      <c r="B29" s="317" t="s">
        <v>681</v>
      </c>
      <c r="C29" s="457">
        <f>IF(C30*0.1&lt;C28,"Exceed 10% Rule","")</f>
      </c>
      <c r="D29" s="457">
        <f>IF(D30*0.1&lt;D28,"Exceed 10% Rule","")</f>
      </c>
      <c r="E29" s="351">
        <f>IF(E30*0.1&lt;E28,"Exceed 10% Rule","")</f>
      </c>
    </row>
    <row r="30" spans="2:5" ht="15.75">
      <c r="B30" s="319" t="s">
        <v>176</v>
      </c>
      <c r="C30" s="458">
        <f>SUM(C24:C28)</f>
        <v>82155</v>
      </c>
      <c r="D30" s="458">
        <f>SUM(D24:D28)</f>
        <v>104659</v>
      </c>
      <c r="E30" s="358">
        <f>SUM(E24:E28)</f>
        <v>110000</v>
      </c>
    </row>
    <row r="31" spans="2:5" ht="15.75">
      <c r="B31" s="151" t="s">
        <v>282</v>
      </c>
      <c r="C31" s="461">
        <f>C22-C30</f>
        <v>2789</v>
      </c>
      <c r="D31" s="461">
        <f>D22-D30</f>
        <v>0</v>
      </c>
      <c r="E31" s="344" t="s">
        <v>149</v>
      </c>
    </row>
    <row r="32" spans="2:6" ht="15.75">
      <c r="B32" s="295" t="str">
        <f>CONCATENATE("",E$1-2,"/",E$1-1," Budget Authority Amount:")</f>
        <v>2010/2011 Budget Authority Amount:</v>
      </c>
      <c r="C32" s="287">
        <f>inputOth!B50</f>
        <v>82155</v>
      </c>
      <c r="D32" s="287">
        <f>inputPrYr!D35</f>
        <v>106000</v>
      </c>
      <c r="E32" s="344" t="s">
        <v>149</v>
      </c>
      <c r="F32" s="327"/>
    </row>
    <row r="33" spans="2:6" ht="15.75">
      <c r="B33" s="295"/>
      <c r="C33" s="772" t="s">
        <v>684</v>
      </c>
      <c r="D33" s="773"/>
      <c r="E33" s="116"/>
      <c r="F33" s="327">
        <f>IF(E30/0.95-E30&lt;E33,"Exceeds 5%","")</f>
      </c>
    </row>
    <row r="34" spans="2:5" ht="15.75">
      <c r="B34" s="534" t="str">
        <f>CONCATENATE(C83,"     ",D83)</f>
        <v>     </v>
      </c>
      <c r="C34" s="774" t="s">
        <v>685</v>
      </c>
      <c r="D34" s="775"/>
      <c r="E34" s="273">
        <f>E30+E33</f>
        <v>110000</v>
      </c>
    </row>
    <row r="35" spans="2:5" ht="15.75">
      <c r="B35" s="534" t="str">
        <f>CONCATENATE(C84,"     ",D84)</f>
        <v>     </v>
      </c>
      <c r="C35" s="328"/>
      <c r="D35" s="249" t="s">
        <v>177</v>
      </c>
      <c r="E35" s="123">
        <f>IF(E34-E22&gt;0,E34-E22,0)</f>
        <v>98363</v>
      </c>
    </row>
    <row r="36" spans="2:5" ht="15.75">
      <c r="B36" s="249"/>
      <c r="C36" s="532" t="s">
        <v>686</v>
      </c>
      <c r="D36" s="505">
        <f>inputOth!$E$24</f>
        <v>0.065</v>
      </c>
      <c r="E36" s="273">
        <f>ROUND(IF(D36&gt;0,($E$35*D36),0),0)</f>
        <v>6394</v>
      </c>
    </row>
    <row r="37" spans="2:5" ht="15.75">
      <c r="B37" s="90"/>
      <c r="C37" s="781" t="str">
        <f>CONCATENATE("Amount of  ",$E$1-1," Ad Valorem Tax")</f>
        <v>Amount of  2011 Ad Valorem Tax</v>
      </c>
      <c r="D37" s="782"/>
      <c r="E37" s="355">
        <f>E35+E36</f>
        <v>104757</v>
      </c>
    </row>
    <row r="38" spans="2:5" ht="15.75">
      <c r="B38" s="90"/>
      <c r="C38" s="334"/>
      <c r="D38" s="334"/>
      <c r="E38" s="334"/>
    </row>
    <row r="39" spans="2:5" ht="15.75">
      <c r="B39" s="89" t="s">
        <v>162</v>
      </c>
      <c r="C39" s="478" t="str">
        <f aca="true" t="shared" si="0" ref="C39:E40">C5</f>
        <v>Prior Year Actual</v>
      </c>
      <c r="D39" s="477" t="str">
        <f t="shared" si="0"/>
        <v>Current Year Estimate</v>
      </c>
      <c r="E39" s="479" t="str">
        <f t="shared" si="0"/>
        <v>Proposed Budget Year</v>
      </c>
    </row>
    <row r="40" spans="2:5" ht="15.75">
      <c r="B40" s="511" t="str">
        <f>inputPrYr!B36</f>
        <v>Hospital (33)</v>
      </c>
      <c r="C40" s="459">
        <f t="shared" si="0"/>
        <v>2010</v>
      </c>
      <c r="D40" s="459">
        <f t="shared" si="0"/>
        <v>2011</v>
      </c>
      <c r="E40" s="310">
        <f t="shared" si="0"/>
        <v>2012</v>
      </c>
    </row>
    <row r="41" spans="2:5" ht="15.75">
      <c r="B41" s="151" t="s">
        <v>281</v>
      </c>
      <c r="C41" s="456">
        <v>7277</v>
      </c>
      <c r="D41" s="460">
        <f>C66</f>
        <v>3023</v>
      </c>
      <c r="E41" s="273">
        <f>D66</f>
        <v>0</v>
      </c>
    </row>
    <row r="42" spans="2:5" ht="15.75">
      <c r="B42" s="311" t="s">
        <v>283</v>
      </c>
      <c r="C42" s="313"/>
      <c r="D42" s="313"/>
      <c r="E42" s="130"/>
    </row>
    <row r="43" spans="2:5" ht="15.75">
      <c r="B43" s="151" t="s">
        <v>163</v>
      </c>
      <c r="C43" s="456">
        <v>181684</v>
      </c>
      <c r="D43" s="456">
        <v>119307</v>
      </c>
      <c r="E43" s="344" t="s">
        <v>149</v>
      </c>
    </row>
    <row r="44" spans="2:5" ht="15.75">
      <c r="B44" s="151" t="s">
        <v>164</v>
      </c>
      <c r="C44" s="456">
        <v>2707</v>
      </c>
      <c r="D44" s="456">
        <v>2000</v>
      </c>
      <c r="E44" s="116">
        <v>2000</v>
      </c>
    </row>
    <row r="45" spans="2:5" ht="15.75">
      <c r="B45" s="151" t="s">
        <v>165</v>
      </c>
      <c r="C45" s="456">
        <v>10948</v>
      </c>
      <c r="D45" s="456">
        <v>20848</v>
      </c>
      <c r="E45" s="273">
        <f>mvalloc!D28</f>
        <v>13367</v>
      </c>
    </row>
    <row r="46" spans="2:5" ht="15.75">
      <c r="B46" s="151" t="s">
        <v>166</v>
      </c>
      <c r="C46" s="456">
        <v>128</v>
      </c>
      <c r="D46" s="456">
        <v>234</v>
      </c>
      <c r="E46" s="273">
        <f>mvalloc!E28</f>
        <v>155</v>
      </c>
    </row>
    <row r="47" spans="2:5" ht="15.75">
      <c r="B47" s="313" t="s">
        <v>232</v>
      </c>
      <c r="C47" s="456">
        <v>228</v>
      </c>
      <c r="D47" s="456">
        <v>334</v>
      </c>
      <c r="E47" s="273">
        <f>mvalloc!F28</f>
        <v>219</v>
      </c>
    </row>
    <row r="48" spans="2:5" ht="15.75">
      <c r="B48" s="313" t="s">
        <v>333</v>
      </c>
      <c r="C48" s="456"/>
      <c r="D48" s="456"/>
      <c r="E48" s="273">
        <f>mvalloc!G28</f>
        <v>0</v>
      </c>
    </row>
    <row r="49" spans="2:5" ht="15.75">
      <c r="B49" s="325" t="s">
        <v>976</v>
      </c>
      <c r="C49" s="456">
        <v>51</v>
      </c>
      <c r="D49" s="456"/>
      <c r="E49" s="116"/>
    </row>
    <row r="50" spans="2:5" ht="15.75">
      <c r="B50" s="325"/>
      <c r="C50" s="456"/>
      <c r="D50" s="456"/>
      <c r="E50" s="116"/>
    </row>
    <row r="51" spans="2:5" ht="15.75">
      <c r="B51" s="325"/>
      <c r="C51" s="456"/>
      <c r="D51" s="456"/>
      <c r="E51" s="116"/>
    </row>
    <row r="52" spans="2:5" ht="15.75">
      <c r="B52" s="316" t="s">
        <v>170</v>
      </c>
      <c r="C52" s="456"/>
      <c r="D52" s="456"/>
      <c r="E52" s="116"/>
    </row>
    <row r="53" spans="2:5" ht="15.75">
      <c r="B53" s="317" t="s">
        <v>76</v>
      </c>
      <c r="C53" s="456"/>
      <c r="D53" s="456"/>
      <c r="E53" s="116"/>
    </row>
    <row r="54" spans="2:5" ht="15.75">
      <c r="B54" s="317" t="s">
        <v>682</v>
      </c>
      <c r="C54" s="457">
        <f>IF(C55*0.1&lt;C53,"Exceed 10% Rule","")</f>
      </c>
      <c r="D54" s="457">
        <f>IF(D55*0.1&lt;D53,"Exceed 10% Rule","")</f>
      </c>
      <c r="E54" s="351">
        <f>IF(E55*0.1+E72&lt;E53,"Exceed 10% Rule","")</f>
      </c>
    </row>
    <row r="55" spans="2:5" ht="15.75">
      <c r="B55" s="319" t="s">
        <v>171</v>
      </c>
      <c r="C55" s="458">
        <f>SUM(C43:C53)</f>
        <v>195746</v>
      </c>
      <c r="D55" s="458">
        <f>SUM(D43:D53)</f>
        <v>142723</v>
      </c>
      <c r="E55" s="358">
        <f>SUM(E43:E53)</f>
        <v>15741</v>
      </c>
    </row>
    <row r="56" spans="2:5" ht="15.75">
      <c r="B56" s="319" t="s">
        <v>172</v>
      </c>
      <c r="C56" s="458">
        <f>C41+C55</f>
        <v>203023</v>
      </c>
      <c r="D56" s="458">
        <f>D41+D55</f>
        <v>145746</v>
      </c>
      <c r="E56" s="358">
        <f>E41+E55</f>
        <v>15741</v>
      </c>
    </row>
    <row r="57" spans="2:5" ht="15.75">
      <c r="B57" s="151" t="s">
        <v>175</v>
      </c>
      <c r="C57" s="317"/>
      <c r="D57" s="317"/>
      <c r="E57" s="112"/>
    </row>
    <row r="58" spans="2:5" ht="15.75">
      <c r="B58" s="325" t="s">
        <v>980</v>
      </c>
      <c r="C58" s="456">
        <v>200000</v>
      </c>
      <c r="D58" s="456">
        <v>145746</v>
      </c>
      <c r="E58" s="116">
        <v>175000</v>
      </c>
    </row>
    <row r="59" spans="2:5" ht="15.75">
      <c r="B59" s="325"/>
      <c r="C59" s="456"/>
      <c r="D59" s="456"/>
      <c r="E59" s="116"/>
    </row>
    <row r="60" spans="2:5" ht="15.75">
      <c r="B60" s="325"/>
      <c r="C60" s="456"/>
      <c r="D60" s="456"/>
      <c r="E60" s="116"/>
    </row>
    <row r="61" spans="2:5" ht="15.75">
      <c r="B61" s="325"/>
      <c r="C61" s="456"/>
      <c r="D61" s="456"/>
      <c r="E61" s="116"/>
    </row>
    <row r="62" spans="2:5" ht="15.75">
      <c r="B62" s="317" t="s">
        <v>78</v>
      </c>
      <c r="C62" s="456"/>
      <c r="D62" s="456"/>
      <c r="E62" s="123">
        <f>Nhood!E26</f>
      </c>
    </row>
    <row r="63" spans="2:5" ht="15.75">
      <c r="B63" s="317" t="s">
        <v>76</v>
      </c>
      <c r="C63" s="456"/>
      <c r="D63" s="456"/>
      <c r="E63" s="116"/>
    </row>
    <row r="64" spans="2:5" ht="15.75">
      <c r="B64" s="317" t="s">
        <v>681</v>
      </c>
      <c r="C64" s="457">
        <f>IF(C65*0.1&lt;C63,"Exceed 10% Rule","")</f>
      </c>
      <c r="D64" s="457">
        <f>IF(D65*0.1&lt;D63,"Exceed 10% Rule","")</f>
      </c>
      <c r="E64" s="351">
        <f>IF(E65*0.1&lt;E63,"Exceed 10% Rule","")</f>
      </c>
    </row>
    <row r="65" spans="2:5" ht="15.75">
      <c r="B65" s="319" t="s">
        <v>176</v>
      </c>
      <c r="C65" s="458">
        <f>SUM(C58:C63)</f>
        <v>200000</v>
      </c>
      <c r="D65" s="458">
        <f>SUM(D58:D63)</f>
        <v>145746</v>
      </c>
      <c r="E65" s="358">
        <f>SUM(E58:E63)</f>
        <v>175000</v>
      </c>
    </row>
    <row r="66" spans="2:5" ht="15.75">
      <c r="B66" s="151" t="s">
        <v>282</v>
      </c>
      <c r="C66" s="461">
        <f>C56-C65</f>
        <v>3023</v>
      </c>
      <c r="D66" s="461">
        <f>D56-D65</f>
        <v>0</v>
      </c>
      <c r="E66" s="344" t="s">
        <v>149</v>
      </c>
    </row>
    <row r="67" spans="2:6" ht="15.75">
      <c r="B67" s="295" t="str">
        <f>CONCATENATE("",E$1-2,"/",E$1-1," Budget Authority Amount:")</f>
        <v>2010/2011 Budget Authority Amount:</v>
      </c>
      <c r="C67" s="287">
        <f>inputOth!B51</f>
        <v>200000</v>
      </c>
      <c r="D67" s="287">
        <f>inputPrYr!D36</f>
        <v>150000</v>
      </c>
      <c r="E67" s="344" t="s">
        <v>149</v>
      </c>
      <c r="F67" s="327"/>
    </row>
    <row r="68" spans="2:6" ht="15.75">
      <c r="B68" s="295"/>
      <c r="C68" s="772" t="s">
        <v>684</v>
      </c>
      <c r="D68" s="773"/>
      <c r="E68" s="116"/>
      <c r="F68" s="327">
        <f>IF(E65/0.95-E65&lt;E68,"Exceeds 5%","")</f>
      </c>
    </row>
    <row r="69" spans="2:5" ht="15.75">
      <c r="B69" s="533" t="str">
        <f>CONCATENATE(C85,"     ",D85)</f>
        <v>     </v>
      </c>
      <c r="C69" s="774" t="s">
        <v>685</v>
      </c>
      <c r="D69" s="775"/>
      <c r="E69" s="273">
        <f>E65+E68</f>
        <v>175000</v>
      </c>
    </row>
    <row r="70" spans="2:5" ht="15.75">
      <c r="B70" s="533" t="str">
        <f>CONCATENATE(C86,"     ",D86)</f>
        <v>     </v>
      </c>
      <c r="C70" s="328"/>
      <c r="D70" s="249" t="s">
        <v>177</v>
      </c>
      <c r="E70" s="123">
        <f>IF(E69-E56&gt;0,E69-E56,0)</f>
        <v>159259</v>
      </c>
    </row>
    <row r="71" spans="2:5" ht="15.75">
      <c r="B71" s="249"/>
      <c r="C71" s="532" t="s">
        <v>686</v>
      </c>
      <c r="D71" s="505">
        <f>inputOth!$E$24</f>
        <v>0.065</v>
      </c>
      <c r="E71" s="273">
        <f>ROUND(IF(D71&gt;0,($E$70*D71),0),0)</f>
        <v>10352</v>
      </c>
    </row>
    <row r="72" spans="2:5" ht="15.75">
      <c r="B72" s="90"/>
      <c r="C72" s="781" t="str">
        <f>CONCATENATE("Amount of  ",$E$1-1," Ad Valorem Tax")</f>
        <v>Amount of  2011 Ad Valorem Tax</v>
      </c>
      <c r="D72" s="782"/>
      <c r="E72" s="355">
        <f>E70+E71</f>
        <v>169611</v>
      </c>
    </row>
    <row r="73" spans="2:5" ht="15.75">
      <c r="B73" s="295" t="s">
        <v>190</v>
      </c>
      <c r="C73" s="356">
        <v>18</v>
      </c>
      <c r="D73" s="90"/>
      <c r="E73" s="90"/>
    </row>
    <row r="83" spans="3:4" ht="15.75" hidden="1">
      <c r="C83" s="77">
        <f>IF(C30&gt;C32,"See Tab A","")</f>
      </c>
      <c r="D83" s="77">
        <f>IF(D30&gt;D32,"See Tab C","")</f>
      </c>
    </row>
    <row r="84" spans="3:4" ht="15.75" hidden="1">
      <c r="C84" s="77">
        <f>IF(C31&lt;0,"See Tab B","")</f>
      </c>
      <c r="D84" s="77">
        <f>IF(D31&lt;0,"See Tab D","")</f>
      </c>
    </row>
    <row r="85" spans="3:4" ht="15.75" hidden="1">
      <c r="C85" s="77">
        <f>IF(C65&gt;C67,"See Tab A","")</f>
      </c>
      <c r="D85" s="77">
        <f>IF(D65&gt;D67,"See Tab C","")</f>
      </c>
    </row>
    <row r="86" spans="3:4" ht="15.75" hidden="1">
      <c r="C86" s="77">
        <f>IF(C66&lt;0,"See Tab B","")</f>
      </c>
      <c r="D86" s="77">
        <f>IF(D66&lt;0,"See Tab D","")</f>
      </c>
    </row>
  </sheetData>
  <sheetProtection sheet="1"/>
  <mergeCells count="6">
    <mergeCell ref="C33:D33"/>
    <mergeCell ref="C34:D34"/>
    <mergeCell ref="C68:D68"/>
    <mergeCell ref="C69:D69"/>
    <mergeCell ref="C72:D72"/>
    <mergeCell ref="C37:D37"/>
  </mergeCells>
  <conditionalFormatting sqref="E63">
    <cfRule type="cellIs" priority="3" dxfId="426" operator="greaterThan" stopIfTrue="1">
      <formula>$E$65*0.1</formula>
    </cfRule>
  </conditionalFormatting>
  <conditionalFormatting sqref="E68">
    <cfRule type="cellIs" priority="4" dxfId="426" operator="greaterThan" stopIfTrue="1">
      <formula>$E$65/0.95-$E$65</formula>
    </cfRule>
  </conditionalFormatting>
  <conditionalFormatting sqref="E33">
    <cfRule type="cellIs" priority="5" dxfId="426" operator="greaterThan" stopIfTrue="1">
      <formula>$E$30/0.95-$E$30</formula>
    </cfRule>
  </conditionalFormatting>
  <conditionalFormatting sqref="E28">
    <cfRule type="cellIs" priority="6" dxfId="426" operator="greaterThan" stopIfTrue="1">
      <formula>$E$30*0.1</formula>
    </cfRule>
  </conditionalFormatting>
  <conditionalFormatting sqref="C66 C31">
    <cfRule type="cellIs" priority="7" dxfId="2" operator="lessThan" stopIfTrue="1">
      <formula>0</formula>
    </cfRule>
  </conditionalFormatting>
  <conditionalFormatting sqref="C65">
    <cfRule type="cellIs" priority="8" dxfId="2" operator="greaterThan" stopIfTrue="1">
      <formula>$C$67</formula>
    </cfRule>
  </conditionalFormatting>
  <conditionalFormatting sqref="D65">
    <cfRule type="cellIs" priority="9" dxfId="2" operator="greaterThan" stopIfTrue="1">
      <formula>$D$67</formula>
    </cfRule>
  </conditionalFormatting>
  <conditionalFormatting sqref="C63">
    <cfRule type="cellIs" priority="10" dxfId="2" operator="greaterThan" stopIfTrue="1">
      <formula>$C$65*0.1</formula>
    </cfRule>
  </conditionalFormatting>
  <conditionalFormatting sqref="D63">
    <cfRule type="cellIs" priority="11" dxfId="2" operator="greaterThan" stopIfTrue="1">
      <formula>$D$65*0.1</formula>
    </cfRule>
  </conditionalFormatting>
  <conditionalFormatting sqref="E53">
    <cfRule type="cellIs" priority="12" dxfId="426" operator="greaterThan" stopIfTrue="1">
      <formula>$E$55*0.1+E72</formula>
    </cfRule>
  </conditionalFormatting>
  <conditionalFormatting sqref="C53">
    <cfRule type="cellIs" priority="13" dxfId="2" operator="greaterThan" stopIfTrue="1">
      <formula>$C$55*0.1</formula>
    </cfRule>
  </conditionalFormatting>
  <conditionalFormatting sqref="D53">
    <cfRule type="cellIs" priority="14" dxfId="2" operator="greaterThan" stopIfTrue="1">
      <formula>$D$55*0.1</formula>
    </cfRule>
  </conditionalFormatting>
  <conditionalFormatting sqref="C30">
    <cfRule type="cellIs" priority="15" dxfId="2" operator="greaterThan" stopIfTrue="1">
      <formula>$C$32</formula>
    </cfRule>
  </conditionalFormatting>
  <conditionalFormatting sqref="D30">
    <cfRule type="cellIs" priority="16" dxfId="2" operator="greaterThan" stopIfTrue="1">
      <formula>$D$32</formula>
    </cfRule>
  </conditionalFormatting>
  <conditionalFormatting sqref="C28">
    <cfRule type="cellIs" priority="17" dxfId="2" operator="greaterThan" stopIfTrue="1">
      <formula>$C$30*0.1</formula>
    </cfRule>
  </conditionalFormatting>
  <conditionalFormatting sqref="D28">
    <cfRule type="cellIs" priority="18" dxfId="2" operator="greaterThan" stopIfTrue="1">
      <formula>$D$30*0.1</formula>
    </cfRule>
  </conditionalFormatting>
  <conditionalFormatting sqref="E19">
    <cfRule type="cellIs" priority="19" dxfId="426" operator="greaterThan" stopIfTrue="1">
      <formula>$E$21*0.1+E37</formula>
    </cfRule>
  </conditionalFormatting>
  <conditionalFormatting sqref="C19">
    <cfRule type="cellIs" priority="20" dxfId="2" operator="greaterThan" stopIfTrue="1">
      <formula>$C$21*0.1</formula>
    </cfRule>
  </conditionalFormatting>
  <conditionalFormatting sqref="D19">
    <cfRule type="cellIs" priority="21" dxfId="2" operator="greaterThan" stopIfTrue="1">
      <formula>$D$21*0.1</formula>
    </cfRule>
  </conditionalFormatting>
  <conditionalFormatting sqref="D66 D31">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62" r:id="rId1"/>
  <headerFooter alignWithMargins="0">
    <oddHeader>&amp;RState of Kansas
County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F86"/>
  <sheetViews>
    <sheetView zoomScale="85" zoomScaleNormal="85" zoomScalePageLayoutView="0" workbookViewId="0" topLeftCell="A17">
      <selection activeCell="H67" sqref="H67"/>
    </sheetView>
  </sheetViews>
  <sheetFormatPr defaultColWidth="8.796875" defaultRowHeight="15"/>
  <cols>
    <col min="1" max="1" width="2.3984375" style="77" customWidth="1"/>
    <col min="2" max="2" width="31.09765625" style="77" customWidth="1"/>
    <col min="3" max="4" width="15.796875" style="77" customWidth="1"/>
    <col min="5" max="5" width="16.19921875" style="77" customWidth="1"/>
    <col min="6" max="16384" width="8.8984375" style="77" customWidth="1"/>
  </cols>
  <sheetData>
    <row r="1" spans="2:5" ht="15.75">
      <c r="B1" s="237" t="str">
        <f>inputPrYr!C2</f>
        <v>Geary County</v>
      </c>
      <c r="C1" s="90"/>
      <c r="D1" s="90"/>
      <c r="E1" s="294">
        <f>inputPrYr!C4</f>
        <v>2012</v>
      </c>
    </row>
    <row r="2" spans="2:5" ht="15.75">
      <c r="B2" s="90"/>
      <c r="C2" s="90"/>
      <c r="D2" s="90"/>
      <c r="E2" s="249"/>
    </row>
    <row r="3" spans="2:5" ht="15.75">
      <c r="B3" s="155" t="s">
        <v>239</v>
      </c>
      <c r="C3" s="340"/>
      <c r="D3" s="340"/>
      <c r="E3" s="341"/>
    </row>
    <row r="4" spans="2:5" ht="15.75">
      <c r="B4" s="90"/>
      <c r="C4" s="334"/>
      <c r="D4" s="334"/>
      <c r="E4" s="334"/>
    </row>
    <row r="5" spans="2:5" ht="15.75">
      <c r="B5" s="89" t="s">
        <v>162</v>
      </c>
      <c r="C5" s="478" t="str">
        <f>general!C4</f>
        <v>Prior Year Actual</v>
      </c>
      <c r="D5" s="477" t="str">
        <f>general!D4</f>
        <v>Current Year Estimate</v>
      </c>
      <c r="E5" s="479" t="str">
        <f>general!E4</f>
        <v>Proposed Budget Year</v>
      </c>
    </row>
    <row r="6" spans="2:5" ht="15.75">
      <c r="B6" s="512" t="str">
        <f>inputPrYr!B37</f>
        <v>Juvenile Detention (68)</v>
      </c>
      <c r="C6" s="459">
        <f>general!$C$5</f>
        <v>2010</v>
      </c>
      <c r="D6" s="459">
        <f>general!D5</f>
        <v>2011</v>
      </c>
      <c r="E6" s="310">
        <f>general!E5</f>
        <v>2012</v>
      </c>
    </row>
    <row r="7" spans="2:5" ht="15.75">
      <c r="B7" s="151" t="s">
        <v>281</v>
      </c>
      <c r="C7" s="456">
        <v>138342</v>
      </c>
      <c r="D7" s="460">
        <f>C31</f>
        <v>68612</v>
      </c>
      <c r="E7" s="273">
        <f>D31</f>
        <v>0</v>
      </c>
    </row>
    <row r="8" spans="2:5" ht="15.75">
      <c r="B8" s="298" t="s">
        <v>283</v>
      </c>
      <c r="C8" s="313"/>
      <c r="D8" s="313"/>
      <c r="E8" s="130"/>
    </row>
    <row r="9" spans="2:5" ht="15.75">
      <c r="B9" s="151" t="s">
        <v>163</v>
      </c>
      <c r="C9" s="456">
        <v>65613</v>
      </c>
      <c r="D9" s="456">
        <v>128327</v>
      </c>
      <c r="E9" s="344" t="s">
        <v>149</v>
      </c>
    </row>
    <row r="10" spans="2:5" ht="15.75">
      <c r="B10" s="151" t="s">
        <v>164</v>
      </c>
      <c r="C10" s="456">
        <v>3163</v>
      </c>
      <c r="D10" s="456">
        <v>3000</v>
      </c>
      <c r="E10" s="116">
        <v>2500</v>
      </c>
    </row>
    <row r="11" spans="2:5" ht="15.75">
      <c r="B11" s="151" t="s">
        <v>165</v>
      </c>
      <c r="C11" s="456">
        <v>11067</v>
      </c>
      <c r="D11" s="456">
        <v>7536</v>
      </c>
      <c r="E11" s="273">
        <f>mvalloc!D29</f>
        <v>14377</v>
      </c>
    </row>
    <row r="12" spans="2:5" ht="15.75">
      <c r="B12" s="151" t="s">
        <v>166</v>
      </c>
      <c r="C12" s="456">
        <v>130</v>
      </c>
      <c r="D12" s="456">
        <v>85</v>
      </c>
      <c r="E12" s="273">
        <f>mvalloc!E29</f>
        <v>167</v>
      </c>
    </row>
    <row r="13" spans="2:5" ht="15.75">
      <c r="B13" s="313" t="s">
        <v>232</v>
      </c>
      <c r="C13" s="456">
        <v>279</v>
      </c>
      <c r="D13" s="456">
        <v>121</v>
      </c>
      <c r="E13" s="273">
        <f>mvalloc!F29</f>
        <v>235</v>
      </c>
    </row>
    <row r="14" spans="2:5" ht="15.75">
      <c r="B14" s="313" t="s">
        <v>333</v>
      </c>
      <c r="C14" s="456"/>
      <c r="D14" s="456"/>
      <c r="E14" s="273">
        <f>mvalloc!G29</f>
        <v>0</v>
      </c>
    </row>
    <row r="15" spans="2:5" ht="15.75">
      <c r="B15" s="325" t="s">
        <v>976</v>
      </c>
      <c r="C15" s="456">
        <v>18</v>
      </c>
      <c r="D15" s="456"/>
      <c r="E15" s="116"/>
    </row>
    <row r="16" spans="2:5" ht="15.75">
      <c r="B16" s="325"/>
      <c r="C16" s="456"/>
      <c r="D16" s="456"/>
      <c r="E16" s="116"/>
    </row>
    <row r="17" spans="2:5" ht="15.75">
      <c r="B17" s="325"/>
      <c r="C17" s="456"/>
      <c r="D17" s="456"/>
      <c r="E17" s="116"/>
    </row>
    <row r="18" spans="2:5" ht="15.75">
      <c r="B18" s="316" t="s">
        <v>170</v>
      </c>
      <c r="C18" s="456"/>
      <c r="D18" s="456"/>
      <c r="E18" s="116"/>
    </row>
    <row r="19" spans="2:5" ht="15.75">
      <c r="B19" s="317" t="s">
        <v>76</v>
      </c>
      <c r="C19" s="456"/>
      <c r="D19" s="456"/>
      <c r="E19" s="116"/>
    </row>
    <row r="20" spans="2:5" ht="15.75">
      <c r="B20" s="317" t="s">
        <v>682</v>
      </c>
      <c r="C20" s="457">
        <f>IF(C21*0.1&lt;C19,"Exceed 10% Rule","")</f>
      </c>
      <c r="D20" s="457">
        <f>IF(D21*0.1&lt;D19,"Exceed 10% Rule","")</f>
      </c>
      <c r="E20" s="351">
        <f>IF(E21*0.1+E37&lt;E19,"Exceed 10% Rule","")</f>
      </c>
    </row>
    <row r="21" spans="2:5" ht="15.75">
      <c r="B21" s="319" t="s">
        <v>171</v>
      </c>
      <c r="C21" s="458">
        <f>SUM(C9:C19)</f>
        <v>80270</v>
      </c>
      <c r="D21" s="458">
        <f>SUM(D9:D19)</f>
        <v>139069</v>
      </c>
      <c r="E21" s="358">
        <f>SUM(E9:E19)</f>
        <v>17279</v>
      </c>
    </row>
    <row r="22" spans="2:5" ht="15.75">
      <c r="B22" s="319" t="s">
        <v>172</v>
      </c>
      <c r="C22" s="458">
        <f>C7+C21</f>
        <v>218612</v>
      </c>
      <c r="D22" s="458">
        <f>D7+D21</f>
        <v>207681</v>
      </c>
      <c r="E22" s="358">
        <f>E7+E21</f>
        <v>17279</v>
      </c>
    </row>
    <row r="23" spans="2:5" ht="15.75">
      <c r="B23" s="151" t="s">
        <v>175</v>
      </c>
      <c r="C23" s="317"/>
      <c r="D23" s="317"/>
      <c r="E23" s="112"/>
    </row>
    <row r="24" spans="2:5" ht="15.75">
      <c r="B24" s="325" t="s">
        <v>1003</v>
      </c>
      <c r="C24" s="456">
        <v>150000</v>
      </c>
      <c r="D24" s="456">
        <v>207681</v>
      </c>
      <c r="E24" s="116">
        <v>179000</v>
      </c>
    </row>
    <row r="25" spans="2:5" ht="15.75">
      <c r="B25" s="325"/>
      <c r="C25" s="456"/>
      <c r="D25" s="456"/>
      <c r="E25" s="116"/>
    </row>
    <row r="26" spans="2:5" ht="15.75">
      <c r="B26" s="325"/>
      <c r="C26" s="456"/>
      <c r="D26" s="456"/>
      <c r="E26" s="116"/>
    </row>
    <row r="27" spans="2:5" ht="15.75">
      <c r="B27" s="317" t="s">
        <v>78</v>
      </c>
      <c r="C27" s="456"/>
      <c r="D27" s="456"/>
      <c r="E27" s="123">
        <f>Nhood!E27</f>
      </c>
    </row>
    <row r="28" spans="2:5" ht="15.75">
      <c r="B28" s="317" t="s">
        <v>76</v>
      </c>
      <c r="C28" s="456"/>
      <c r="D28" s="456"/>
      <c r="E28" s="116"/>
    </row>
    <row r="29" spans="2:5" ht="15.75">
      <c r="B29" s="317" t="s">
        <v>681</v>
      </c>
      <c r="C29" s="457">
        <f>IF(C30*0.1&lt;C28,"Exceed 10% Rule","")</f>
      </c>
      <c r="D29" s="457">
        <f>IF(D30*0.1&lt;D28,"Exceed 10% Rule","")</f>
      </c>
      <c r="E29" s="351">
        <f>IF(E30*0.1&lt;E28,"Exceed 10% Rule","")</f>
      </c>
    </row>
    <row r="30" spans="2:5" ht="15.75">
      <c r="B30" s="319" t="s">
        <v>176</v>
      </c>
      <c r="C30" s="458">
        <f>SUM(C24:C28)</f>
        <v>150000</v>
      </c>
      <c r="D30" s="458">
        <f>SUM(D24:D28)</f>
        <v>207681</v>
      </c>
      <c r="E30" s="358">
        <f>SUM(E24:E28)</f>
        <v>179000</v>
      </c>
    </row>
    <row r="31" spans="2:5" ht="15.75">
      <c r="B31" s="151" t="s">
        <v>282</v>
      </c>
      <c r="C31" s="461">
        <f>C22-C30</f>
        <v>68612</v>
      </c>
      <c r="D31" s="461">
        <f>D22-D30</f>
        <v>0</v>
      </c>
      <c r="E31" s="344" t="s">
        <v>149</v>
      </c>
    </row>
    <row r="32" spans="2:6" ht="15.75">
      <c r="B32" s="295" t="str">
        <f>CONCATENATE("",E$1-2,"/",E$1-1," Budget Authority Amount:")</f>
        <v>2010/2011 Budget Authority Amount:</v>
      </c>
      <c r="C32" s="287">
        <f>inputOth!B52</f>
        <v>150000</v>
      </c>
      <c r="D32" s="287">
        <f>inputPrYr!D37</f>
        <v>210128</v>
      </c>
      <c r="E32" s="344" t="s">
        <v>149</v>
      </c>
      <c r="F32" s="327"/>
    </row>
    <row r="33" spans="2:6" ht="15.75">
      <c r="B33" s="295"/>
      <c r="C33" s="772" t="s">
        <v>684</v>
      </c>
      <c r="D33" s="773"/>
      <c r="E33" s="116"/>
      <c r="F33" s="327">
        <f>IF(E30/0.95-E30&lt;E33,"Exceeds 5%","")</f>
      </c>
    </row>
    <row r="34" spans="2:5" ht="15.75">
      <c r="B34" s="534" t="str">
        <f>CONCATENATE(C83,"     ",D83)</f>
        <v>     </v>
      </c>
      <c r="C34" s="774" t="s">
        <v>685</v>
      </c>
      <c r="D34" s="775"/>
      <c r="E34" s="273">
        <f>E30+E33</f>
        <v>179000</v>
      </c>
    </row>
    <row r="35" spans="2:5" ht="15.75">
      <c r="B35" s="534" t="str">
        <f>CONCATENATE(C84,"     ",D84)</f>
        <v>     </v>
      </c>
      <c r="C35" s="328"/>
      <c r="D35" s="249" t="s">
        <v>177</v>
      </c>
      <c r="E35" s="123">
        <f>IF(E34-E22&gt;0,E34-E22,0)</f>
        <v>161721</v>
      </c>
    </row>
    <row r="36" spans="2:5" ht="15.75">
      <c r="B36" s="249"/>
      <c r="C36" s="532" t="s">
        <v>686</v>
      </c>
      <c r="D36" s="505">
        <f>inputOth!$E$24</f>
        <v>0.065</v>
      </c>
      <c r="E36" s="273">
        <f>ROUND(IF(D36&gt;0,($E$35*D36),0),0)</f>
        <v>10512</v>
      </c>
    </row>
    <row r="37" spans="2:5" ht="15.75">
      <c r="B37" s="90"/>
      <c r="C37" s="781" t="str">
        <f>CONCATENATE("Amount of  ",$E$1-1," Ad Valorem Tax")</f>
        <v>Amount of  2011 Ad Valorem Tax</v>
      </c>
      <c r="D37" s="782"/>
      <c r="E37" s="355">
        <f>E35+E36</f>
        <v>172233</v>
      </c>
    </row>
    <row r="38" spans="2:5" ht="15.75">
      <c r="B38" s="90"/>
      <c r="C38" s="334"/>
      <c r="D38" s="334"/>
      <c r="E38" s="334"/>
    </row>
    <row r="39" spans="2:5" ht="15.75">
      <c r="B39" s="89" t="s">
        <v>162</v>
      </c>
      <c r="C39" s="478" t="str">
        <f aca="true" t="shared" si="0" ref="C39:E40">C5</f>
        <v>Prior Year Actual</v>
      </c>
      <c r="D39" s="477" t="str">
        <f t="shared" si="0"/>
        <v>Current Year Estimate</v>
      </c>
      <c r="E39" s="479" t="str">
        <f t="shared" si="0"/>
        <v>Proposed Budget Year</v>
      </c>
    </row>
    <row r="40" spans="2:5" ht="15.75">
      <c r="B40" s="511" t="str">
        <f>inputPrYr!B38</f>
        <v>PBC - Cloud Co CC (25)</v>
      </c>
      <c r="C40" s="459">
        <f t="shared" si="0"/>
        <v>2010</v>
      </c>
      <c r="D40" s="459">
        <f t="shared" si="0"/>
        <v>2011</v>
      </c>
      <c r="E40" s="310">
        <f t="shared" si="0"/>
        <v>2012</v>
      </c>
    </row>
    <row r="41" spans="2:5" ht="15.75">
      <c r="B41" s="151" t="s">
        <v>281</v>
      </c>
      <c r="C41" s="456">
        <v>212949</v>
      </c>
      <c r="D41" s="460">
        <f>C66</f>
        <v>251016</v>
      </c>
      <c r="E41" s="273">
        <f>D66</f>
        <v>227016</v>
      </c>
    </row>
    <row r="42" spans="2:5" ht="15.75">
      <c r="B42" s="311" t="s">
        <v>283</v>
      </c>
      <c r="C42" s="313"/>
      <c r="D42" s="313"/>
      <c r="E42" s="130"/>
    </row>
    <row r="43" spans="2:5" ht="15.75">
      <c r="B43" s="151" t="s">
        <v>163</v>
      </c>
      <c r="C43" s="456"/>
      <c r="D43" s="456">
        <f>inputPrYr!E38</f>
        <v>0</v>
      </c>
      <c r="E43" s="344" t="s">
        <v>149</v>
      </c>
    </row>
    <row r="44" spans="2:5" ht="15.75">
      <c r="B44" s="151" t="s">
        <v>164</v>
      </c>
      <c r="C44" s="456">
        <v>774</v>
      </c>
      <c r="D44" s="456">
        <v>1000</v>
      </c>
      <c r="E44" s="116">
        <v>500</v>
      </c>
    </row>
    <row r="45" spans="2:5" ht="15.75">
      <c r="B45" s="151" t="s">
        <v>165</v>
      </c>
      <c r="C45" s="456"/>
      <c r="D45" s="456"/>
      <c r="E45" s="273" t="str">
        <f>mvalloc!D30</f>
        <v>  </v>
      </c>
    </row>
    <row r="46" spans="2:5" ht="15.75">
      <c r="B46" s="151" t="s">
        <v>166</v>
      </c>
      <c r="C46" s="456"/>
      <c r="D46" s="456"/>
      <c r="E46" s="273" t="str">
        <f>mvalloc!E30</f>
        <v>  </v>
      </c>
    </row>
    <row r="47" spans="2:5" ht="15.75">
      <c r="B47" s="313" t="s">
        <v>232</v>
      </c>
      <c r="C47" s="456"/>
      <c r="D47" s="456"/>
      <c r="E47" s="273" t="str">
        <f>mvalloc!F30</f>
        <v>  </v>
      </c>
    </row>
    <row r="48" spans="2:5" ht="15.75">
      <c r="B48" s="313" t="s">
        <v>333</v>
      </c>
      <c r="C48" s="456"/>
      <c r="D48" s="456"/>
      <c r="E48" s="273" t="str">
        <f>mvalloc!G30</f>
        <v> </v>
      </c>
    </row>
    <row r="49" spans="2:5" ht="15.75">
      <c r="B49" s="325" t="s">
        <v>1004</v>
      </c>
      <c r="C49" s="456">
        <v>43250</v>
      </c>
      <c r="D49" s="456">
        <v>45000</v>
      </c>
      <c r="E49" s="116">
        <v>45000</v>
      </c>
    </row>
    <row r="50" spans="2:5" ht="15.75">
      <c r="B50" s="325"/>
      <c r="C50" s="456"/>
      <c r="D50" s="456"/>
      <c r="E50" s="116"/>
    </row>
    <row r="51" spans="2:5" ht="15.75">
      <c r="B51" s="325"/>
      <c r="C51" s="456"/>
      <c r="D51" s="456"/>
      <c r="E51" s="116"/>
    </row>
    <row r="52" spans="2:5" ht="15.75">
      <c r="B52" s="316" t="s">
        <v>170</v>
      </c>
      <c r="C52" s="456"/>
      <c r="D52" s="456"/>
      <c r="E52" s="116"/>
    </row>
    <row r="53" spans="2:5" ht="15.75">
      <c r="B53" s="317" t="s">
        <v>76</v>
      </c>
      <c r="C53" s="456"/>
      <c r="D53" s="456"/>
      <c r="E53" s="116"/>
    </row>
    <row r="54" spans="2:5" ht="15.75">
      <c r="B54" s="317" t="s">
        <v>682</v>
      </c>
      <c r="C54" s="457">
        <f>IF(C55*0.1&lt;C53,"Exceed 10% Rule","")</f>
      </c>
      <c r="D54" s="457">
        <f>IF(D55*0.1&lt;D53,"Exceed 10% Rule","")</f>
      </c>
      <c r="E54" s="351">
        <f>IF(E55*0.1+E72&lt;E53,"Exceed 10% Rule","")</f>
      </c>
    </row>
    <row r="55" spans="2:5" ht="15.75">
      <c r="B55" s="319" t="s">
        <v>171</v>
      </c>
      <c r="C55" s="458">
        <f>SUM(C43:C53)</f>
        <v>44024</v>
      </c>
      <c r="D55" s="458">
        <f>SUM(D43:D53)</f>
        <v>46000</v>
      </c>
      <c r="E55" s="358">
        <f>SUM(E43:E53)</f>
        <v>45500</v>
      </c>
    </row>
    <row r="56" spans="2:5" ht="15.75">
      <c r="B56" s="319" t="s">
        <v>172</v>
      </c>
      <c r="C56" s="458">
        <f>C41+C55</f>
        <v>256973</v>
      </c>
      <c r="D56" s="458">
        <f>D41+D55</f>
        <v>297016</v>
      </c>
      <c r="E56" s="358">
        <f>E41+E55</f>
        <v>272516</v>
      </c>
    </row>
    <row r="57" spans="2:5" ht="15.75">
      <c r="B57" s="151" t="s">
        <v>175</v>
      </c>
      <c r="C57" s="317"/>
      <c r="D57" s="317"/>
      <c r="E57" s="112"/>
    </row>
    <row r="58" spans="2:5" ht="15.75">
      <c r="B58" s="325" t="s">
        <v>1005</v>
      </c>
      <c r="C58" s="456">
        <v>5957</v>
      </c>
      <c r="D58" s="456">
        <v>70000</v>
      </c>
      <c r="E58" s="116">
        <v>272516</v>
      </c>
    </row>
    <row r="59" spans="2:5" ht="15.75">
      <c r="B59" s="325"/>
      <c r="C59" s="456"/>
      <c r="D59" s="456"/>
      <c r="E59" s="116"/>
    </row>
    <row r="60" spans="2:5" ht="15.75">
      <c r="B60" s="325"/>
      <c r="C60" s="456"/>
      <c r="D60" s="456"/>
      <c r="E60" s="116"/>
    </row>
    <row r="61" spans="2:5" ht="15.75">
      <c r="B61" s="325"/>
      <c r="C61" s="456"/>
      <c r="D61" s="456"/>
      <c r="E61" s="116"/>
    </row>
    <row r="62" spans="2:5" ht="15.75">
      <c r="B62" s="317" t="s">
        <v>78</v>
      </c>
      <c r="C62" s="456"/>
      <c r="D62" s="456"/>
      <c r="E62" s="123">
        <f>Nhood!E28</f>
      </c>
    </row>
    <row r="63" spans="2:5" ht="15.75">
      <c r="B63" s="317" t="s">
        <v>76</v>
      </c>
      <c r="C63" s="456"/>
      <c r="D63" s="456"/>
      <c r="E63" s="116"/>
    </row>
    <row r="64" spans="2:5" ht="15.75">
      <c r="B64" s="317" t="s">
        <v>681</v>
      </c>
      <c r="C64" s="457">
        <f>IF(C65*0.1&lt;C63,"Exceed 10% Rule","")</f>
      </c>
      <c r="D64" s="457">
        <f>IF(D65*0.1&lt;D63,"Exceed 10% Rule","")</f>
      </c>
      <c r="E64" s="351">
        <f>IF(E65*0.1&lt;E63,"Exceed 10% Rule","")</f>
      </c>
    </row>
    <row r="65" spans="2:5" ht="15.75">
      <c r="B65" s="319" t="s">
        <v>176</v>
      </c>
      <c r="C65" s="458">
        <f>SUM(C58:C63)</f>
        <v>5957</v>
      </c>
      <c r="D65" s="458">
        <f>SUM(D58:D63)</f>
        <v>70000</v>
      </c>
      <c r="E65" s="358">
        <f>SUM(E58:E63)</f>
        <v>272516</v>
      </c>
    </row>
    <row r="66" spans="2:5" ht="15.75">
      <c r="B66" s="151" t="s">
        <v>282</v>
      </c>
      <c r="C66" s="461">
        <f>C56-C65</f>
        <v>251016</v>
      </c>
      <c r="D66" s="461">
        <f>D56-D65</f>
        <v>227016</v>
      </c>
      <c r="E66" s="344" t="s">
        <v>149</v>
      </c>
    </row>
    <row r="67" spans="2:6" ht="15.75">
      <c r="B67" s="295" t="str">
        <f>CONCATENATE("",E$1-2,"/",E$1-1," Budget Authority Amount:")</f>
        <v>2010/2011 Budget Authority Amount:</v>
      </c>
      <c r="C67" s="287">
        <f>inputOth!B53</f>
        <v>212979</v>
      </c>
      <c r="D67" s="287">
        <f>inputPrYr!D38</f>
        <v>254949</v>
      </c>
      <c r="E67" s="344" t="s">
        <v>149</v>
      </c>
      <c r="F67" s="327"/>
    </row>
    <row r="68" spans="2:6" ht="15.75">
      <c r="B68" s="295"/>
      <c r="C68" s="772" t="s">
        <v>684</v>
      </c>
      <c r="D68" s="773"/>
      <c r="E68" s="116"/>
      <c r="F68" s="327">
        <f>IF(E65/0.95-E65&lt;E68,"Exceeds 5%","")</f>
      </c>
    </row>
    <row r="69" spans="2:5" ht="15.75">
      <c r="B69" s="533" t="str">
        <f>CONCATENATE(C85,"     ",D85)</f>
        <v>     </v>
      </c>
      <c r="C69" s="774" t="s">
        <v>685</v>
      </c>
      <c r="D69" s="775"/>
      <c r="E69" s="273">
        <f>E65+E68</f>
        <v>272516</v>
      </c>
    </row>
    <row r="70" spans="2:5" ht="15.75">
      <c r="B70" s="533" t="str">
        <f>CONCATENATE(C86,"     ",D86)</f>
        <v>     </v>
      </c>
      <c r="C70" s="328"/>
      <c r="D70" s="249" t="s">
        <v>177</v>
      </c>
      <c r="E70" s="123">
        <f>IF(E69-E56&gt;0,E69-E56,0)</f>
        <v>0</v>
      </c>
    </row>
    <row r="71" spans="2:5" ht="15.75">
      <c r="B71" s="249"/>
      <c r="C71" s="532" t="s">
        <v>686</v>
      </c>
      <c r="D71" s="505">
        <f>inputOth!$E$24</f>
        <v>0.065</v>
      </c>
      <c r="E71" s="273">
        <f>ROUND(IF(D71&gt;0,($E$70*D71),0),0)</f>
        <v>0</v>
      </c>
    </row>
    <row r="72" spans="2:5" ht="15.75">
      <c r="B72" s="90"/>
      <c r="C72" s="781" t="str">
        <f>CONCATENATE("Amount of  ",$E$1-1," Ad Valorem Tax")</f>
        <v>Amount of  2011 Ad Valorem Tax</v>
      </c>
      <c r="D72" s="782"/>
      <c r="E72" s="355">
        <f>E70+E71</f>
        <v>0</v>
      </c>
    </row>
    <row r="73" spans="2:5" ht="15.75">
      <c r="B73" s="295" t="s">
        <v>190</v>
      </c>
      <c r="C73" s="356">
        <v>19</v>
      </c>
      <c r="D73" s="90"/>
      <c r="E73" s="90"/>
    </row>
    <row r="83" spans="3:4" ht="15.75" hidden="1">
      <c r="C83" s="77">
        <f>IF(C30&gt;C32,"See Tab A","")</f>
      </c>
      <c r="D83" s="77">
        <f>IF(D30&gt;D32,"See Tab C","")</f>
      </c>
    </row>
    <row r="84" spans="3:4" ht="15.75" hidden="1">
      <c r="C84" s="77">
        <f>IF(C31&lt;0,"See Tab B","")</f>
      </c>
      <c r="D84" s="77">
        <f>IF(D31&lt;0,"See Tab D","")</f>
      </c>
    </row>
    <row r="85" spans="3:4" ht="15.75" hidden="1">
      <c r="C85" s="77">
        <f>IF(C65&gt;C67,"See Tab A","")</f>
      </c>
      <c r="D85" s="77">
        <f>IF(D65&gt;D67,"See Tab C","")</f>
      </c>
    </row>
    <row r="86" spans="3:4" ht="15.75" hidden="1">
      <c r="C86" s="77">
        <f>IF(C66&lt;0,"See Tab B","")</f>
      </c>
      <c r="D86" s="77">
        <f>IF(D66&lt;0,"See Tab D","")</f>
      </c>
    </row>
  </sheetData>
  <sheetProtection sheet="1"/>
  <mergeCells count="6">
    <mergeCell ref="C33:D33"/>
    <mergeCell ref="C34:D34"/>
    <mergeCell ref="C68:D68"/>
    <mergeCell ref="C69:D69"/>
    <mergeCell ref="C72:D72"/>
    <mergeCell ref="C37:D37"/>
  </mergeCells>
  <conditionalFormatting sqref="E63">
    <cfRule type="cellIs" priority="3" dxfId="426" operator="greaterThan" stopIfTrue="1">
      <formula>$E$65*0.1</formula>
    </cfRule>
  </conditionalFormatting>
  <conditionalFormatting sqref="E68">
    <cfRule type="cellIs" priority="4" dxfId="426" operator="greaterThan" stopIfTrue="1">
      <formula>$E$65/0.95-$E$65</formula>
    </cfRule>
  </conditionalFormatting>
  <conditionalFormatting sqref="E33">
    <cfRule type="cellIs" priority="5" dxfId="426" operator="greaterThan" stopIfTrue="1">
      <formula>$E$30/0.95-$E$30</formula>
    </cfRule>
  </conditionalFormatting>
  <conditionalFormatting sqref="E28">
    <cfRule type="cellIs" priority="6" dxfId="426" operator="greaterThan" stopIfTrue="1">
      <formula>$E$30*0.1</formula>
    </cfRule>
  </conditionalFormatting>
  <conditionalFormatting sqref="C66 C31">
    <cfRule type="cellIs" priority="7" dxfId="2" operator="lessThan" stopIfTrue="1">
      <formula>0</formula>
    </cfRule>
  </conditionalFormatting>
  <conditionalFormatting sqref="C65">
    <cfRule type="cellIs" priority="8" dxfId="2" operator="greaterThan" stopIfTrue="1">
      <formula>$C$67</formula>
    </cfRule>
  </conditionalFormatting>
  <conditionalFormatting sqref="D65">
    <cfRule type="cellIs" priority="9" dxfId="2" operator="greaterThan" stopIfTrue="1">
      <formula>$D$67</formula>
    </cfRule>
  </conditionalFormatting>
  <conditionalFormatting sqref="C63">
    <cfRule type="cellIs" priority="10" dxfId="2" operator="greaterThan" stopIfTrue="1">
      <formula>$C$65*0.1</formula>
    </cfRule>
  </conditionalFormatting>
  <conditionalFormatting sqref="D63">
    <cfRule type="cellIs" priority="11" dxfId="2" operator="greaterThan" stopIfTrue="1">
      <formula>$D$65*0.1</formula>
    </cfRule>
  </conditionalFormatting>
  <conditionalFormatting sqref="E53">
    <cfRule type="cellIs" priority="12" dxfId="426" operator="greaterThan" stopIfTrue="1">
      <formula>$E$55*0.1+E72</formula>
    </cfRule>
  </conditionalFormatting>
  <conditionalFormatting sqref="C53">
    <cfRule type="cellIs" priority="13" dxfId="2" operator="greaterThan" stopIfTrue="1">
      <formula>$C$55*0.1</formula>
    </cfRule>
  </conditionalFormatting>
  <conditionalFormatting sqref="D53">
    <cfRule type="cellIs" priority="14" dxfId="2" operator="greaterThan" stopIfTrue="1">
      <formula>$D$55*0.1</formula>
    </cfRule>
  </conditionalFormatting>
  <conditionalFormatting sqref="C30">
    <cfRule type="cellIs" priority="15" dxfId="2" operator="greaterThan" stopIfTrue="1">
      <formula>$C$32</formula>
    </cfRule>
  </conditionalFormatting>
  <conditionalFormatting sqref="D30">
    <cfRule type="cellIs" priority="16" dxfId="2" operator="greaterThan" stopIfTrue="1">
      <formula>$D$32</formula>
    </cfRule>
  </conditionalFormatting>
  <conditionalFormatting sqref="C28">
    <cfRule type="cellIs" priority="17" dxfId="2" operator="greaterThan" stopIfTrue="1">
      <formula>$C$30*0.1</formula>
    </cfRule>
  </conditionalFormatting>
  <conditionalFormatting sqref="D28">
    <cfRule type="cellIs" priority="18" dxfId="2" operator="greaterThan" stopIfTrue="1">
      <formula>$D$30*0.1</formula>
    </cfRule>
  </conditionalFormatting>
  <conditionalFormatting sqref="E19">
    <cfRule type="cellIs" priority="19" dxfId="426" operator="greaterThan" stopIfTrue="1">
      <formula>$E$21*0.1+E37</formula>
    </cfRule>
  </conditionalFormatting>
  <conditionalFormatting sqref="C19">
    <cfRule type="cellIs" priority="20" dxfId="2" operator="greaterThan" stopIfTrue="1">
      <formula>$C$21*0.1</formula>
    </cfRule>
  </conditionalFormatting>
  <conditionalFormatting sqref="D19">
    <cfRule type="cellIs" priority="21" dxfId="2" operator="greaterThan" stopIfTrue="1">
      <formula>$D$21*0.1</formula>
    </cfRule>
  </conditionalFormatting>
  <conditionalFormatting sqref="D66 D31">
    <cfRule type="cellIs" priority="2" dxfId="0" operator="lessThan" stopIfTrue="1">
      <formula>0</formula>
    </cfRule>
  </conditionalFormatting>
  <printOptions/>
  <pageMargins left="1.12" right="0.5" top="0.74" bottom="0.34" header="0.5" footer="0"/>
  <pageSetup blackAndWhite="1" fitToHeight="1" fitToWidth="1" horizontalDpi="300" verticalDpi="300" orientation="portrait" scale="62" r:id="rId1"/>
  <headerFooter alignWithMargins="0">
    <oddHeader>&amp;RState of Kansas
County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F90"/>
  <sheetViews>
    <sheetView zoomScale="85" zoomScaleNormal="85" zoomScalePageLayoutView="0" workbookViewId="0" topLeftCell="A22">
      <selection activeCell="D71" sqref="D71"/>
    </sheetView>
  </sheetViews>
  <sheetFormatPr defaultColWidth="8.796875" defaultRowHeight="15"/>
  <cols>
    <col min="1" max="1" width="2.3984375" style="77" customWidth="1"/>
    <col min="2" max="2" width="31.09765625" style="77" customWidth="1"/>
    <col min="3" max="4" width="15.796875" style="77" customWidth="1"/>
    <col min="5" max="5" width="16.296875" style="77" customWidth="1"/>
    <col min="6" max="16384" width="8.8984375" style="77" customWidth="1"/>
  </cols>
  <sheetData>
    <row r="1" spans="2:5" ht="15.75">
      <c r="B1" s="237" t="str">
        <f>inputPrYr!C2</f>
        <v>Geary County</v>
      </c>
      <c r="C1" s="90"/>
      <c r="D1" s="90"/>
      <c r="E1" s="294">
        <f>inputPrYr!C4</f>
        <v>2012</v>
      </c>
    </row>
    <row r="2" spans="2:5" ht="15.75">
      <c r="B2" s="90"/>
      <c r="C2" s="90"/>
      <c r="D2" s="90"/>
      <c r="E2" s="249"/>
    </row>
    <row r="3" spans="2:5" ht="15.75">
      <c r="B3" s="155" t="s">
        <v>239</v>
      </c>
      <c r="C3" s="340"/>
      <c r="D3" s="340"/>
      <c r="E3" s="341"/>
    </row>
    <row r="4" spans="2:5" ht="15.75">
      <c r="B4" s="90"/>
      <c r="C4" s="334"/>
      <c r="D4" s="334"/>
      <c r="E4" s="334"/>
    </row>
    <row r="5" spans="2:5" ht="15.75">
      <c r="B5" s="89" t="s">
        <v>162</v>
      </c>
      <c r="C5" s="478" t="str">
        <f>general!C4</f>
        <v>Prior Year Actual</v>
      </c>
      <c r="D5" s="477" t="str">
        <f>general!D4</f>
        <v>Current Year Estimate</v>
      </c>
      <c r="E5" s="479" t="str">
        <f>general!E4</f>
        <v>Proposed Budget Year</v>
      </c>
    </row>
    <row r="6" spans="2:5" ht="15.75">
      <c r="B6" s="512" t="str">
        <f>inputPrYr!B39</f>
        <v>Capital Improvements (44)</v>
      </c>
      <c r="C6" s="459">
        <f>general!$C$5</f>
        <v>2010</v>
      </c>
      <c r="D6" s="459">
        <f>general!D5</f>
        <v>2011</v>
      </c>
      <c r="E6" s="310">
        <f>general!E5</f>
        <v>2012</v>
      </c>
    </row>
    <row r="7" spans="2:5" ht="15.75">
      <c r="B7" s="151" t="s">
        <v>281</v>
      </c>
      <c r="C7" s="456">
        <v>333436</v>
      </c>
      <c r="D7" s="460">
        <f>C34</f>
        <v>310849</v>
      </c>
      <c r="E7" s="273">
        <f>D34</f>
        <v>150000</v>
      </c>
    </row>
    <row r="8" spans="2:5" ht="15.75">
      <c r="B8" s="298" t="s">
        <v>283</v>
      </c>
      <c r="C8" s="313"/>
      <c r="D8" s="313"/>
      <c r="E8" s="130"/>
    </row>
    <row r="9" spans="2:5" ht="15.75">
      <c r="B9" s="151" t="s">
        <v>163</v>
      </c>
      <c r="C9" s="456"/>
      <c r="D9" s="456"/>
      <c r="E9" s="344" t="s">
        <v>149</v>
      </c>
    </row>
    <row r="10" spans="2:5" ht="15.75">
      <c r="B10" s="151" t="s">
        <v>164</v>
      </c>
      <c r="C10" s="456">
        <v>5572</v>
      </c>
      <c r="D10" s="456">
        <v>2500</v>
      </c>
      <c r="E10" s="116">
        <v>3000</v>
      </c>
    </row>
    <row r="11" spans="2:5" ht="15.75">
      <c r="B11" s="151" t="s">
        <v>165</v>
      </c>
      <c r="C11" s="456">
        <v>23505</v>
      </c>
      <c r="D11" s="456"/>
      <c r="E11" s="273" t="str">
        <f>mvalloc!D31</f>
        <v>  </v>
      </c>
    </row>
    <row r="12" spans="2:5" ht="15.75">
      <c r="B12" s="151" t="s">
        <v>166</v>
      </c>
      <c r="C12" s="456">
        <v>275</v>
      </c>
      <c r="D12" s="456"/>
      <c r="E12" s="273" t="str">
        <f>mvalloc!E31</f>
        <v>  </v>
      </c>
    </row>
    <row r="13" spans="2:5" ht="15.75">
      <c r="B13" s="313" t="s">
        <v>232</v>
      </c>
      <c r="C13" s="456">
        <v>768</v>
      </c>
      <c r="D13" s="456"/>
      <c r="E13" s="273" t="str">
        <f>mvalloc!F31</f>
        <v>  </v>
      </c>
    </row>
    <row r="14" spans="2:5" ht="15.75">
      <c r="B14" s="313" t="s">
        <v>333</v>
      </c>
      <c r="C14" s="456"/>
      <c r="D14" s="456"/>
      <c r="E14" s="273" t="str">
        <f>mvalloc!G31</f>
        <v> </v>
      </c>
    </row>
    <row r="15" spans="2:5" ht="15.75">
      <c r="B15" s="325" t="s">
        <v>910</v>
      </c>
      <c r="C15" s="456">
        <v>1000</v>
      </c>
      <c r="D15" s="456"/>
      <c r="E15" s="116"/>
    </row>
    <row r="16" spans="2:5" ht="15.75">
      <c r="B16" s="325" t="s">
        <v>1063</v>
      </c>
      <c r="C16" s="456">
        <v>16000</v>
      </c>
      <c r="D16" s="456"/>
      <c r="E16" s="116"/>
    </row>
    <row r="17" spans="2:5" ht="15.75">
      <c r="B17" s="325"/>
      <c r="C17" s="456"/>
      <c r="D17" s="456"/>
      <c r="E17" s="116"/>
    </row>
    <row r="18" spans="2:5" ht="15.75">
      <c r="B18" s="316" t="s">
        <v>170</v>
      </c>
      <c r="C18" s="456"/>
      <c r="D18" s="456"/>
      <c r="E18" s="116"/>
    </row>
    <row r="19" spans="2:5" ht="15.75">
      <c r="B19" s="317" t="s">
        <v>76</v>
      </c>
      <c r="C19" s="456"/>
      <c r="D19" s="456"/>
      <c r="E19" s="116"/>
    </row>
    <row r="20" spans="2:5" ht="15.75">
      <c r="B20" s="317" t="s">
        <v>682</v>
      </c>
      <c r="C20" s="457">
        <f>IF(C21*0.1&lt;C19,"Exceed 10% Rule","")</f>
      </c>
      <c r="D20" s="457">
        <f>IF(D21*0.1&lt;D19,"Exceed 10% Rule","")</f>
      </c>
      <c r="E20" s="351">
        <f>IF(E21*0.1+E40&lt;E19,"Exceed 10% Rule","")</f>
      </c>
    </row>
    <row r="21" spans="2:5" ht="15.75">
      <c r="B21" s="319" t="s">
        <v>171</v>
      </c>
      <c r="C21" s="458">
        <f>SUM(C9:C19)</f>
        <v>47120</v>
      </c>
      <c r="D21" s="458">
        <f>SUM(D9:D19)</f>
        <v>2500</v>
      </c>
      <c r="E21" s="358">
        <f>SUM(E9:E19)</f>
        <v>3000</v>
      </c>
    </row>
    <row r="22" spans="2:5" ht="15.75">
      <c r="B22" s="319" t="s">
        <v>172</v>
      </c>
      <c r="C22" s="458">
        <f>C7+C21</f>
        <v>380556</v>
      </c>
      <c r="D22" s="458">
        <f>D7+D21</f>
        <v>313349</v>
      </c>
      <c r="E22" s="358">
        <f>E7+E21</f>
        <v>153000</v>
      </c>
    </row>
    <row r="23" spans="2:5" ht="15.75">
      <c r="B23" s="151" t="s">
        <v>175</v>
      </c>
      <c r="C23" s="317"/>
      <c r="D23" s="317"/>
      <c r="E23" s="112"/>
    </row>
    <row r="24" spans="2:5" ht="15.75">
      <c r="B24" s="325" t="s">
        <v>1007</v>
      </c>
      <c r="C24" s="456"/>
      <c r="D24" s="456">
        <v>138349</v>
      </c>
      <c r="E24" s="116">
        <v>192349</v>
      </c>
    </row>
    <row r="25" spans="2:5" ht="15.75">
      <c r="B25" s="325" t="s">
        <v>1064</v>
      </c>
      <c r="C25" s="456">
        <v>15608</v>
      </c>
      <c r="D25" s="456"/>
      <c r="E25" s="116">
        <v>138636</v>
      </c>
    </row>
    <row r="26" spans="2:5" ht="15.75">
      <c r="B26" s="325" t="s">
        <v>972</v>
      </c>
      <c r="C26" s="456">
        <v>41599</v>
      </c>
      <c r="D26" s="456"/>
      <c r="E26" s="116"/>
    </row>
    <row r="27" spans="2:5" ht="15.75">
      <c r="B27" s="325"/>
      <c r="C27" s="456"/>
      <c r="D27" s="456"/>
      <c r="E27" s="116"/>
    </row>
    <row r="28" spans="2:5" ht="15.75">
      <c r="B28" s="325" t="s">
        <v>1006</v>
      </c>
      <c r="C28" s="456">
        <v>12500</v>
      </c>
      <c r="D28" s="456">
        <v>25000</v>
      </c>
      <c r="E28" s="116">
        <v>25000</v>
      </c>
    </row>
    <row r="29" spans="2:5" ht="15.75">
      <c r="B29" s="325"/>
      <c r="C29" s="456"/>
      <c r="D29" s="456"/>
      <c r="E29" s="116"/>
    </row>
    <row r="30" spans="2:5" ht="15.75">
      <c r="B30" s="317" t="s">
        <v>78</v>
      </c>
      <c r="C30" s="456"/>
      <c r="D30" s="456"/>
      <c r="E30" s="123">
        <f>Nhood!E29</f>
      </c>
    </row>
    <row r="31" spans="2:5" ht="15.75">
      <c r="B31" s="317" t="s">
        <v>76</v>
      </c>
      <c r="C31" s="456"/>
      <c r="D31" s="456"/>
      <c r="E31" s="116"/>
    </row>
    <row r="32" spans="2:5" ht="15.75">
      <c r="B32" s="317" t="s">
        <v>681</v>
      </c>
      <c r="C32" s="457">
        <f>IF(C33*0.1&lt;C31,"Exceed 10% Rule","")</f>
      </c>
      <c r="D32" s="457">
        <f>IF(D33*0.1&lt;D31,"Exceed 10% Rule","")</f>
      </c>
      <c r="E32" s="351">
        <f>IF(E33*0.1&lt;E31,"Exceed 10% Rule","")</f>
      </c>
    </row>
    <row r="33" spans="2:5" ht="15.75">
      <c r="B33" s="319" t="s">
        <v>176</v>
      </c>
      <c r="C33" s="458">
        <f>SUM(C24:C31)</f>
        <v>69707</v>
      </c>
      <c r="D33" s="458">
        <f>SUM(D24:D31)</f>
        <v>163349</v>
      </c>
      <c r="E33" s="358">
        <f>SUM(E24:E31)</f>
        <v>355985</v>
      </c>
    </row>
    <row r="34" spans="2:5" ht="15.75">
      <c r="B34" s="151" t="s">
        <v>282</v>
      </c>
      <c r="C34" s="461">
        <f>C22-C33</f>
        <v>310849</v>
      </c>
      <c r="D34" s="461">
        <f>D22-D33</f>
        <v>150000</v>
      </c>
      <c r="E34" s="344" t="s">
        <v>149</v>
      </c>
    </row>
    <row r="35" spans="2:6" ht="15.75">
      <c r="B35" s="295" t="str">
        <f>CONCATENATE("",E$1-2,"/",E$1-1," Budget Authority Amount:")</f>
        <v>2010/2011 Budget Authority Amount:</v>
      </c>
      <c r="C35" s="287">
        <f>inputOth!B54</f>
        <v>331623</v>
      </c>
      <c r="D35" s="287">
        <f>inputPrYr!D39</f>
        <v>341477</v>
      </c>
      <c r="E35" s="344" t="s">
        <v>149</v>
      </c>
      <c r="F35" s="327"/>
    </row>
    <row r="36" spans="2:6" ht="15.75">
      <c r="B36" s="295"/>
      <c r="C36" s="772" t="s">
        <v>684</v>
      </c>
      <c r="D36" s="773"/>
      <c r="E36" s="116"/>
      <c r="F36" s="327">
        <f>IF(E33/0.95-E33&lt;E36,"Exceeds 5%","")</f>
      </c>
    </row>
    <row r="37" spans="2:5" ht="15.75">
      <c r="B37" s="534" t="str">
        <f>CONCATENATE(C87,"     ",D87)</f>
        <v>     </v>
      </c>
      <c r="C37" s="774" t="s">
        <v>685</v>
      </c>
      <c r="D37" s="775"/>
      <c r="E37" s="273">
        <f>E33+E36</f>
        <v>355985</v>
      </c>
    </row>
    <row r="38" spans="2:5" ht="15.75">
      <c r="B38" s="534" t="str">
        <f>CONCATENATE(C88,"     ",D88)</f>
        <v>     </v>
      </c>
      <c r="C38" s="328"/>
      <c r="D38" s="249" t="s">
        <v>177</v>
      </c>
      <c r="E38" s="123">
        <f>IF(E37-E22&gt;0,E37-E22,0)</f>
        <v>202985</v>
      </c>
    </row>
    <row r="39" spans="2:5" ht="15.75">
      <c r="B39" s="249"/>
      <c r="C39" s="532" t="s">
        <v>686</v>
      </c>
      <c r="D39" s="505">
        <f>inputOth!$E$24</f>
        <v>0.065</v>
      </c>
      <c r="E39" s="273">
        <f>ROUND(IF(D39&gt;0,($E$38*D39),0),0)</f>
        <v>13194</v>
      </c>
    </row>
    <row r="40" spans="2:5" ht="15.75">
      <c r="B40" s="90"/>
      <c r="C40" s="781" t="str">
        <f>CONCATENATE("Amount of  ",$E$1-1," Ad Valorem Tax")</f>
        <v>Amount of  2011 Ad Valorem Tax</v>
      </c>
      <c r="D40" s="782"/>
      <c r="E40" s="355">
        <f>E38+E39</f>
        <v>216179</v>
      </c>
    </row>
    <row r="41" spans="2:5" ht="15.75">
      <c r="B41" s="90"/>
      <c r="C41" s="334"/>
      <c r="D41" s="334"/>
      <c r="E41" s="334"/>
    </row>
    <row r="42" spans="2:5" ht="15.75">
      <c r="B42" s="89" t="s">
        <v>162</v>
      </c>
      <c r="C42" s="478" t="str">
        <f aca="true" t="shared" si="0" ref="C42:E43">C5</f>
        <v>Prior Year Actual</v>
      </c>
      <c r="D42" s="477" t="str">
        <f t="shared" si="0"/>
        <v>Current Year Estimate</v>
      </c>
      <c r="E42" s="479" t="str">
        <f t="shared" si="0"/>
        <v>Proposed Budget Year</v>
      </c>
    </row>
    <row r="43" spans="2:5" ht="15.75">
      <c r="B43" s="511" t="str">
        <f>inputPrYr!B40</f>
        <v>Geary Comm Hosp B&amp;I (27)</v>
      </c>
      <c r="C43" s="459">
        <f t="shared" si="0"/>
        <v>2010</v>
      </c>
      <c r="D43" s="459">
        <f t="shared" si="0"/>
        <v>2011</v>
      </c>
      <c r="E43" s="310">
        <f t="shared" si="0"/>
        <v>2012</v>
      </c>
    </row>
    <row r="44" spans="2:5" ht="15.75">
      <c r="B44" s="151" t="s">
        <v>281</v>
      </c>
      <c r="C44" s="456">
        <v>551944</v>
      </c>
      <c r="D44" s="460">
        <f>C70</f>
        <v>636647</v>
      </c>
      <c r="E44" s="273">
        <f>D70</f>
        <v>479250</v>
      </c>
    </row>
    <row r="45" spans="2:5" ht="15.75">
      <c r="B45" s="311" t="s">
        <v>283</v>
      </c>
      <c r="C45" s="313"/>
      <c r="D45" s="313"/>
      <c r="E45" s="130"/>
    </row>
    <row r="46" spans="2:5" ht="15.75">
      <c r="B46" s="151" t="s">
        <v>163</v>
      </c>
      <c r="C46" s="456">
        <v>793715</v>
      </c>
      <c r="D46" s="456">
        <v>819960</v>
      </c>
      <c r="E46" s="344" t="s">
        <v>149</v>
      </c>
    </row>
    <row r="47" spans="2:5" ht="15.75">
      <c r="B47" s="151" t="s">
        <v>164</v>
      </c>
      <c r="C47" s="456">
        <v>18373</v>
      </c>
      <c r="D47" s="456">
        <v>9000</v>
      </c>
      <c r="E47" s="116">
        <v>12000</v>
      </c>
    </row>
    <row r="48" spans="2:5" ht="15.75">
      <c r="B48" s="151" t="s">
        <v>165</v>
      </c>
      <c r="C48" s="456">
        <v>91071</v>
      </c>
      <c r="D48" s="456">
        <v>91158</v>
      </c>
      <c r="E48" s="273">
        <f>mvalloc!D32</f>
        <v>91865</v>
      </c>
    </row>
    <row r="49" spans="2:5" ht="15.75">
      <c r="B49" s="151" t="s">
        <v>166</v>
      </c>
      <c r="C49" s="456">
        <v>251</v>
      </c>
      <c r="D49" s="456">
        <v>1024</v>
      </c>
      <c r="E49" s="273">
        <f>mvalloc!E32</f>
        <v>1067</v>
      </c>
    </row>
    <row r="50" spans="2:5" ht="15.75">
      <c r="B50" s="313" t="s">
        <v>232</v>
      </c>
      <c r="C50" s="456">
        <v>2351</v>
      </c>
      <c r="D50" s="456">
        <v>1461</v>
      </c>
      <c r="E50" s="273">
        <f>mvalloc!F32</f>
        <v>1504</v>
      </c>
    </row>
    <row r="51" spans="2:5" ht="15.75">
      <c r="B51" s="313" t="s">
        <v>333</v>
      </c>
      <c r="C51" s="456"/>
      <c r="D51" s="456"/>
      <c r="E51" s="273">
        <f>mvalloc!G34</f>
        <v>0</v>
      </c>
    </row>
    <row r="52" spans="2:5" ht="15.75">
      <c r="B52" s="700" t="s">
        <v>1008</v>
      </c>
      <c r="C52" s="456">
        <v>1208588</v>
      </c>
      <c r="D52" s="456">
        <v>1000000</v>
      </c>
      <c r="E52" s="116">
        <v>1000000</v>
      </c>
    </row>
    <row r="53" spans="2:5" ht="15.75">
      <c r="B53" s="700" t="s">
        <v>1009</v>
      </c>
      <c r="C53" s="456"/>
      <c r="D53" s="456"/>
      <c r="E53" s="116"/>
    </row>
    <row r="54" spans="2:5" ht="15.75">
      <c r="B54" s="700" t="s">
        <v>976</v>
      </c>
      <c r="C54" s="456">
        <v>219</v>
      </c>
      <c r="D54" s="456"/>
      <c r="E54" s="116"/>
    </row>
    <row r="55" spans="2:5" ht="15.75">
      <c r="B55" s="316" t="s">
        <v>170</v>
      </c>
      <c r="C55" s="456">
        <v>3991</v>
      </c>
      <c r="D55" s="456"/>
      <c r="E55" s="116"/>
    </row>
    <row r="56" spans="2:5" ht="15.75">
      <c r="B56" s="317" t="s">
        <v>76</v>
      </c>
      <c r="C56" s="456"/>
      <c r="D56" s="456"/>
      <c r="E56" s="116"/>
    </row>
    <row r="57" spans="2:5" ht="15.75">
      <c r="B57" s="317" t="s">
        <v>682</v>
      </c>
      <c r="C57" s="457">
        <f>IF(C58*0.1&lt;C56,"Exceed 10% Rule","")</f>
      </c>
      <c r="D57" s="457">
        <f>IF(D58*0.1&lt;D56,"Exceed 10% Rule","")</f>
      </c>
      <c r="E57" s="351">
        <f>IF(E58*0.1+E76&lt;E56,"Exceed 10% Rule","")</f>
      </c>
    </row>
    <row r="58" spans="2:5" ht="15.75">
      <c r="B58" s="319" t="s">
        <v>171</v>
      </c>
      <c r="C58" s="458">
        <f>SUM(C46:C56)</f>
        <v>2118559</v>
      </c>
      <c r="D58" s="458">
        <f>SUM(D46:D56)</f>
        <v>1922603</v>
      </c>
      <c r="E58" s="358">
        <f>SUM(E46:E56)</f>
        <v>1106436</v>
      </c>
    </row>
    <row r="59" spans="2:5" ht="15.75">
      <c r="B59" s="319" t="s">
        <v>172</v>
      </c>
      <c r="C59" s="458">
        <f>C44+C58</f>
        <v>2670503</v>
      </c>
      <c r="D59" s="458">
        <f>D44+D58</f>
        <v>2559250</v>
      </c>
      <c r="E59" s="358">
        <f>E44+E58</f>
        <v>1585686</v>
      </c>
    </row>
    <row r="60" spans="2:5" ht="15.75">
      <c r="B60" s="151" t="s">
        <v>175</v>
      </c>
      <c r="C60" s="317"/>
      <c r="D60" s="317"/>
      <c r="E60" s="112"/>
    </row>
    <row r="61" spans="2:5" ht="15.75">
      <c r="B61" s="701" t="s">
        <v>1010</v>
      </c>
      <c r="C61" s="456">
        <v>450000</v>
      </c>
      <c r="D61" s="456">
        <v>520000</v>
      </c>
      <c r="E61" s="116">
        <v>590000</v>
      </c>
    </row>
    <row r="62" spans="2:5" ht="15.75">
      <c r="B62" s="701" t="s">
        <v>1011</v>
      </c>
      <c r="C62" s="456">
        <v>1583856</v>
      </c>
      <c r="D62" s="456">
        <v>1560000</v>
      </c>
      <c r="E62" s="116">
        <v>1525000</v>
      </c>
    </row>
    <row r="63" spans="2:5" ht="15.75">
      <c r="B63" s="701" t="s">
        <v>1012</v>
      </c>
      <c r="C63" s="456"/>
      <c r="D63" s="456"/>
      <c r="E63" s="116"/>
    </row>
    <row r="64" spans="2:5" ht="15.75">
      <c r="B64" s="701" t="s">
        <v>1013</v>
      </c>
      <c r="C64" s="456"/>
      <c r="D64" s="456"/>
      <c r="E64" s="116">
        <v>297700</v>
      </c>
    </row>
    <row r="65" spans="2:5" ht="15.75">
      <c r="B65" s="325"/>
      <c r="C65" s="456"/>
      <c r="D65" s="456"/>
      <c r="E65" s="116"/>
    </row>
    <row r="66" spans="2:5" ht="15.75">
      <c r="B66" s="317" t="s">
        <v>78</v>
      </c>
      <c r="C66" s="456"/>
      <c r="D66" s="456"/>
      <c r="E66" s="123">
        <f>Nhood!E30</f>
      </c>
    </row>
    <row r="67" spans="2:5" ht="15.75">
      <c r="B67" s="317" t="s">
        <v>76</v>
      </c>
      <c r="C67" s="456"/>
      <c r="D67" s="456"/>
      <c r="E67" s="116"/>
    </row>
    <row r="68" spans="2:5" ht="15.75">
      <c r="B68" s="317" t="s">
        <v>681</v>
      </c>
      <c r="C68" s="457">
        <f>IF(C69*0.1&lt;C67,"Exceed 10% Rule","")</f>
      </c>
      <c r="D68" s="457">
        <f>IF(D69*0.1&lt;D67,"Exceed 10% Rule","")</f>
      </c>
      <c r="E68" s="351">
        <f>IF(E69*0.1&lt;E67,"Exceed 10% Rule","")</f>
      </c>
    </row>
    <row r="69" spans="2:5" ht="15.75">
      <c r="B69" s="319" t="s">
        <v>176</v>
      </c>
      <c r="C69" s="458">
        <f>SUM(C61:C67)</f>
        <v>2033856</v>
      </c>
      <c r="D69" s="458">
        <f>SUM(D61:D67)</f>
        <v>2080000</v>
      </c>
      <c r="E69" s="358">
        <f>SUM(E61:E67)</f>
        <v>2412700</v>
      </c>
    </row>
    <row r="70" spans="2:5" ht="15.75">
      <c r="B70" s="151" t="s">
        <v>282</v>
      </c>
      <c r="C70" s="461">
        <f>C59-C69</f>
        <v>636647</v>
      </c>
      <c r="D70" s="461">
        <f>D59-D69</f>
        <v>479250</v>
      </c>
      <c r="E70" s="344" t="s">
        <v>149</v>
      </c>
    </row>
    <row r="71" spans="2:6" ht="15.75">
      <c r="B71" s="295" t="str">
        <f>CONCATENATE("",E$1-2,"/",E$1-1," Budget Authority Amount:")</f>
        <v>2010/2011 Budget Authority Amount:</v>
      </c>
      <c r="C71" s="287">
        <f>inputOth!B55</f>
        <v>2348750</v>
      </c>
      <c r="D71" s="287">
        <f>inputPrYr!D40</f>
        <v>2351000</v>
      </c>
      <c r="E71" s="344" t="s">
        <v>149</v>
      </c>
      <c r="F71" s="327"/>
    </row>
    <row r="72" spans="2:6" ht="15.75">
      <c r="B72" s="295"/>
      <c r="C72" s="772" t="s">
        <v>684</v>
      </c>
      <c r="D72" s="773"/>
      <c r="E72" s="116"/>
      <c r="F72" s="327">
        <f>IF(E69/0.95-E69&lt;E72,"Exceeds 5%","")</f>
      </c>
    </row>
    <row r="73" spans="2:5" ht="15.75">
      <c r="B73" s="533" t="str">
        <f>CONCATENATE(C89,"     ",D89)</f>
        <v>     </v>
      </c>
      <c r="C73" s="774" t="s">
        <v>685</v>
      </c>
      <c r="D73" s="775"/>
      <c r="E73" s="273">
        <f>E69+E72</f>
        <v>2412700</v>
      </c>
    </row>
    <row r="74" spans="2:5" ht="15.75">
      <c r="B74" s="533" t="str">
        <f>CONCATENATE(C90,"     ",D90)</f>
        <v>     </v>
      </c>
      <c r="C74" s="328"/>
      <c r="D74" s="249" t="s">
        <v>177</v>
      </c>
      <c r="E74" s="123">
        <f>IF(E73-E59&gt;0,E73-E59,0)</f>
        <v>827014</v>
      </c>
    </row>
    <row r="75" spans="2:5" ht="15.75">
      <c r="B75" s="249"/>
      <c r="C75" s="532" t="s">
        <v>686</v>
      </c>
      <c r="D75" s="505">
        <f>inputOth!$E$24</f>
        <v>0.065</v>
      </c>
      <c r="E75" s="273">
        <f>ROUND(IF(D75&gt;0,($E$74*D75),0),0)</f>
        <v>53756</v>
      </c>
    </row>
    <row r="76" spans="2:5" ht="15.75">
      <c r="B76" s="90"/>
      <c r="C76" s="781" t="str">
        <f>CONCATENATE("Amount of  ",$E$1-1," Ad Valorem Tax")</f>
        <v>Amount of  2011 Ad Valorem Tax</v>
      </c>
      <c r="D76" s="782"/>
      <c r="E76" s="355">
        <f>E74+E75</f>
        <v>880770</v>
      </c>
    </row>
    <row r="77" spans="2:5" ht="15.75">
      <c r="B77" s="295" t="s">
        <v>190</v>
      </c>
      <c r="C77" s="356">
        <v>20</v>
      </c>
      <c r="D77" s="90"/>
      <c r="E77" s="90"/>
    </row>
    <row r="87" spans="3:4" ht="15.75" hidden="1">
      <c r="C87" s="77">
        <f>IF(C33&gt;C35,"See Tab A","")</f>
      </c>
      <c r="D87" s="77">
        <f>IF(D33&gt;D35,"See Tab C","")</f>
      </c>
    </row>
    <row r="88" spans="3:4" ht="15.75" hidden="1">
      <c r="C88" s="77">
        <f>IF(C34&lt;0,"See Tab B","")</f>
      </c>
      <c r="D88" s="77">
        <f>IF(D34&lt;0,"See Tab D","")</f>
      </c>
    </row>
    <row r="89" spans="3:4" ht="15.75" hidden="1">
      <c r="C89" s="77">
        <f>IF(C69&gt;C71,"See Tab A","")</f>
      </c>
      <c r="D89" s="77">
        <f>IF(D69&gt;D71,"See Tab C","")</f>
      </c>
    </row>
    <row r="90" spans="3:4" ht="15.75" hidden="1">
      <c r="C90" s="77">
        <f>IF(C70&lt;0,"See Tab B","")</f>
      </c>
      <c r="D90" s="77">
        <f>IF(D70&lt;0,"See Tab D","")</f>
      </c>
    </row>
  </sheetData>
  <sheetProtection sheet="1"/>
  <mergeCells count="6">
    <mergeCell ref="C36:D36"/>
    <mergeCell ref="C37:D37"/>
    <mergeCell ref="C72:D72"/>
    <mergeCell ref="C73:D73"/>
    <mergeCell ref="C76:D76"/>
    <mergeCell ref="C40:D40"/>
  </mergeCells>
  <conditionalFormatting sqref="E67">
    <cfRule type="cellIs" priority="3" dxfId="426" operator="greaterThan" stopIfTrue="1">
      <formula>$E$69*0.1</formula>
    </cfRule>
  </conditionalFormatting>
  <conditionalFormatting sqref="E72">
    <cfRule type="cellIs" priority="4" dxfId="426" operator="greaterThan" stopIfTrue="1">
      <formula>$E$69/0.95-$E$69</formula>
    </cfRule>
  </conditionalFormatting>
  <conditionalFormatting sqref="E36">
    <cfRule type="cellIs" priority="5" dxfId="426" operator="greaterThan" stopIfTrue="1">
      <formula>$E$33/0.95-$E$33</formula>
    </cfRule>
  </conditionalFormatting>
  <conditionalFormatting sqref="E31">
    <cfRule type="cellIs" priority="6" dxfId="426" operator="greaterThan" stopIfTrue="1">
      <formula>$E$33*0.1</formula>
    </cfRule>
  </conditionalFormatting>
  <conditionalFormatting sqref="C70 C34">
    <cfRule type="cellIs" priority="7" dxfId="2" operator="lessThan" stopIfTrue="1">
      <formula>0</formula>
    </cfRule>
  </conditionalFormatting>
  <conditionalFormatting sqref="C69">
    <cfRule type="cellIs" priority="8" dxfId="2" operator="greaterThan" stopIfTrue="1">
      <formula>$C$71</formula>
    </cfRule>
  </conditionalFormatting>
  <conditionalFormatting sqref="D69">
    <cfRule type="cellIs" priority="9" dxfId="2" operator="greaterThan" stopIfTrue="1">
      <formula>$D$71</formula>
    </cfRule>
  </conditionalFormatting>
  <conditionalFormatting sqref="C67">
    <cfRule type="cellIs" priority="10" dxfId="2" operator="greaterThan" stopIfTrue="1">
      <formula>$C$69*0.1</formula>
    </cfRule>
  </conditionalFormatting>
  <conditionalFormatting sqref="D67">
    <cfRule type="cellIs" priority="11" dxfId="2" operator="greaterThan" stopIfTrue="1">
      <formula>$D$69*0.1</formula>
    </cfRule>
  </conditionalFormatting>
  <conditionalFormatting sqref="E56">
    <cfRule type="cellIs" priority="12" dxfId="426" operator="greaterThan" stopIfTrue="1">
      <formula>$E$58*0.1+E76</formula>
    </cfRule>
  </conditionalFormatting>
  <conditionalFormatting sqref="C56">
    <cfRule type="cellIs" priority="13" dxfId="2" operator="greaterThan" stopIfTrue="1">
      <formula>$C$58*0.1</formula>
    </cfRule>
  </conditionalFormatting>
  <conditionalFormatting sqref="D56">
    <cfRule type="cellIs" priority="14" dxfId="2" operator="greaterThan" stopIfTrue="1">
      <formula>$D$58*0.1</formula>
    </cfRule>
  </conditionalFormatting>
  <conditionalFormatting sqref="C33">
    <cfRule type="cellIs" priority="15" dxfId="2" operator="greaterThan" stopIfTrue="1">
      <formula>$C$35</formula>
    </cfRule>
  </conditionalFormatting>
  <conditionalFormatting sqref="D33">
    <cfRule type="cellIs" priority="16" dxfId="2" operator="greaterThan" stopIfTrue="1">
      <formula>$D$35</formula>
    </cfRule>
  </conditionalFormatting>
  <conditionalFormatting sqref="C31">
    <cfRule type="cellIs" priority="17" dxfId="2" operator="greaterThan" stopIfTrue="1">
      <formula>$C$33*0.1</formula>
    </cfRule>
  </conditionalFormatting>
  <conditionalFormatting sqref="D31">
    <cfRule type="cellIs" priority="18" dxfId="2" operator="greaterThan" stopIfTrue="1">
      <formula>$D$33*0.1</formula>
    </cfRule>
  </conditionalFormatting>
  <conditionalFormatting sqref="E19">
    <cfRule type="cellIs" priority="19" dxfId="426" operator="greaterThan" stopIfTrue="1">
      <formula>$E$21*0.1+E40</formula>
    </cfRule>
  </conditionalFormatting>
  <conditionalFormatting sqref="C19">
    <cfRule type="cellIs" priority="20" dxfId="2" operator="greaterThan" stopIfTrue="1">
      <formula>$C$21*0.1</formula>
    </cfRule>
  </conditionalFormatting>
  <conditionalFormatting sqref="D19">
    <cfRule type="cellIs" priority="21" dxfId="2" operator="greaterThan" stopIfTrue="1">
      <formula>$D$21*0.1</formula>
    </cfRule>
  </conditionalFormatting>
  <conditionalFormatting sqref="D70 D34">
    <cfRule type="cellIs" priority="2" dxfId="0" operator="lessThan" stopIfTrue="1">
      <formula>0</formula>
    </cfRule>
  </conditionalFormatting>
  <printOptions/>
  <pageMargins left="1.12" right="0.5" top="0.74" bottom="0.34" header="0.5" footer="0"/>
  <pageSetup blackAndWhite="1" fitToHeight="1" fitToWidth="1" horizontalDpi="300" verticalDpi="300" orientation="portrait" scale="60" r:id="rId1"/>
  <headerFooter alignWithMargins="0">
    <oddHeader>&amp;RState of Kansas
County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F85"/>
  <sheetViews>
    <sheetView zoomScale="75" zoomScaleNormal="75" zoomScalePageLayoutView="0" workbookViewId="0" topLeftCell="A15">
      <selection activeCell="D66" sqref="D66"/>
    </sheetView>
  </sheetViews>
  <sheetFormatPr defaultColWidth="8.796875" defaultRowHeight="15"/>
  <cols>
    <col min="1" max="1" width="2.3984375" style="77" customWidth="1"/>
    <col min="2" max="2" width="31.09765625" style="77" customWidth="1"/>
    <col min="3" max="4" width="15.796875" style="77" customWidth="1"/>
    <col min="5" max="5" width="16.296875" style="77" customWidth="1"/>
    <col min="6" max="16384" width="8.8984375" style="77" customWidth="1"/>
  </cols>
  <sheetData>
    <row r="1" spans="2:5" ht="15.75">
      <c r="B1" s="237" t="str">
        <f>inputPrYr!C2</f>
        <v>Geary County</v>
      </c>
      <c r="C1" s="90"/>
      <c r="D1" s="90"/>
      <c r="E1" s="294">
        <f>inputPrYr!C4</f>
        <v>2012</v>
      </c>
    </row>
    <row r="2" spans="2:5" ht="15.75">
      <c r="B2" s="90"/>
      <c r="C2" s="90"/>
      <c r="D2" s="90"/>
      <c r="E2" s="249"/>
    </row>
    <row r="3" spans="2:5" ht="15.75">
      <c r="B3" s="155" t="s">
        <v>239</v>
      </c>
      <c r="C3" s="340"/>
      <c r="D3" s="340"/>
      <c r="E3" s="341"/>
    </row>
    <row r="4" spans="2:5" ht="15.75">
      <c r="B4" s="90"/>
      <c r="C4" s="334"/>
      <c r="D4" s="334"/>
      <c r="E4" s="334"/>
    </row>
    <row r="5" spans="2:5" ht="15.75">
      <c r="B5" s="89" t="s">
        <v>162</v>
      </c>
      <c r="C5" s="478" t="str">
        <f>general!C4</f>
        <v>Prior Year Actual</v>
      </c>
      <c r="D5" s="477" t="str">
        <f>general!D4</f>
        <v>Current Year Estimate</v>
      </c>
      <c r="E5" s="479" t="str">
        <f>general!E4</f>
        <v>Proposed Budget Year</v>
      </c>
    </row>
    <row r="6" spans="2:5" ht="15.75">
      <c r="B6" s="512" t="str">
        <f>inputPrYr!B41</f>
        <v>Co. Neighborhood Revital (35)</v>
      </c>
      <c r="C6" s="459">
        <f>general!$C$5</f>
        <v>2010</v>
      </c>
      <c r="D6" s="459">
        <f>general!D5</f>
        <v>2011</v>
      </c>
      <c r="E6" s="310">
        <f>general!E5</f>
        <v>2012</v>
      </c>
    </row>
    <row r="7" spans="2:5" ht="15.75">
      <c r="B7" s="151" t="s">
        <v>281</v>
      </c>
      <c r="C7" s="456">
        <v>57189</v>
      </c>
      <c r="D7" s="460">
        <f>C31</f>
        <v>103766</v>
      </c>
      <c r="E7" s="273">
        <f>D31</f>
        <v>63945</v>
      </c>
    </row>
    <row r="8" spans="2:5" ht="15.75">
      <c r="B8" s="298" t="s">
        <v>283</v>
      </c>
      <c r="C8" s="313"/>
      <c r="D8" s="313"/>
      <c r="E8" s="130"/>
    </row>
    <row r="9" spans="2:5" ht="15.75">
      <c r="B9" s="151" t="s">
        <v>163</v>
      </c>
      <c r="C9" s="456">
        <v>577786</v>
      </c>
      <c r="D9" s="456">
        <v>559011</v>
      </c>
      <c r="E9" s="344" t="s">
        <v>149</v>
      </c>
    </row>
    <row r="10" spans="2:5" ht="15.75">
      <c r="B10" s="151" t="s">
        <v>164</v>
      </c>
      <c r="C10" s="456">
        <v>10794</v>
      </c>
      <c r="D10" s="456">
        <v>3000</v>
      </c>
      <c r="E10" s="116">
        <v>6000</v>
      </c>
    </row>
    <row r="11" spans="2:5" ht="15.75">
      <c r="B11" s="151" t="s">
        <v>165</v>
      </c>
      <c r="C11" s="456">
        <v>60627</v>
      </c>
      <c r="D11" s="456">
        <v>66359</v>
      </c>
      <c r="E11" s="273">
        <f>mvalloc!D33</f>
        <v>62629</v>
      </c>
    </row>
    <row r="12" spans="2:5" ht="15.75">
      <c r="B12" s="151" t="s">
        <v>166</v>
      </c>
      <c r="C12" s="456">
        <v>710</v>
      </c>
      <c r="D12" s="456">
        <v>746</v>
      </c>
      <c r="E12" s="273">
        <f>mvalloc!E33</f>
        <v>728</v>
      </c>
    </row>
    <row r="13" spans="2:5" ht="15.75">
      <c r="B13" s="313" t="s">
        <v>232</v>
      </c>
      <c r="C13" s="456">
        <v>939</v>
      </c>
      <c r="D13" s="456">
        <v>1063</v>
      </c>
      <c r="E13" s="273">
        <f>mvalloc!F33</f>
        <v>1026</v>
      </c>
    </row>
    <row r="14" spans="2:5" ht="15.75">
      <c r="B14" s="313" t="s">
        <v>333</v>
      </c>
      <c r="C14" s="456"/>
      <c r="D14" s="456"/>
      <c r="E14" s="273" t="str">
        <f>mvalloc!G31</f>
        <v> </v>
      </c>
    </row>
    <row r="15" spans="2:5" ht="15.75">
      <c r="B15" s="325" t="s">
        <v>976</v>
      </c>
      <c r="C15" s="456">
        <v>160</v>
      </c>
      <c r="D15" s="456"/>
      <c r="E15" s="116"/>
    </row>
    <row r="16" spans="2:5" ht="15.75">
      <c r="B16" s="325"/>
      <c r="C16" s="456"/>
      <c r="D16" s="456"/>
      <c r="E16" s="116"/>
    </row>
    <row r="17" spans="2:5" ht="15.75">
      <c r="B17" s="325"/>
      <c r="C17" s="456"/>
      <c r="D17" s="456"/>
      <c r="E17" s="116"/>
    </row>
    <row r="18" spans="2:5" ht="15.75">
      <c r="B18" s="316" t="s">
        <v>170</v>
      </c>
      <c r="C18" s="456"/>
      <c r="D18" s="456"/>
      <c r="E18" s="116"/>
    </row>
    <row r="19" spans="2:5" ht="15.75">
      <c r="B19" s="317" t="s">
        <v>76</v>
      </c>
      <c r="C19" s="456"/>
      <c r="D19" s="456"/>
      <c r="E19" s="116"/>
    </row>
    <row r="20" spans="2:5" ht="15.75">
      <c r="B20" s="317" t="s">
        <v>682</v>
      </c>
      <c r="C20" s="457">
        <f>IF(C21*0.1&lt;C19,"Exceed 10% Rule","")</f>
      </c>
      <c r="D20" s="457">
        <f>IF(D21*0.1&lt;D19,"Exceed 10% Rule","")</f>
      </c>
      <c r="E20" s="351">
        <f>IF(E21*0.1+E37&lt;E19,"Exceed 10% Rule","")</f>
      </c>
    </row>
    <row r="21" spans="2:5" ht="15.75">
      <c r="B21" s="319" t="s">
        <v>171</v>
      </c>
      <c r="C21" s="458">
        <f>SUM(C9:C19)</f>
        <v>651016</v>
      </c>
      <c r="D21" s="458">
        <f>SUM(D9:D19)</f>
        <v>630179</v>
      </c>
      <c r="E21" s="358">
        <f>SUM(E9:E19)</f>
        <v>70383</v>
      </c>
    </row>
    <row r="22" spans="2:5" ht="15.75">
      <c r="B22" s="319" t="s">
        <v>172</v>
      </c>
      <c r="C22" s="458">
        <f>C7+C21</f>
        <v>708205</v>
      </c>
      <c r="D22" s="458">
        <f>D7+D21</f>
        <v>733945</v>
      </c>
      <c r="E22" s="358">
        <f>E7+E21</f>
        <v>134328</v>
      </c>
    </row>
    <row r="23" spans="2:5" ht="15.75">
      <c r="B23" s="151" t="s">
        <v>175</v>
      </c>
      <c r="C23" s="317"/>
      <c r="D23" s="317"/>
      <c r="E23" s="112"/>
    </row>
    <row r="24" spans="2:5" ht="15.75">
      <c r="B24" s="702" t="s">
        <v>78</v>
      </c>
      <c r="C24" s="456">
        <v>604439</v>
      </c>
      <c r="D24" s="456">
        <v>670000</v>
      </c>
      <c r="E24" s="116">
        <v>710000</v>
      </c>
    </row>
    <row r="25" spans="2:5" ht="15.75">
      <c r="B25" s="325"/>
      <c r="C25" s="456"/>
      <c r="D25" s="456"/>
      <c r="E25" s="116"/>
    </row>
    <row r="26" spans="2:5" ht="15.75">
      <c r="B26" s="325"/>
      <c r="C26" s="456"/>
      <c r="D26" s="456"/>
      <c r="E26" s="116"/>
    </row>
    <row r="27" spans="2:5" ht="15.75">
      <c r="B27" s="317" t="s">
        <v>78</v>
      </c>
      <c r="C27" s="456"/>
      <c r="D27" s="456"/>
      <c r="E27" s="123">
        <f>Nhood!E29</f>
      </c>
    </row>
    <row r="28" spans="2:5" ht="15.75">
      <c r="B28" s="317" t="s">
        <v>76</v>
      </c>
      <c r="C28" s="456"/>
      <c r="D28" s="456"/>
      <c r="E28" s="116"/>
    </row>
    <row r="29" spans="2:5" ht="15.75">
      <c r="B29" s="317" t="s">
        <v>681</v>
      </c>
      <c r="C29" s="457">
        <f>IF(C30*0.1&lt;C28,"Exceed 10% Rule","")</f>
      </c>
      <c r="D29" s="457">
        <f>IF(D30*0.1&lt;D28,"Exceed 10% Rule","")</f>
      </c>
      <c r="E29" s="351">
        <f>IF(E30*0.1&lt;E28,"Exceed 10% Rule","")</f>
      </c>
    </row>
    <row r="30" spans="2:5" ht="15.75">
      <c r="B30" s="319" t="s">
        <v>176</v>
      </c>
      <c r="C30" s="458">
        <f>SUM(C24:C28)</f>
        <v>604439</v>
      </c>
      <c r="D30" s="458">
        <f>SUM(D24:D28)</f>
        <v>670000</v>
      </c>
      <c r="E30" s="358">
        <f>SUM(E24:E28)</f>
        <v>710000</v>
      </c>
    </row>
    <row r="31" spans="2:5" ht="15.75">
      <c r="B31" s="151" t="s">
        <v>282</v>
      </c>
      <c r="C31" s="461">
        <f>C22-C30</f>
        <v>103766</v>
      </c>
      <c r="D31" s="461">
        <f>D22-D30</f>
        <v>63945</v>
      </c>
      <c r="E31" s="344" t="s">
        <v>149</v>
      </c>
    </row>
    <row r="32" spans="2:6" ht="15.75">
      <c r="B32" s="295" t="str">
        <f>CONCATENATE("",E$1-2,"/",E$1-1," Budget Authority Amount:")</f>
        <v>2010/2011 Budget Authority Amount:</v>
      </c>
      <c r="C32" s="287">
        <f>inputOth!B56</f>
        <v>675000</v>
      </c>
      <c r="D32" s="287">
        <f>inputPrYr!D41</f>
        <v>670000</v>
      </c>
      <c r="E32" s="344" t="s">
        <v>149</v>
      </c>
      <c r="F32" s="327"/>
    </row>
    <row r="33" spans="2:6" ht="15.75">
      <c r="B33" s="295"/>
      <c r="C33" s="772" t="s">
        <v>684</v>
      </c>
      <c r="D33" s="773"/>
      <c r="E33" s="116"/>
      <c r="F33" s="327">
        <f>IF(E30/0.95-E30&lt;E33,"Exceeds 5%","")</f>
      </c>
    </row>
    <row r="34" spans="2:5" ht="15.75">
      <c r="B34" s="534" t="str">
        <f>CONCATENATE(C82,"     ",D82)</f>
        <v>     </v>
      </c>
      <c r="C34" s="774" t="s">
        <v>685</v>
      </c>
      <c r="D34" s="775"/>
      <c r="E34" s="273">
        <f>E30+E33</f>
        <v>710000</v>
      </c>
    </row>
    <row r="35" spans="2:5" ht="15.75">
      <c r="B35" s="534" t="str">
        <f>CONCATENATE(C83,"     ",D83)</f>
        <v>     </v>
      </c>
      <c r="C35" s="328"/>
      <c r="D35" s="249" t="s">
        <v>177</v>
      </c>
      <c r="E35" s="123">
        <f>IF(E34-E22&gt;0,E34-E22,0)</f>
        <v>575672</v>
      </c>
    </row>
    <row r="36" spans="2:5" ht="15.75">
      <c r="B36" s="249"/>
      <c r="C36" s="532" t="s">
        <v>686</v>
      </c>
      <c r="D36" s="505">
        <f>inputOth!$E$24</f>
        <v>0.065</v>
      </c>
      <c r="E36" s="273">
        <f>ROUND(IF(D36&gt;0,($E$35*D36),0),0)</f>
        <v>37419</v>
      </c>
    </row>
    <row r="37" spans="2:5" ht="15.75">
      <c r="B37" s="90"/>
      <c r="C37" s="781" t="str">
        <f>CONCATENATE("Amount of  ",$E$1-1," Ad Valorem Tax")</f>
        <v>Amount of  2011 Ad Valorem Tax</v>
      </c>
      <c r="D37" s="782"/>
      <c r="E37" s="355">
        <f>E35+E36</f>
        <v>613091</v>
      </c>
    </row>
    <row r="38" spans="2:5" ht="15.75">
      <c r="B38" s="90"/>
      <c r="C38" s="334"/>
      <c r="D38" s="334"/>
      <c r="E38" s="334"/>
    </row>
    <row r="39" spans="2:5" ht="15.75">
      <c r="B39" s="89" t="s">
        <v>162</v>
      </c>
      <c r="C39" s="478" t="str">
        <f aca="true" t="shared" si="0" ref="C39:E40">C5</f>
        <v>Prior Year Actual</v>
      </c>
      <c r="D39" s="477" t="str">
        <f t="shared" si="0"/>
        <v>Current Year Estimate</v>
      </c>
      <c r="E39" s="479" t="str">
        <f t="shared" si="0"/>
        <v>Proposed Budget Year</v>
      </c>
    </row>
    <row r="40" spans="2:5" ht="15.75">
      <c r="B40" s="511" t="str">
        <f>inputPrYr!B42</f>
        <v>Co. The Bluffs TIF District (36)</v>
      </c>
      <c r="C40" s="459">
        <f t="shared" si="0"/>
        <v>2010</v>
      </c>
      <c r="D40" s="459">
        <f t="shared" si="0"/>
        <v>2011</v>
      </c>
      <c r="E40" s="310">
        <f t="shared" si="0"/>
        <v>2012</v>
      </c>
    </row>
    <row r="41" spans="2:5" ht="15.75">
      <c r="B41" s="151" t="s">
        <v>281</v>
      </c>
      <c r="C41" s="456">
        <v>5332</v>
      </c>
      <c r="D41" s="460">
        <f>C65</f>
        <v>18798</v>
      </c>
      <c r="E41" s="273">
        <f>D65</f>
        <v>13466</v>
      </c>
    </row>
    <row r="42" spans="2:5" ht="15.75">
      <c r="B42" s="311" t="s">
        <v>283</v>
      </c>
      <c r="C42" s="313"/>
      <c r="D42" s="313"/>
      <c r="E42" s="130"/>
    </row>
    <row r="43" spans="2:5" ht="15.75">
      <c r="B43" s="151" t="s">
        <v>163</v>
      </c>
      <c r="C43" s="456">
        <v>122394</v>
      </c>
      <c r="D43" s="456">
        <v>118237</v>
      </c>
      <c r="E43" s="344" t="s">
        <v>149</v>
      </c>
    </row>
    <row r="44" spans="2:5" ht="15.75">
      <c r="B44" s="151" t="s">
        <v>164</v>
      </c>
      <c r="C44" s="456">
        <v>977</v>
      </c>
      <c r="D44" s="456"/>
      <c r="E44" s="116"/>
    </row>
    <row r="45" spans="2:5" ht="15.75">
      <c r="B45" s="151" t="s">
        <v>165</v>
      </c>
      <c r="C45" s="456">
        <v>7311</v>
      </c>
      <c r="D45" s="456">
        <v>14048</v>
      </c>
      <c r="E45" s="273">
        <f>mvalloc!D34</f>
        <v>13247</v>
      </c>
    </row>
    <row r="46" spans="2:5" ht="15.75">
      <c r="B46" s="151" t="s">
        <v>166</v>
      </c>
      <c r="C46" s="456">
        <v>85</v>
      </c>
      <c r="D46" s="456">
        <v>158</v>
      </c>
      <c r="E46" s="273">
        <f>mvalloc!E34</f>
        <v>154</v>
      </c>
    </row>
    <row r="47" spans="2:5" ht="15.75">
      <c r="B47" s="313" t="s">
        <v>232</v>
      </c>
      <c r="C47" s="456"/>
      <c r="D47" s="456">
        <v>225</v>
      </c>
      <c r="E47" s="273">
        <f>mvalloc!F34</f>
        <v>217</v>
      </c>
    </row>
    <row r="48" spans="2:5" ht="15.75">
      <c r="B48" s="313" t="s">
        <v>333</v>
      </c>
      <c r="C48" s="456"/>
      <c r="D48" s="456"/>
      <c r="E48" s="273">
        <f>mvalloc!G34</f>
        <v>0</v>
      </c>
    </row>
    <row r="49" spans="2:5" ht="15.75">
      <c r="B49" s="325" t="s">
        <v>976</v>
      </c>
      <c r="C49" s="456">
        <v>33</v>
      </c>
      <c r="D49" s="456"/>
      <c r="E49" s="116"/>
    </row>
    <row r="50" spans="2:5" ht="15.75">
      <c r="B50" s="700"/>
      <c r="C50" s="456"/>
      <c r="D50" s="456"/>
      <c r="E50" s="116"/>
    </row>
    <row r="51" spans="2:5" ht="15.75">
      <c r="B51" s="700"/>
      <c r="C51" s="456"/>
      <c r="D51" s="456"/>
      <c r="E51" s="116"/>
    </row>
    <row r="52" spans="2:5" ht="15.75">
      <c r="B52" s="316" t="s">
        <v>170</v>
      </c>
      <c r="C52" s="456"/>
      <c r="D52" s="456"/>
      <c r="E52" s="116"/>
    </row>
    <row r="53" spans="2:5" ht="15.75">
      <c r="B53" s="317" t="s">
        <v>76</v>
      </c>
      <c r="C53" s="456"/>
      <c r="D53" s="456"/>
      <c r="E53" s="116"/>
    </row>
    <row r="54" spans="2:5" ht="15.75">
      <c r="B54" s="317" t="s">
        <v>682</v>
      </c>
      <c r="C54" s="457">
        <f>IF(C55*0.1&lt;C53,"Exceed 10% Rule","")</f>
      </c>
      <c r="D54" s="457">
        <f>IF(D55*0.1&lt;D53,"Exceed 10% Rule","")</f>
      </c>
      <c r="E54" s="351">
        <f>IF(E55*0.1+E71&lt;E53,"Exceed 10% Rule","")</f>
      </c>
    </row>
    <row r="55" spans="2:5" ht="15.75">
      <c r="B55" s="319" t="s">
        <v>171</v>
      </c>
      <c r="C55" s="458">
        <f>SUM(C43:C53)</f>
        <v>130800</v>
      </c>
      <c r="D55" s="458">
        <f>SUM(D43:D53)</f>
        <v>132668</v>
      </c>
      <c r="E55" s="358">
        <f>SUM(E43:E53)</f>
        <v>13618</v>
      </c>
    </row>
    <row r="56" spans="2:5" ht="15.75">
      <c r="B56" s="319" t="s">
        <v>172</v>
      </c>
      <c r="C56" s="458">
        <f>C41+C55</f>
        <v>136132</v>
      </c>
      <c r="D56" s="458">
        <f>D41+D55</f>
        <v>151466</v>
      </c>
      <c r="E56" s="358">
        <f>E41+E55</f>
        <v>27084</v>
      </c>
    </row>
    <row r="57" spans="2:5" ht="15.75">
      <c r="B57" s="151" t="s">
        <v>175</v>
      </c>
      <c r="C57" s="317"/>
      <c r="D57" s="317"/>
      <c r="E57" s="112"/>
    </row>
    <row r="58" spans="2:5" ht="15.75">
      <c r="B58" s="703" t="s">
        <v>1014</v>
      </c>
      <c r="C58" s="456">
        <v>117334</v>
      </c>
      <c r="D58" s="456">
        <v>138000</v>
      </c>
      <c r="E58" s="116"/>
    </row>
    <row r="59" spans="2:5" ht="15.75">
      <c r="B59" s="701" t="s">
        <v>952</v>
      </c>
      <c r="C59" s="456"/>
      <c r="D59" s="456"/>
      <c r="E59" s="116">
        <v>27084</v>
      </c>
    </row>
    <row r="60" spans="2:5" ht="15.75">
      <c r="B60" s="325"/>
      <c r="C60" s="456"/>
      <c r="D60" s="456"/>
      <c r="E60" s="116"/>
    </row>
    <row r="61" spans="2:5" ht="15.75">
      <c r="B61" s="317" t="s">
        <v>78</v>
      </c>
      <c r="C61" s="456"/>
      <c r="D61" s="456"/>
      <c r="E61" s="123">
        <f>Nhood!E30</f>
      </c>
    </row>
    <row r="62" spans="2:5" ht="15.75">
      <c r="B62" s="317" t="s">
        <v>76</v>
      </c>
      <c r="C62" s="456"/>
      <c r="D62" s="456"/>
      <c r="E62" s="116"/>
    </row>
    <row r="63" spans="2:5" ht="15.75">
      <c r="B63" s="317" t="s">
        <v>681</v>
      </c>
      <c r="C63" s="457">
        <f>IF(C64*0.1&lt;C62,"Exceed 10% Rule","")</f>
      </c>
      <c r="D63" s="457">
        <f>IF(D64*0.1&lt;D62,"Exceed 10% Rule","")</f>
      </c>
      <c r="E63" s="351">
        <f>IF(E64*0.1&lt;E62,"Exceed 10% Rule","")</f>
      </c>
    </row>
    <row r="64" spans="2:5" ht="15.75">
      <c r="B64" s="319" t="s">
        <v>176</v>
      </c>
      <c r="C64" s="458">
        <f>SUM(C58:C62)</f>
        <v>117334</v>
      </c>
      <c r="D64" s="458">
        <f>SUM(D58:D62)</f>
        <v>138000</v>
      </c>
      <c r="E64" s="358">
        <f>SUM(E58:E62)</f>
        <v>27084</v>
      </c>
    </row>
    <row r="65" spans="2:5" ht="15.75">
      <c r="B65" s="151" t="s">
        <v>282</v>
      </c>
      <c r="C65" s="461">
        <f>C56-C64</f>
        <v>18798</v>
      </c>
      <c r="D65" s="461">
        <f>D56-D64</f>
        <v>13466</v>
      </c>
      <c r="E65" s="344" t="s">
        <v>149</v>
      </c>
    </row>
    <row r="66" spans="2:6" ht="15.75">
      <c r="B66" s="295" t="str">
        <f>CONCATENATE("",E$1-2,"/",E$1-1," Budget Authority Amount:")</f>
        <v>2010/2011 Budget Authority Amount:</v>
      </c>
      <c r="C66" s="287">
        <f>inputOth!B57</f>
        <v>135000</v>
      </c>
      <c r="D66" s="287">
        <f>inputPrYr!D42</f>
        <v>138000</v>
      </c>
      <c r="E66" s="344" t="s">
        <v>149</v>
      </c>
      <c r="F66" s="327"/>
    </row>
    <row r="67" spans="2:6" ht="15.75">
      <c r="B67" s="295"/>
      <c r="C67" s="772" t="s">
        <v>684</v>
      </c>
      <c r="D67" s="773"/>
      <c r="E67" s="116"/>
      <c r="F67" s="327">
        <f>IF(E64/0.95-E64&lt;E67,"Exceeds 5%","")</f>
      </c>
    </row>
    <row r="68" spans="2:5" ht="15.75">
      <c r="B68" s="533" t="str">
        <f>CONCATENATE(C84,"     ",D84)</f>
        <v>     </v>
      </c>
      <c r="C68" s="774" t="s">
        <v>685</v>
      </c>
      <c r="D68" s="775"/>
      <c r="E68" s="273">
        <f>E64+E67</f>
        <v>27084</v>
      </c>
    </row>
    <row r="69" spans="2:5" ht="15.75">
      <c r="B69" s="533" t="str">
        <f>CONCATENATE(C85,"     ",D85)</f>
        <v>     </v>
      </c>
      <c r="C69" s="328"/>
      <c r="D69" s="249" t="s">
        <v>177</v>
      </c>
      <c r="E69" s="123">
        <f>IF(E68-E56&gt;0,E68-E56,0)</f>
        <v>0</v>
      </c>
    </row>
    <row r="70" spans="2:5" ht="15.75">
      <c r="B70" s="249"/>
      <c r="C70" s="532" t="s">
        <v>686</v>
      </c>
      <c r="D70" s="505">
        <f>inputOth!$E$24</f>
        <v>0.065</v>
      </c>
      <c r="E70" s="273">
        <f>ROUND(IF(D70&gt;0,($E$69*D70),0),0)</f>
        <v>0</v>
      </c>
    </row>
    <row r="71" spans="2:5" ht="15.75">
      <c r="B71" s="90"/>
      <c r="C71" s="781" t="str">
        <f>CONCATENATE("Amount of  ",$E$1-1," Ad Valorem Tax")</f>
        <v>Amount of  2011 Ad Valorem Tax</v>
      </c>
      <c r="D71" s="782"/>
      <c r="E71" s="355">
        <f>E69+E70</f>
        <v>0</v>
      </c>
    </row>
    <row r="72" spans="2:5" ht="15.75">
      <c r="B72" s="295" t="s">
        <v>190</v>
      </c>
      <c r="C72" s="356">
        <v>21</v>
      </c>
      <c r="D72" s="90"/>
      <c r="E72" s="90"/>
    </row>
    <row r="82" spans="3:4" ht="15.75" hidden="1">
      <c r="C82" s="77">
        <f>IF(C30&gt;C32,"See Tab A","")</f>
      </c>
      <c r="D82" s="77">
        <f>IF(D30&gt;D32,"See Tab C","")</f>
      </c>
    </row>
    <row r="83" spans="3:4" ht="15.75" hidden="1">
      <c r="C83" s="77">
        <f>IF(C31&lt;0,"See Tab B","")</f>
      </c>
      <c r="D83" s="77">
        <f>IF(D31&lt;0,"See Tab D","")</f>
      </c>
    </row>
    <row r="84" spans="3:4" ht="15.75" hidden="1">
      <c r="C84" s="77">
        <f>IF(C64&gt;C66,"See Tab A","")</f>
      </c>
      <c r="D84" s="77">
        <f>IF(D64&gt;D66,"See Tab C","")</f>
      </c>
    </row>
    <row r="85" spans="3:4" ht="15.75" hidden="1">
      <c r="C85" s="77">
        <f>IF(C65&lt;0,"See Tab B","")</f>
      </c>
      <c r="D85" s="77">
        <f>IF(D65&lt;0,"See Tab D","")</f>
      </c>
    </row>
  </sheetData>
  <sheetProtection/>
  <mergeCells count="6">
    <mergeCell ref="C33:D33"/>
    <mergeCell ref="C34:D34"/>
    <mergeCell ref="C37:D37"/>
    <mergeCell ref="C67:D67"/>
    <mergeCell ref="C68:D68"/>
    <mergeCell ref="C71:D71"/>
  </mergeCells>
  <conditionalFormatting sqref="E62">
    <cfRule type="cellIs" priority="20" dxfId="426" operator="greaterThan" stopIfTrue="1">
      <formula>$E$64*0.1</formula>
    </cfRule>
  </conditionalFormatting>
  <conditionalFormatting sqref="E67">
    <cfRule type="cellIs" priority="19" dxfId="426" operator="greaterThan" stopIfTrue="1">
      <formula>$E$64/0.95-$E$64</formula>
    </cfRule>
  </conditionalFormatting>
  <conditionalFormatting sqref="E33">
    <cfRule type="cellIs" priority="18" dxfId="426" operator="greaterThan" stopIfTrue="1">
      <formula>$E$30/0.95-$E$30</formula>
    </cfRule>
  </conditionalFormatting>
  <conditionalFormatting sqref="E28">
    <cfRule type="cellIs" priority="17" dxfId="426" operator="greaterThan" stopIfTrue="1">
      <formula>$E$30*0.1</formula>
    </cfRule>
  </conditionalFormatting>
  <conditionalFormatting sqref="C65 C31">
    <cfRule type="cellIs" priority="16" dxfId="2" operator="lessThan" stopIfTrue="1">
      <formula>0</formula>
    </cfRule>
  </conditionalFormatting>
  <conditionalFormatting sqref="C64">
    <cfRule type="cellIs" priority="15" dxfId="2" operator="greaterThan" stopIfTrue="1">
      <formula>$C$66</formula>
    </cfRule>
  </conditionalFormatting>
  <conditionalFormatting sqref="D64">
    <cfRule type="cellIs" priority="14" dxfId="2" operator="greaterThan" stopIfTrue="1">
      <formula>$D$66</formula>
    </cfRule>
  </conditionalFormatting>
  <conditionalFormatting sqref="C62">
    <cfRule type="cellIs" priority="13" dxfId="2" operator="greaterThan" stopIfTrue="1">
      <formula>$C$64*0.1</formula>
    </cfRule>
  </conditionalFormatting>
  <conditionalFormatting sqref="D62">
    <cfRule type="cellIs" priority="12" dxfId="2" operator="greaterThan" stopIfTrue="1">
      <formula>$D$64*0.1</formula>
    </cfRule>
  </conditionalFormatting>
  <conditionalFormatting sqref="E53">
    <cfRule type="cellIs" priority="11" dxfId="426" operator="greaterThan" stopIfTrue="1">
      <formula>$E$55*0.1+E71</formula>
    </cfRule>
  </conditionalFormatting>
  <conditionalFormatting sqref="C53">
    <cfRule type="cellIs" priority="10" dxfId="2" operator="greaterThan" stopIfTrue="1">
      <formula>$C$55*0.1</formula>
    </cfRule>
  </conditionalFormatting>
  <conditionalFormatting sqref="D53">
    <cfRule type="cellIs" priority="9" dxfId="2" operator="greaterThan" stopIfTrue="1">
      <formula>$D$55*0.1</formula>
    </cfRule>
  </conditionalFormatting>
  <conditionalFormatting sqref="C30">
    <cfRule type="cellIs" priority="8" dxfId="2" operator="greaterThan" stopIfTrue="1">
      <formula>$C$32</formula>
    </cfRule>
  </conditionalFormatting>
  <conditionalFormatting sqref="D30">
    <cfRule type="cellIs" priority="7" dxfId="2" operator="greaterThan" stopIfTrue="1">
      <formula>$D$32</formula>
    </cfRule>
  </conditionalFormatting>
  <conditionalFormatting sqref="C28">
    <cfRule type="cellIs" priority="6" dxfId="2" operator="greaterThan" stopIfTrue="1">
      <formula>$C$30*0.1</formula>
    </cfRule>
  </conditionalFormatting>
  <conditionalFormatting sqref="D28">
    <cfRule type="cellIs" priority="5" dxfId="2" operator="greaterThan" stopIfTrue="1">
      <formula>$D$30*0.1</formula>
    </cfRule>
  </conditionalFormatting>
  <conditionalFormatting sqref="E19">
    <cfRule type="cellIs" priority="4" dxfId="426" operator="greaterThan" stopIfTrue="1">
      <formula>$E$21*0.1+E37</formula>
    </cfRule>
  </conditionalFormatting>
  <conditionalFormatting sqref="C19">
    <cfRule type="cellIs" priority="3" dxfId="2" operator="greaterThan" stopIfTrue="1">
      <formula>$C$21*0.1</formula>
    </cfRule>
  </conditionalFormatting>
  <conditionalFormatting sqref="D19">
    <cfRule type="cellIs" priority="2" dxfId="2" operator="greaterThan" stopIfTrue="1">
      <formula>$D$21*0.1</formula>
    </cfRule>
  </conditionalFormatting>
  <conditionalFormatting sqref="D65 D31">
    <cfRule type="cellIs" priority="1" dxfId="0" operator="lessThan" stopIfTrue="1">
      <formula>0</formula>
    </cfRule>
  </conditionalFormatting>
  <printOptions/>
  <pageMargins left="1.12" right="0.5" top="0.74" bottom="0.34" header="0.5" footer="0"/>
  <pageSetup blackAndWhite="1" fitToHeight="1" fitToWidth="1" horizontalDpi="300" verticalDpi="300" orientation="portrait" scale="63" r:id="rId1"/>
  <headerFooter alignWithMargins="0">
    <oddHeader>&amp;RState of Kansas
County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3"/>
  <sheetViews>
    <sheetView zoomScale="85" zoomScaleNormal="85" zoomScalePageLayoutView="0" workbookViewId="0" topLeftCell="A1">
      <selection activeCell="H67" sqref="H67"/>
    </sheetView>
  </sheetViews>
  <sheetFormatPr defaultColWidth="8.796875" defaultRowHeight="15"/>
  <cols>
    <col min="1" max="1" width="2.3984375" style="77" customWidth="1"/>
    <col min="2" max="2" width="31.09765625" style="77" customWidth="1"/>
    <col min="3" max="4" width="15.796875" style="77" customWidth="1"/>
    <col min="5" max="5" width="16.09765625" style="77" customWidth="1"/>
    <col min="6" max="16384" width="8.8984375" style="77" customWidth="1"/>
  </cols>
  <sheetData>
    <row r="1" spans="2:5" ht="15.75">
      <c r="B1" s="237" t="str">
        <f>(inputPrYr!C2)</f>
        <v>Geary County</v>
      </c>
      <c r="C1" s="90"/>
      <c r="D1" s="90"/>
      <c r="E1" s="294">
        <f>inputPrYr!C4</f>
        <v>2012</v>
      </c>
    </row>
    <row r="2" spans="2:5" ht="15.75">
      <c r="B2" s="90"/>
      <c r="C2" s="90"/>
      <c r="D2" s="90"/>
      <c r="E2" s="249"/>
    </row>
    <row r="3" spans="2:5" ht="15.75">
      <c r="B3" s="155" t="s">
        <v>240</v>
      </c>
      <c r="C3" s="340"/>
      <c r="D3" s="340"/>
      <c r="E3" s="341"/>
    </row>
    <row r="4" spans="2:5" ht="15.75">
      <c r="B4" s="90"/>
      <c r="C4" s="334"/>
      <c r="D4" s="334"/>
      <c r="E4" s="334"/>
    </row>
    <row r="5" spans="2:5" ht="15.75">
      <c r="B5" s="89" t="s">
        <v>162</v>
      </c>
      <c r="C5" s="577" t="str">
        <f>general!C4</f>
        <v>Prior Year Actual</v>
      </c>
      <c r="D5" s="479" t="str">
        <f>general!D4</f>
        <v>Current Year Estimate</v>
      </c>
      <c r="E5" s="479" t="str">
        <f>general!E4</f>
        <v>Proposed Budget Year</v>
      </c>
    </row>
    <row r="6" spans="2:5" ht="15.75">
      <c r="B6" s="512" t="str">
        <f>inputPrYr!B45</f>
        <v>Waste Disposal (21)</v>
      </c>
      <c r="C6" s="323">
        <f>general!C5</f>
        <v>2010</v>
      </c>
      <c r="D6" s="323">
        <f>general!D5</f>
        <v>2011</v>
      </c>
      <c r="E6" s="310">
        <f>general!E5</f>
        <v>2012</v>
      </c>
    </row>
    <row r="7" spans="2:5" ht="15.75">
      <c r="B7" s="151" t="s">
        <v>281</v>
      </c>
      <c r="C7" s="116">
        <v>60320</v>
      </c>
      <c r="D7" s="273">
        <f>C30</f>
        <v>59534</v>
      </c>
      <c r="E7" s="273">
        <f>D30</f>
        <v>67905</v>
      </c>
    </row>
    <row r="8" spans="2:5" ht="15.75">
      <c r="B8" s="343" t="s">
        <v>283</v>
      </c>
      <c r="C8" s="112"/>
      <c r="D8" s="112"/>
      <c r="E8" s="112"/>
    </row>
    <row r="9" spans="2:5" ht="15.75">
      <c r="B9" s="704" t="s">
        <v>1015</v>
      </c>
      <c r="C9" s="116">
        <v>1630006</v>
      </c>
      <c r="D9" s="116">
        <v>1682371</v>
      </c>
      <c r="E9" s="116">
        <v>1700000</v>
      </c>
    </row>
    <row r="10" spans="2:5" ht="15.75">
      <c r="B10" s="704" t="s">
        <v>1016</v>
      </c>
      <c r="C10" s="116">
        <v>1010</v>
      </c>
      <c r="D10" s="116">
        <v>1000</v>
      </c>
      <c r="E10" s="116">
        <v>1000</v>
      </c>
    </row>
    <row r="11" spans="2:5" ht="15.75">
      <c r="B11" s="704" t="s">
        <v>1017</v>
      </c>
      <c r="C11" s="116"/>
      <c r="D11" s="116"/>
      <c r="E11" s="116"/>
    </row>
    <row r="12" spans="2:5" ht="15.75">
      <c r="B12" s="316" t="s">
        <v>170</v>
      </c>
      <c r="C12" s="116">
        <v>1332</v>
      </c>
      <c r="D12" s="116">
        <v>2000</v>
      </c>
      <c r="E12" s="116">
        <v>500</v>
      </c>
    </row>
    <row r="13" spans="2:5" ht="15.75">
      <c r="B13" s="317" t="s">
        <v>76</v>
      </c>
      <c r="C13" s="116"/>
      <c r="D13" s="116"/>
      <c r="E13" s="312"/>
    </row>
    <row r="14" spans="2:5" ht="15.75">
      <c r="B14" s="317" t="s">
        <v>682</v>
      </c>
      <c r="C14" s="509">
        <f>IF(C15*0.1&lt;C13,"Exceed 10% Rule","")</f>
      </c>
      <c r="D14" s="318">
        <f>IF(D15*0.1&lt;D13,"Exceed 10% Rule","")</f>
      </c>
      <c r="E14" s="318">
        <f>IF(E15*0.1&lt;E13,"Exceed 10% Rule","")</f>
      </c>
    </row>
    <row r="15" spans="2:5" ht="15.75">
      <c r="B15" s="319" t="s">
        <v>171</v>
      </c>
      <c r="C15" s="358">
        <f>SUM(C9:C13)</f>
        <v>1632348</v>
      </c>
      <c r="D15" s="358">
        <f>SUM(D9:D13)</f>
        <v>1685371</v>
      </c>
      <c r="E15" s="358">
        <f>SUM(E9:E13)</f>
        <v>1701500</v>
      </c>
    </row>
    <row r="16" spans="2:5" ht="15.75">
      <c r="B16" s="319" t="s">
        <v>172</v>
      </c>
      <c r="C16" s="358">
        <f>C15+C7</f>
        <v>1692668</v>
      </c>
      <c r="D16" s="358">
        <f>D15+D7</f>
        <v>1744905</v>
      </c>
      <c r="E16" s="358">
        <f>E15+E7</f>
        <v>1769405</v>
      </c>
    </row>
    <row r="17" spans="2:5" ht="15.75">
      <c r="B17" s="151" t="s">
        <v>175</v>
      </c>
      <c r="C17" s="273"/>
      <c r="D17" s="273"/>
      <c r="E17" s="273"/>
    </row>
    <row r="18" spans="2:5" ht="15.75">
      <c r="B18" s="705" t="s">
        <v>959</v>
      </c>
      <c r="C18" s="116"/>
      <c r="D18" s="314">
        <v>25000</v>
      </c>
      <c r="E18" s="116">
        <v>25500</v>
      </c>
    </row>
    <row r="19" spans="2:5" ht="15.75">
      <c r="B19" s="705" t="s">
        <v>977</v>
      </c>
      <c r="C19" s="116">
        <v>1615142</v>
      </c>
      <c r="D19" s="314">
        <v>1600000</v>
      </c>
      <c r="E19" s="116">
        <v>1638945</v>
      </c>
    </row>
    <row r="20" spans="2:5" ht="15.75">
      <c r="B20" s="705" t="s">
        <v>978</v>
      </c>
      <c r="C20" s="116">
        <v>8715</v>
      </c>
      <c r="D20" s="314">
        <v>26710</v>
      </c>
      <c r="E20" s="116">
        <v>10000</v>
      </c>
    </row>
    <row r="21" spans="2:5" ht="15.75">
      <c r="B21" s="705" t="s">
        <v>972</v>
      </c>
      <c r="C21" s="116"/>
      <c r="D21" s="116"/>
      <c r="E21" s="116"/>
    </row>
    <row r="22" spans="2:5" ht="15.75">
      <c r="B22" s="705" t="s">
        <v>1018</v>
      </c>
      <c r="C22" s="116"/>
      <c r="D22" s="116"/>
      <c r="E22" s="116"/>
    </row>
    <row r="23" spans="2:5" ht="15.75">
      <c r="B23" s="705" t="s">
        <v>1019</v>
      </c>
      <c r="C23" s="116"/>
      <c r="D23" s="116"/>
      <c r="E23" s="116"/>
    </row>
    <row r="24" spans="2:5" ht="15.75">
      <c r="B24" s="705" t="s">
        <v>1020</v>
      </c>
      <c r="C24" s="116">
        <v>2673</v>
      </c>
      <c r="D24" s="314">
        <v>20000</v>
      </c>
      <c r="E24" s="116">
        <v>20000</v>
      </c>
    </row>
    <row r="25" spans="2:5" ht="15.75">
      <c r="B25" s="705" t="s">
        <v>1021</v>
      </c>
      <c r="C25" s="116">
        <v>6604</v>
      </c>
      <c r="D25" s="314">
        <v>5290</v>
      </c>
      <c r="E25" s="116">
        <v>5460</v>
      </c>
    </row>
    <row r="26" spans="2:5" ht="15.75">
      <c r="B26" s="325"/>
      <c r="C26" s="116"/>
      <c r="D26" s="116"/>
      <c r="E26" s="116"/>
    </row>
    <row r="27" spans="2:5" ht="15.75">
      <c r="B27" s="317" t="s">
        <v>76</v>
      </c>
      <c r="C27" s="116"/>
      <c r="D27" s="312"/>
      <c r="E27" s="312"/>
    </row>
    <row r="28" spans="2:5" ht="15.75">
      <c r="B28" s="317" t="s">
        <v>681</v>
      </c>
      <c r="C28" s="509">
        <f>IF(C29*0.1&lt;C27,"Exceed 10% Rule","")</f>
      </c>
      <c r="D28" s="318">
        <f>IF(D29*0.1&lt;D27,"Exceed 10% Rule","")</f>
      </c>
      <c r="E28" s="318">
        <f>IF(E29*0.1&lt;E27,"Exceed 10% Rule","")</f>
      </c>
    </row>
    <row r="29" spans="2:5" ht="15.75">
      <c r="B29" s="319" t="s">
        <v>176</v>
      </c>
      <c r="C29" s="358">
        <f>SUM(C18:C27)</f>
        <v>1633134</v>
      </c>
      <c r="D29" s="358">
        <f>SUM(D18:D27)</f>
        <v>1677000</v>
      </c>
      <c r="E29" s="358">
        <f>SUM(E18:E27)</f>
        <v>1699905</v>
      </c>
    </row>
    <row r="30" spans="2:5" ht="15.75">
      <c r="B30" s="151" t="s">
        <v>282</v>
      </c>
      <c r="C30" s="123">
        <f>C16-C29</f>
        <v>59534</v>
      </c>
      <c r="D30" s="123">
        <f>D16-D29</f>
        <v>67905</v>
      </c>
      <c r="E30" s="123">
        <f>E16-E29</f>
        <v>69500</v>
      </c>
    </row>
    <row r="31" spans="2:5" ht="15.75">
      <c r="B31" s="295" t="str">
        <f>CONCATENATE("",E$1-2,"/",E$1-1," Budget Authority Amount:")</f>
        <v>2010/2011 Budget Authority Amount:</v>
      </c>
      <c r="C31" s="287">
        <f>inputOth!B58</f>
        <v>1665625</v>
      </c>
      <c r="D31" s="287">
        <f>inputPrYr!D45</f>
        <v>1677000</v>
      </c>
      <c r="E31" s="508">
        <f>IF(E30&lt;0,"See Tab E","")</f>
      </c>
    </row>
    <row r="32" spans="2:5" ht="15.75">
      <c r="B32" s="295"/>
      <c r="C32" s="328">
        <f>IF(C29&gt;C31,"See Tab A","")</f>
      </c>
      <c r="D32" s="328">
        <f>IF(D29&gt;D31,"See Tab C","")</f>
      </c>
      <c r="E32" s="148"/>
    </row>
    <row r="33" spans="2:5" ht="15.75">
      <c r="B33" s="295"/>
      <c r="C33" s="328">
        <f>IF(C30&lt;0,"See Tab B","")</f>
      </c>
      <c r="D33" s="328">
        <f>IF(D30&lt;0,"See Tab D","")</f>
      </c>
      <c r="E33" s="148"/>
    </row>
    <row r="34" spans="2:5" ht="15.75">
      <c r="B34" s="90"/>
      <c r="C34" s="148"/>
      <c r="D34" s="148"/>
      <c r="E34" s="148"/>
    </row>
    <row r="35" spans="2:5" ht="15.75">
      <c r="B35" s="89" t="s">
        <v>162</v>
      </c>
      <c r="C35" s="334"/>
      <c r="D35" s="334"/>
      <c r="E35" s="334"/>
    </row>
    <row r="36" spans="2:5" ht="15.75">
      <c r="B36" s="90"/>
      <c r="C36" s="577" t="str">
        <f aca="true" t="shared" si="0" ref="C36:E37">C5</f>
        <v>Prior Year Actual</v>
      </c>
      <c r="D36" s="479" t="str">
        <f t="shared" si="0"/>
        <v>Current Year Estimate</v>
      </c>
      <c r="E36" s="479" t="str">
        <f t="shared" si="0"/>
        <v>Proposed Budget Year</v>
      </c>
    </row>
    <row r="37" spans="2:5" ht="15.75">
      <c r="B37" s="511" t="str">
        <f>inputPrYr!B46</f>
        <v>Alcohol Program (16)</v>
      </c>
      <c r="C37" s="323">
        <f t="shared" si="0"/>
        <v>2010</v>
      </c>
      <c r="D37" s="323">
        <f t="shared" si="0"/>
        <v>2011</v>
      </c>
      <c r="E37" s="310">
        <f t="shared" si="0"/>
        <v>2012</v>
      </c>
    </row>
    <row r="38" spans="2:5" ht="15.75">
      <c r="B38" s="151" t="s">
        <v>281</v>
      </c>
      <c r="C38" s="116">
        <v>101727</v>
      </c>
      <c r="D38" s="273">
        <f>C58</f>
        <v>111566</v>
      </c>
      <c r="E38" s="273">
        <f>D58</f>
        <v>118296</v>
      </c>
    </row>
    <row r="39" spans="2:5" ht="15.75">
      <c r="B39" s="151" t="s">
        <v>283</v>
      </c>
      <c r="C39" s="112"/>
      <c r="D39" s="112"/>
      <c r="E39" s="112"/>
    </row>
    <row r="40" spans="2:5" ht="15.75">
      <c r="B40" s="706" t="s">
        <v>1022</v>
      </c>
      <c r="C40" s="116">
        <v>11361</v>
      </c>
      <c r="D40" s="116">
        <v>11196</v>
      </c>
      <c r="E40" s="116">
        <v>11929</v>
      </c>
    </row>
    <row r="41" spans="2:5" ht="15.75">
      <c r="B41" s="325"/>
      <c r="C41" s="116"/>
      <c r="D41" s="116"/>
      <c r="E41" s="116"/>
    </row>
    <row r="42" spans="2:5" ht="15.75">
      <c r="B42" s="325"/>
      <c r="C42" s="116"/>
      <c r="D42" s="116"/>
      <c r="E42" s="116"/>
    </row>
    <row r="43" spans="2:5" ht="15.75">
      <c r="B43" s="316" t="s">
        <v>170</v>
      </c>
      <c r="C43" s="116"/>
      <c r="D43" s="116"/>
      <c r="E43" s="116"/>
    </row>
    <row r="44" spans="2:5" ht="15.75">
      <c r="B44" s="317" t="s">
        <v>76</v>
      </c>
      <c r="C44" s="116"/>
      <c r="D44" s="312"/>
      <c r="E44" s="312"/>
    </row>
    <row r="45" spans="2:5" ht="15.75">
      <c r="B45" s="317" t="s">
        <v>682</v>
      </c>
      <c r="C45" s="509">
        <f>IF(C46*0.1&lt;C44,"Exceed 10% Rule","")</f>
      </c>
      <c r="D45" s="318">
        <f>IF(D46*0.1&lt;D44,"Exceed 10% Rule","")</f>
      </c>
      <c r="E45" s="318">
        <f>IF(E46*0.1&lt;E44,"Exceed 10% Rule","")</f>
      </c>
    </row>
    <row r="46" spans="2:5" ht="15.75">
      <c r="B46" s="319" t="s">
        <v>171</v>
      </c>
      <c r="C46" s="358">
        <f>SUM(C40:C44)</f>
        <v>11361</v>
      </c>
      <c r="D46" s="358">
        <f>SUM(D40:D44)</f>
        <v>11196</v>
      </c>
      <c r="E46" s="358">
        <f>SUM(E40:E44)</f>
        <v>11929</v>
      </c>
    </row>
    <row r="47" spans="2:5" ht="15.75">
      <c r="B47" s="319" t="s">
        <v>172</v>
      </c>
      <c r="C47" s="358">
        <f>C38+C46</f>
        <v>113088</v>
      </c>
      <c r="D47" s="358">
        <f>D38+D46</f>
        <v>122762</v>
      </c>
      <c r="E47" s="358">
        <f>E38+E46</f>
        <v>130225</v>
      </c>
    </row>
    <row r="48" spans="2:5" ht="15.75">
      <c r="B48" s="151" t="s">
        <v>175</v>
      </c>
      <c r="C48" s="273"/>
      <c r="D48" s="273"/>
      <c r="E48" s="273"/>
    </row>
    <row r="49" spans="2:5" ht="15.75">
      <c r="B49" s="707" t="s">
        <v>1023</v>
      </c>
      <c r="C49" s="116">
        <v>761</v>
      </c>
      <c r="D49" s="314">
        <v>733</v>
      </c>
      <c r="E49" s="116">
        <v>795</v>
      </c>
    </row>
    <row r="50" spans="2:5" ht="15.75">
      <c r="B50" s="707" t="s">
        <v>1024</v>
      </c>
      <c r="C50" s="116">
        <v>761</v>
      </c>
      <c r="D50" s="314">
        <v>733</v>
      </c>
      <c r="E50" s="116">
        <v>795</v>
      </c>
    </row>
    <row r="51" spans="2:5" ht="15.75">
      <c r="B51" s="707" t="s">
        <v>1025</v>
      </c>
      <c r="C51" s="116"/>
      <c r="D51" s="314">
        <v>0</v>
      </c>
      <c r="E51" s="116">
        <v>126635</v>
      </c>
    </row>
    <row r="52" spans="2:5" ht="15.75">
      <c r="B52" s="707" t="s">
        <v>1026</v>
      </c>
      <c r="C52" s="116"/>
      <c r="D52" s="314">
        <v>3000</v>
      </c>
      <c r="E52" s="116">
        <v>2000</v>
      </c>
    </row>
    <row r="53" spans="2:5" ht="15.75">
      <c r="B53" s="325"/>
      <c r="C53" s="116"/>
      <c r="D53" s="116"/>
      <c r="E53" s="116"/>
    </row>
    <row r="54" spans="2:5" ht="15.75">
      <c r="B54" s="325"/>
      <c r="C54" s="116"/>
      <c r="D54" s="116"/>
      <c r="E54" s="116"/>
    </row>
    <row r="55" spans="2:5" ht="15.75">
      <c r="B55" s="317" t="s">
        <v>76</v>
      </c>
      <c r="C55" s="116"/>
      <c r="D55" s="312"/>
      <c r="E55" s="312"/>
    </row>
    <row r="56" spans="2:5" ht="15.75">
      <c r="B56" s="317" t="s">
        <v>681</v>
      </c>
      <c r="C56" s="509">
        <f>IF(C57*0.1&lt;C55,"Exceed 10% Rule","")</f>
      </c>
      <c r="D56" s="318">
        <f>IF(D57*0.1&lt;D55,"Exceed 10% Rule","")</f>
      </c>
      <c r="E56" s="318">
        <f>IF(E57*0.1&lt;E55,"Exceed 10% Rule","")</f>
      </c>
    </row>
    <row r="57" spans="2:5" ht="15.75">
      <c r="B57" s="319" t="s">
        <v>176</v>
      </c>
      <c r="C57" s="358">
        <f>SUM(C49:C55)</f>
        <v>1522</v>
      </c>
      <c r="D57" s="358">
        <f>SUM(D49:D55)</f>
        <v>4466</v>
      </c>
      <c r="E57" s="358">
        <f>SUM(E49:E55)</f>
        <v>130225</v>
      </c>
    </row>
    <row r="58" spans="2:5" ht="15.75">
      <c r="B58" s="151" t="s">
        <v>282</v>
      </c>
      <c r="C58" s="123">
        <f>C47-C57</f>
        <v>111566</v>
      </c>
      <c r="D58" s="123">
        <f>D47-D57</f>
        <v>118296</v>
      </c>
      <c r="E58" s="123">
        <f>E47-E57</f>
        <v>0</v>
      </c>
    </row>
    <row r="59" spans="2:5" ht="15.75">
      <c r="B59" s="295" t="str">
        <f>CONCATENATE("",E$1-2,"/",E$1-1," Budget Authority Amount:")</f>
        <v>2010/2011 Budget Authority Amount:</v>
      </c>
      <c r="C59" s="287">
        <f>inputOth!B59</f>
        <v>110574</v>
      </c>
      <c r="D59" s="287">
        <f>inputPrYr!D46</f>
        <v>119226</v>
      </c>
      <c r="E59" s="507">
        <f>IF(E58&lt;0,"See Tab E","")</f>
      </c>
    </row>
    <row r="60" spans="2:5" ht="15.75">
      <c r="B60" s="295"/>
      <c r="C60" s="328">
        <f>IF(C57&gt;C59,"See Tab A","")</f>
      </c>
      <c r="D60" s="328">
        <f>IF(D57&gt;D59,"See Tab C","")</f>
      </c>
      <c r="E60" s="90"/>
    </row>
    <row r="61" spans="2:5" ht="15.75">
      <c r="B61" s="295"/>
      <c r="C61" s="328">
        <f>IF(C58&lt;0,"See Tab B","")</f>
      </c>
      <c r="D61" s="328">
        <f>IF(D58&lt;0,"See Tab D","")</f>
      </c>
      <c r="E61" s="90"/>
    </row>
    <row r="62" spans="2:5" ht="15.75">
      <c r="B62" s="90"/>
      <c r="C62" s="90"/>
      <c r="D62" s="90"/>
      <c r="E62" s="90"/>
    </row>
    <row r="63" spans="2:5" ht="15.75">
      <c r="B63" s="295" t="s">
        <v>190</v>
      </c>
      <c r="C63" s="356">
        <v>22</v>
      </c>
      <c r="D63" s="90"/>
      <c r="E63" s="90"/>
    </row>
  </sheetData>
  <sheetProtection sheet="1"/>
  <conditionalFormatting sqref="C27">
    <cfRule type="cellIs" priority="7" dxfId="426" operator="greaterThan" stopIfTrue="1">
      <formula>$C$29*0.1</formula>
    </cfRule>
  </conditionalFormatting>
  <conditionalFormatting sqref="D27">
    <cfRule type="cellIs" priority="8" dxfId="426" operator="greaterThan" stopIfTrue="1">
      <formula>$D$29*0.1</formula>
    </cfRule>
  </conditionalFormatting>
  <conditionalFormatting sqref="E27">
    <cfRule type="cellIs" priority="9" dxfId="426" operator="greaterThan" stopIfTrue="1">
      <formula>$E$29*0.1</formula>
    </cfRule>
  </conditionalFormatting>
  <conditionalFormatting sqref="C13">
    <cfRule type="cellIs" priority="10" dxfId="426" operator="greaterThan" stopIfTrue="1">
      <formula>$C$15*0.1</formula>
    </cfRule>
  </conditionalFormatting>
  <conditionalFormatting sqref="E13">
    <cfRule type="cellIs" priority="12" dxfId="426" operator="greaterThan" stopIfTrue="1">
      <formula>$E$15*0.1</formula>
    </cfRule>
  </conditionalFormatting>
  <conditionalFormatting sqref="C44">
    <cfRule type="cellIs" priority="13" dxfId="426" operator="greaterThan" stopIfTrue="1">
      <formula>$C$46*0.1</formula>
    </cfRule>
  </conditionalFormatting>
  <conditionalFormatting sqref="D44">
    <cfRule type="cellIs" priority="14" dxfId="426" operator="greaterThan" stopIfTrue="1">
      <formula>$D$46*0.1</formula>
    </cfRule>
  </conditionalFormatting>
  <conditionalFormatting sqref="E44">
    <cfRule type="cellIs" priority="15" dxfId="426" operator="greaterThan" stopIfTrue="1">
      <formula>$E$46*0.1</formula>
    </cfRule>
  </conditionalFormatting>
  <conditionalFormatting sqref="C55">
    <cfRule type="cellIs" priority="16" dxfId="426" operator="greaterThan" stopIfTrue="1">
      <formula>$C$57*0.1</formula>
    </cfRule>
  </conditionalFormatting>
  <conditionalFormatting sqref="D55">
    <cfRule type="cellIs" priority="17" dxfId="426" operator="greaterThan" stopIfTrue="1">
      <formula>$D$57*0.1</formula>
    </cfRule>
  </conditionalFormatting>
  <conditionalFormatting sqref="E55">
    <cfRule type="cellIs" priority="18" dxfId="426" operator="greaterThan" stopIfTrue="1">
      <formula>$E$57*0.1</formula>
    </cfRule>
  </conditionalFormatting>
  <conditionalFormatting sqref="E58 C58 E30">
    <cfRule type="cellIs" priority="19" dxfId="2" operator="lessThan" stopIfTrue="1">
      <formula>0</formula>
    </cfRule>
  </conditionalFormatting>
  <conditionalFormatting sqref="D57">
    <cfRule type="cellIs" priority="20" dxfId="2" operator="greaterThan" stopIfTrue="1">
      <formula>$D$59</formula>
    </cfRule>
  </conditionalFormatting>
  <conditionalFormatting sqref="C57">
    <cfRule type="cellIs" priority="21" dxfId="2" operator="greaterThan" stopIfTrue="1">
      <formula>$C$59</formula>
    </cfRule>
  </conditionalFormatting>
  <conditionalFormatting sqref="C29">
    <cfRule type="cellIs" priority="6" dxfId="0" operator="greaterThan" stopIfTrue="1">
      <formula>$C$31</formula>
    </cfRule>
  </conditionalFormatting>
  <conditionalFormatting sqref="D29">
    <cfRule type="cellIs" priority="5" dxfId="0" operator="greaterThan" stopIfTrue="1">
      <formula>$D$31</formula>
    </cfRule>
  </conditionalFormatting>
  <conditionalFormatting sqref="C30">
    <cfRule type="cellIs" priority="4" dxfId="0" operator="lessThan" stopIfTrue="1">
      <formula>0</formula>
    </cfRule>
  </conditionalFormatting>
  <conditionalFormatting sqref="D30">
    <cfRule type="cellIs" priority="2" dxfId="0" operator="lessThan" stopIfTrue="1">
      <formula>0</formula>
    </cfRule>
    <cfRule type="cellIs" priority="3" dxfId="0" operator="lessThan" stopIfTrue="1">
      <formula>0</formula>
    </cfRule>
  </conditionalFormatting>
  <conditionalFormatting sqref="D58">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3" r:id="rId1"/>
  <headerFooter alignWithMargins="0">
    <oddHeader>&amp;RState of Kansas
County
</oddHeader>
  </headerFooter>
</worksheet>
</file>

<file path=xl/worksheets/sheet3.xml><?xml version="1.0" encoding="utf-8"?>
<worksheet xmlns="http://schemas.openxmlformats.org/spreadsheetml/2006/main" xmlns:r="http://schemas.openxmlformats.org/officeDocument/2006/relationships">
  <dimension ref="A1:E73"/>
  <sheetViews>
    <sheetView zoomScalePageLayoutView="0" workbookViewId="0" topLeftCell="A1">
      <selection activeCell="H67" sqref="H67"/>
    </sheetView>
  </sheetViews>
  <sheetFormatPr defaultColWidth="8.796875" defaultRowHeight="15"/>
  <cols>
    <col min="1" max="1" width="23.296875" style="77" customWidth="1"/>
    <col min="2" max="2" width="20.796875" style="77" customWidth="1"/>
    <col min="3" max="3" width="9.796875" style="77" customWidth="1"/>
    <col min="4" max="4" width="15.296875" style="77" customWidth="1"/>
    <col min="5" max="5" width="15.796875" style="77" customWidth="1"/>
    <col min="6" max="16384" width="8.8984375" style="77" customWidth="1"/>
  </cols>
  <sheetData>
    <row r="1" spans="1:5" ht="15.75">
      <c r="A1" s="147" t="str">
        <f>inputPrYr!C2</f>
        <v>Geary County</v>
      </c>
      <c r="B1" s="128"/>
      <c r="C1" s="128"/>
      <c r="D1" s="128"/>
      <c r="E1" s="128">
        <f>inputPrYr!C4</f>
        <v>2012</v>
      </c>
    </row>
    <row r="2" spans="1:5" ht="15.75">
      <c r="A2" s="147"/>
      <c r="B2" s="128"/>
      <c r="C2" s="128"/>
      <c r="D2" s="128"/>
      <c r="E2" s="128"/>
    </row>
    <row r="3" spans="1:5" ht="15.75">
      <c r="A3" s="730" t="s">
        <v>57</v>
      </c>
      <c r="B3" s="731"/>
      <c r="C3" s="731"/>
      <c r="D3" s="731"/>
      <c r="E3" s="731"/>
    </row>
    <row r="4" spans="1:5" ht="15.75">
      <c r="A4" s="128"/>
      <c r="B4" s="128"/>
      <c r="C4" s="128"/>
      <c r="D4" s="128"/>
      <c r="E4" s="128"/>
    </row>
    <row r="5" spans="1:5" ht="15.75">
      <c r="A5" s="127" t="str">
        <f>CONCATENATE("From the County Clerks ",E1," Budget Information:")</f>
        <v>From the County Clerks 2012 Budget Information:</v>
      </c>
      <c r="B5" s="129"/>
      <c r="C5" s="100"/>
      <c r="D5" s="90"/>
      <c r="E5" s="148"/>
    </row>
    <row r="6" spans="1:5" ht="15.75">
      <c r="A6" s="149" t="str">
        <f>CONCATENATE("Total Assessed Valuation for ",E1-1,"")</f>
        <v>Total Assessed Valuation for 2011</v>
      </c>
      <c r="B6" s="135"/>
      <c r="C6" s="135"/>
      <c r="D6" s="135"/>
      <c r="E6" s="116">
        <v>220187728</v>
      </c>
    </row>
    <row r="7" spans="1:5" ht="15.75">
      <c r="A7" s="149" t="str">
        <f>CONCATENATE("New Improvements for ",E1-1,"")</f>
        <v>New Improvements for 2011</v>
      </c>
      <c r="B7" s="135"/>
      <c r="C7" s="135"/>
      <c r="D7" s="135"/>
      <c r="E7" s="150">
        <v>5616118</v>
      </c>
    </row>
    <row r="8" spans="1:5" ht="15.75">
      <c r="A8" s="149" t="str">
        <f>CONCATENATE("Personal Property excluding oil, gas, and mobile homes- ",E1-1,"")</f>
        <v>Personal Property excluding oil, gas, and mobile homes- 2011</v>
      </c>
      <c r="B8" s="135"/>
      <c r="C8" s="135"/>
      <c r="D8" s="135"/>
      <c r="E8" s="150">
        <v>5745299</v>
      </c>
    </row>
    <row r="9" spans="1:5" ht="15.75">
      <c r="A9" s="149" t="str">
        <f>CONCATENATE("Property that has changed in use for ",E1-1,"")</f>
        <v>Property that has changed in use for 2011</v>
      </c>
      <c r="B9" s="135"/>
      <c r="C9" s="135"/>
      <c r="D9" s="135"/>
      <c r="E9" s="150">
        <v>755611</v>
      </c>
    </row>
    <row r="10" spans="1:5" ht="15.75">
      <c r="A10" s="149" t="str">
        <f>CONCATENATE("Personal Property excluding oil, gas, and mobile homes- ",E1-2,"")</f>
        <v>Personal Property excluding oil, gas, and mobile homes- 2010</v>
      </c>
      <c r="B10" s="135"/>
      <c r="C10" s="135"/>
      <c r="D10" s="135"/>
      <c r="E10" s="150">
        <v>6048992</v>
      </c>
    </row>
    <row r="11" spans="1:5" ht="15.75">
      <c r="A11" s="149" t="str">
        <f>CONCATENATE("Gross earnings (intangible) tax esitmate for ",E1,"")</f>
        <v>Gross earnings (intangible) tax esitmate for 2012</v>
      </c>
      <c r="B11" s="135"/>
      <c r="C11" s="135"/>
      <c r="D11" s="135"/>
      <c r="E11" s="116"/>
    </row>
    <row r="12" spans="1:5" ht="15.75">
      <c r="A12" s="151" t="s">
        <v>330</v>
      </c>
      <c r="B12" s="135"/>
      <c r="C12" s="135"/>
      <c r="D12" s="119"/>
      <c r="E12" s="116"/>
    </row>
    <row r="13" spans="1:5" ht="15.75">
      <c r="A13" s="90"/>
      <c r="B13" s="90"/>
      <c r="C13" s="90"/>
      <c r="D13" s="106"/>
      <c r="E13" s="106"/>
    </row>
    <row r="14" spans="1:5" ht="15.75">
      <c r="A14" s="127" t="str">
        <f>CONCATENATE("From the County Treasurer's ",E1," Budget Information:")</f>
        <v>From the County Treasurer's 2012 Budget Information:</v>
      </c>
      <c r="B14" s="129"/>
      <c r="C14" s="129"/>
      <c r="D14" s="148"/>
      <c r="E14" s="148"/>
    </row>
    <row r="15" spans="1:5" ht="15.75">
      <c r="A15" s="117" t="s">
        <v>134</v>
      </c>
      <c r="B15" s="118"/>
      <c r="C15" s="118"/>
      <c r="D15" s="152"/>
      <c r="E15" s="116">
        <v>1212964</v>
      </c>
    </row>
    <row r="16" spans="1:5" ht="15.75">
      <c r="A16" s="149" t="s">
        <v>135</v>
      </c>
      <c r="B16" s="135"/>
      <c r="C16" s="135"/>
      <c r="D16" s="153"/>
      <c r="E16" s="116">
        <v>14090</v>
      </c>
    </row>
    <row r="17" spans="1:5" ht="15.75">
      <c r="A17" s="149" t="s">
        <v>244</v>
      </c>
      <c r="B17" s="135"/>
      <c r="C17" s="135"/>
      <c r="D17" s="153"/>
      <c r="E17" s="116">
        <v>19862</v>
      </c>
    </row>
    <row r="18" spans="1:5" ht="15.75">
      <c r="A18" s="149" t="s">
        <v>331</v>
      </c>
      <c r="B18" s="135"/>
      <c r="C18" s="135"/>
      <c r="D18" s="154"/>
      <c r="E18" s="116"/>
    </row>
    <row r="19" spans="1:5" ht="15.75">
      <c r="A19" s="149" t="s">
        <v>332</v>
      </c>
      <c r="B19" s="135"/>
      <c r="C19" s="135"/>
      <c r="D19" s="154"/>
      <c r="E19" s="116"/>
    </row>
    <row r="20" spans="1:5" ht="15.75">
      <c r="A20" s="151" t="s">
        <v>333</v>
      </c>
      <c r="B20" s="135"/>
      <c r="C20" s="135"/>
      <c r="D20" s="153"/>
      <c r="E20" s="116">
        <v>0</v>
      </c>
    </row>
    <row r="21" spans="1:5" ht="15.75">
      <c r="A21" s="90"/>
      <c r="B21" s="90"/>
      <c r="C21" s="90"/>
      <c r="D21" s="90"/>
      <c r="E21" s="90"/>
    </row>
    <row r="22" spans="1:5" ht="15.75">
      <c r="A22" s="155" t="s">
        <v>334</v>
      </c>
      <c r="B22" s="90"/>
      <c r="C22" s="90"/>
      <c r="D22" s="90"/>
      <c r="E22" s="90"/>
    </row>
    <row r="23" spans="1:5" ht="15.75">
      <c r="A23" s="156" t="str">
        <f>CONCATENATE("Actual Delinquency for ",E1-3," Tax - (round to three decimal places)")</f>
        <v>Actual Delinquency for 2009 Tax - (round to three decimal places)</v>
      </c>
      <c r="B23" s="118"/>
      <c r="C23" s="118"/>
      <c r="D23" s="122"/>
      <c r="E23" s="469">
        <v>0.04</v>
      </c>
    </row>
    <row r="24" spans="1:5" ht="15.75">
      <c r="A24" s="118" t="s">
        <v>335</v>
      </c>
      <c r="B24" s="118"/>
      <c r="C24" s="118"/>
      <c r="D24" s="118"/>
      <c r="E24" s="470">
        <v>0.065</v>
      </c>
    </row>
    <row r="25" spans="1:5" ht="15.75">
      <c r="A25" s="87" t="s">
        <v>336</v>
      </c>
      <c r="B25" s="87"/>
      <c r="C25" s="87"/>
      <c r="D25" s="87"/>
      <c r="E25" s="87"/>
    </row>
    <row r="26" spans="1:5" ht="15.75">
      <c r="A26" s="157"/>
      <c r="B26" s="157"/>
      <c r="C26" s="157"/>
      <c r="D26" s="157"/>
      <c r="E26" s="157"/>
    </row>
    <row r="27" spans="1:5" ht="15.75">
      <c r="A27" s="734" t="str">
        <f>CONCATENATE("From the ",E1-2," Budget Certificate Page")</f>
        <v>From the 2010 Budget Certificate Page</v>
      </c>
      <c r="B27" s="735"/>
      <c r="C27" s="157"/>
      <c r="D27" s="157"/>
      <c r="E27" s="157"/>
    </row>
    <row r="28" spans="1:5" ht="15.75">
      <c r="A28" s="158"/>
      <c r="B28" s="736" t="str">
        <f>CONCATENATE("",E1-2,"                         Expenditure Amt Budget Authority")</f>
        <v>2010                         Expenditure Amt Budget Authority</v>
      </c>
      <c r="C28" s="739" t="str">
        <f>CONCATENATE("Note: If the ",E1-2," budget was amended, then the")</f>
        <v>Note: If the 2010 budget was amended, then the</v>
      </c>
      <c r="D28" s="740"/>
      <c r="E28" s="740"/>
    </row>
    <row r="29" spans="1:5" ht="15.75">
      <c r="A29" s="159" t="s">
        <v>71</v>
      </c>
      <c r="B29" s="737"/>
      <c r="C29" s="160" t="s">
        <v>72</v>
      </c>
      <c r="D29" s="161"/>
      <c r="E29" s="161"/>
    </row>
    <row r="30" spans="1:5" ht="15.75">
      <c r="A30" s="162"/>
      <c r="B30" s="738"/>
      <c r="C30" s="160" t="s">
        <v>73</v>
      </c>
      <c r="D30" s="161"/>
      <c r="E30" s="161"/>
    </row>
    <row r="31" spans="1:5" ht="15.75">
      <c r="A31" s="163" t="str">
        <f>inputPrYr!B16</f>
        <v>General</v>
      </c>
      <c r="B31" s="164">
        <v>10052705</v>
      </c>
      <c r="C31" s="160"/>
      <c r="D31" s="161"/>
      <c r="E31" s="161"/>
    </row>
    <row r="32" spans="1:5" ht="15.75">
      <c r="A32" s="163" t="str">
        <f>inputPrYr!B17</f>
        <v>Debt Service (14)</v>
      </c>
      <c r="B32" s="110">
        <v>104636</v>
      </c>
      <c r="C32" s="160"/>
      <c r="D32" s="161"/>
      <c r="E32" s="161"/>
    </row>
    <row r="33" spans="1:5" ht="15.75">
      <c r="A33" s="163" t="str">
        <f>inputPrYr!B18</f>
        <v>Road &amp; Bridge</v>
      </c>
      <c r="B33" s="110">
        <v>3006078</v>
      </c>
      <c r="C33" s="157"/>
      <c r="D33" s="157"/>
      <c r="E33" s="157"/>
    </row>
    <row r="34" spans="1:5" ht="15.75">
      <c r="A34" s="163" t="str">
        <f>inputPrYr!B19</f>
        <v>Noxious Weed (5)</v>
      </c>
      <c r="B34" s="110">
        <v>220885</v>
      </c>
      <c r="C34" s="157"/>
      <c r="D34" s="157"/>
      <c r="E34" s="157"/>
    </row>
    <row r="35" spans="1:5" ht="15.75">
      <c r="A35" s="163" t="str">
        <f>inputPrYr!B20</f>
        <v>Health Fund (6)</v>
      </c>
      <c r="B35" s="110">
        <v>329218</v>
      </c>
      <c r="C35" s="157"/>
      <c r="D35" s="157"/>
      <c r="E35" s="157"/>
    </row>
    <row r="36" spans="1:5" ht="15.75">
      <c r="A36" s="163" t="str">
        <f>inputPrYr!B21</f>
        <v>Special Bridge (4)</v>
      </c>
      <c r="B36" s="110">
        <v>398821</v>
      </c>
      <c r="C36" s="157"/>
      <c r="D36" s="157"/>
      <c r="E36" s="157"/>
    </row>
    <row r="37" spans="1:5" ht="15.75">
      <c r="A37" s="163" t="str">
        <f>inputPrYr!B22</f>
        <v>Extension Council (7)</v>
      </c>
      <c r="B37" s="110">
        <v>284086</v>
      </c>
      <c r="C37" s="157"/>
      <c r="D37" s="157"/>
      <c r="E37" s="157"/>
    </row>
    <row r="38" spans="1:5" ht="15.75">
      <c r="A38" s="163" t="str">
        <f>inputPrYr!B23</f>
        <v>Free Fair (60)</v>
      </c>
      <c r="B38" s="110">
        <v>16200</v>
      </c>
      <c r="C38" s="157"/>
      <c r="D38" s="157"/>
      <c r="E38" s="157"/>
    </row>
    <row r="39" spans="1:5" ht="15.75">
      <c r="A39" s="163" t="str">
        <f>inputPrYr!B24</f>
        <v>Animal Shelter (29)</v>
      </c>
      <c r="B39" s="110">
        <v>179058</v>
      </c>
      <c r="C39" s="157"/>
      <c r="D39" s="157"/>
      <c r="E39" s="157"/>
    </row>
    <row r="40" spans="1:5" ht="15.75">
      <c r="A40" s="163" t="str">
        <f>inputPrYr!B25</f>
        <v>Mental Health (10)</v>
      </c>
      <c r="B40" s="110">
        <v>126737</v>
      </c>
      <c r="C40" s="157"/>
      <c r="D40" s="157"/>
      <c r="E40" s="157"/>
    </row>
    <row r="41" spans="1:5" ht="15.75">
      <c r="A41" s="163" t="str">
        <f>inputPrYr!B26</f>
        <v>Election (11)</v>
      </c>
      <c r="B41" s="110">
        <v>222918</v>
      </c>
      <c r="C41" s="157"/>
      <c r="D41" s="157"/>
      <c r="E41" s="157"/>
    </row>
    <row r="42" spans="1:5" ht="15.75">
      <c r="A42" s="163" t="str">
        <f>inputPrYr!B27</f>
        <v>Special Assessments (20)</v>
      </c>
      <c r="B42" s="110">
        <v>2</v>
      </c>
      <c r="C42" s="157"/>
      <c r="D42" s="157"/>
      <c r="E42" s="157"/>
    </row>
    <row r="43" spans="1:5" ht="15.75">
      <c r="A43" s="163" t="str">
        <f>inputPrYr!B28</f>
        <v>Senior Citizens (22)</v>
      </c>
      <c r="B43" s="110">
        <v>103000</v>
      </c>
      <c r="C43" s="157"/>
      <c r="D43" s="157"/>
      <c r="E43" s="157"/>
    </row>
    <row r="44" spans="1:5" ht="15.75">
      <c r="A44" s="163" t="str">
        <f>inputPrYr!B29</f>
        <v>Community College (15)</v>
      </c>
      <c r="B44" s="110">
        <v>23038</v>
      </c>
      <c r="C44" s="157"/>
      <c r="D44" s="157"/>
      <c r="E44" s="157"/>
    </row>
    <row r="45" spans="1:5" ht="15.75">
      <c r="A45" s="163" t="str">
        <f>inputPrYr!B30</f>
        <v>Mental Retardation (19)</v>
      </c>
      <c r="B45" s="110">
        <v>81907</v>
      </c>
      <c r="C45" s="157"/>
      <c r="D45" s="157"/>
      <c r="E45" s="157"/>
    </row>
    <row r="46" spans="1:5" ht="15.75">
      <c r="A46" s="163" t="str">
        <f>inputPrYr!B31</f>
        <v>Economic Development (18)</v>
      </c>
      <c r="B46" s="110">
        <v>253900</v>
      </c>
      <c r="C46" s="157"/>
      <c r="D46" s="157"/>
      <c r="E46" s="157"/>
    </row>
    <row r="47" spans="1:5" ht="15.75">
      <c r="A47" s="163" t="str">
        <f>inputPrYr!B32</f>
        <v>Law Enforcement (17)</v>
      </c>
      <c r="B47" s="110">
        <v>441375</v>
      </c>
      <c r="C47" s="157"/>
      <c r="D47" s="157"/>
      <c r="E47" s="157"/>
    </row>
    <row r="48" spans="1:5" ht="15.75">
      <c r="A48" s="163" t="str">
        <f>inputPrYr!B33</f>
        <v>Appraisers Cost (2)</v>
      </c>
      <c r="B48" s="110">
        <v>359201</v>
      </c>
      <c r="C48" s="157"/>
      <c r="D48" s="157"/>
      <c r="E48" s="157"/>
    </row>
    <row r="49" spans="1:5" ht="15.75">
      <c r="A49" s="163" t="str">
        <f>inputPrYr!B34</f>
        <v>Employee Benefits (12)</v>
      </c>
      <c r="B49" s="110">
        <v>2938000</v>
      </c>
      <c r="C49" s="157"/>
      <c r="D49" s="157"/>
      <c r="E49" s="157"/>
    </row>
    <row r="50" spans="1:5" ht="15.75">
      <c r="A50" s="163" t="str">
        <f>inputPrYr!B35</f>
        <v>Historical (65)</v>
      </c>
      <c r="B50" s="110">
        <v>82155</v>
      </c>
      <c r="C50" s="157"/>
      <c r="D50" s="157"/>
      <c r="E50" s="157"/>
    </row>
    <row r="51" spans="1:5" ht="15.75">
      <c r="A51" s="163" t="str">
        <f>inputPrYr!B36</f>
        <v>Hospital (33)</v>
      </c>
      <c r="B51" s="110">
        <v>200000</v>
      </c>
      <c r="C51" s="157"/>
      <c r="D51" s="157"/>
      <c r="E51" s="157"/>
    </row>
    <row r="52" spans="1:5" ht="15.75">
      <c r="A52" s="163" t="str">
        <f>inputPrYr!B37</f>
        <v>Juvenile Detention (68)</v>
      </c>
      <c r="B52" s="110">
        <v>150000</v>
      </c>
      <c r="C52" s="157"/>
      <c r="D52" s="157"/>
      <c r="E52" s="157"/>
    </row>
    <row r="53" spans="1:5" ht="15.75">
      <c r="A53" s="163" t="str">
        <f>inputPrYr!B38</f>
        <v>PBC - Cloud Co CC (25)</v>
      </c>
      <c r="B53" s="110">
        <v>212979</v>
      </c>
      <c r="C53" s="157"/>
      <c r="D53" s="157"/>
      <c r="E53" s="157"/>
    </row>
    <row r="54" spans="1:5" ht="15.75">
      <c r="A54" s="163" t="str">
        <f>inputPrYr!B39</f>
        <v>Capital Improvements (44)</v>
      </c>
      <c r="B54" s="110">
        <v>331623</v>
      </c>
      <c r="C54" s="157"/>
      <c r="D54" s="157"/>
      <c r="E54" s="157"/>
    </row>
    <row r="55" spans="1:5" ht="15.75">
      <c r="A55" s="163" t="str">
        <f>inputPrYr!B40</f>
        <v>Geary Comm Hosp B&amp;I (27)</v>
      </c>
      <c r="B55" s="110">
        <v>2348750</v>
      </c>
      <c r="C55" s="157"/>
      <c r="D55" s="157"/>
      <c r="E55" s="157"/>
    </row>
    <row r="56" spans="1:5" ht="15.75">
      <c r="A56" s="163" t="str">
        <f>inputPrYr!B41</f>
        <v>Co. Neighborhood Revital (35)</v>
      </c>
      <c r="B56" s="110">
        <v>675000</v>
      </c>
      <c r="C56" s="157"/>
      <c r="D56" s="157"/>
      <c r="E56" s="157"/>
    </row>
    <row r="57" spans="1:5" ht="15.75">
      <c r="A57" s="163" t="str">
        <f>inputPrYr!B42</f>
        <v>Co. The Bluffs TIF District (36)</v>
      </c>
      <c r="B57" s="110">
        <v>135000</v>
      </c>
      <c r="C57" s="157"/>
      <c r="D57" s="157"/>
      <c r="E57" s="157"/>
    </row>
    <row r="58" spans="1:5" ht="15.75">
      <c r="A58" s="163" t="str">
        <f>inputPrYr!B45</f>
        <v>Waste Disposal (21)</v>
      </c>
      <c r="B58" s="110">
        <v>1665625</v>
      </c>
      <c r="C58" s="157"/>
      <c r="D58" s="157"/>
      <c r="E58" s="157"/>
    </row>
    <row r="59" spans="1:5" ht="15.75">
      <c r="A59" s="163" t="str">
        <f>inputPrYr!B46</f>
        <v>Alcohol Program (16)</v>
      </c>
      <c r="B59" s="110">
        <v>110574</v>
      </c>
      <c r="C59" s="157"/>
      <c r="D59" s="157"/>
      <c r="E59" s="157"/>
    </row>
    <row r="60" spans="1:5" ht="15.75">
      <c r="A60" s="163" t="str">
        <f>inputPrYr!B47</f>
        <v>Convention &amp; Tourism (32)</v>
      </c>
      <c r="B60" s="110">
        <v>607353</v>
      </c>
      <c r="C60" s="157"/>
      <c r="D60" s="157"/>
      <c r="E60" s="157"/>
    </row>
    <row r="61" spans="1:5" ht="15.75">
      <c r="A61" s="163" t="str">
        <f>inputPrYr!B48</f>
        <v>Parks &amp; Recreation (24)</v>
      </c>
      <c r="B61" s="110">
        <v>2787</v>
      </c>
      <c r="C61" s="157"/>
      <c r="D61" s="157"/>
      <c r="E61" s="157"/>
    </row>
    <row r="62" spans="1:5" ht="15.75">
      <c r="A62" s="163" t="str">
        <f>inputPrYr!B49</f>
        <v>911 System (56)</v>
      </c>
      <c r="B62" s="110">
        <v>185562</v>
      </c>
      <c r="C62" s="157"/>
      <c r="D62" s="157"/>
      <c r="E62" s="157"/>
    </row>
    <row r="63" spans="1:5" ht="15.75">
      <c r="A63" s="163" t="str">
        <f>inputPrYr!B50</f>
        <v>Court Trustee (57)</v>
      </c>
      <c r="B63" s="110">
        <v>1189923</v>
      </c>
      <c r="C63" s="157"/>
      <c r="D63" s="157"/>
      <c r="E63" s="157"/>
    </row>
    <row r="64" spans="1:5" ht="15.75">
      <c r="A64" s="163" t="str">
        <f>inputPrYr!B51</f>
        <v>Hospital Improv-Old (13)</v>
      </c>
      <c r="B64" s="110">
        <v>10000</v>
      </c>
      <c r="C64" s="157"/>
      <c r="D64" s="157"/>
      <c r="E64" s="157"/>
    </row>
    <row r="65" spans="1:5" ht="15.75">
      <c r="A65" s="163" t="str">
        <f>inputPrYr!B52</f>
        <v>PBC - Pennell/Court (485)</v>
      </c>
      <c r="B65" s="110">
        <v>438400</v>
      </c>
      <c r="C65" s="157"/>
      <c r="D65" s="157"/>
      <c r="E65" s="157"/>
    </row>
    <row r="66" spans="1:5" ht="15.75">
      <c r="A66" s="163" t="str">
        <f>inputPrYr!B53</f>
        <v>Riley/Geary Mtg Bds (493)</v>
      </c>
      <c r="B66" s="110">
        <v>17000</v>
      </c>
      <c r="C66" s="157"/>
      <c r="D66" s="157"/>
      <c r="E66" s="157"/>
    </row>
    <row r="67" spans="1:5" ht="15.75">
      <c r="A67" s="163" t="str">
        <f>inputPrYr!B54</f>
        <v>E911 Cell Phone (49)</v>
      </c>
      <c r="B67" s="110">
        <v>281753</v>
      </c>
      <c r="C67" s="157"/>
      <c r="D67" s="157"/>
      <c r="E67" s="157"/>
    </row>
    <row r="68" spans="1:5" ht="15.75">
      <c r="A68" s="163" t="str">
        <f>inputPrYr!B55</f>
        <v>Sol Waste Environ Haz (30)</v>
      </c>
      <c r="B68" s="110">
        <v>194721</v>
      </c>
      <c r="C68" s="157"/>
      <c r="D68" s="157"/>
      <c r="E68" s="157"/>
    </row>
    <row r="69" spans="1:5" ht="15.75">
      <c r="A69" s="163" t="str">
        <f>inputPrYr!B56</f>
        <v>Concealed Weapon/ KORA (48)</v>
      </c>
      <c r="B69" s="110">
        <v>29910</v>
      </c>
      <c r="C69" s="157"/>
      <c r="D69" s="157"/>
      <c r="E69" s="157"/>
    </row>
    <row r="70" spans="1:5" ht="15.75">
      <c r="A70" s="163">
        <f>inputPrYr!B57</f>
        <v>0</v>
      </c>
      <c r="B70" s="110"/>
      <c r="C70" s="157"/>
      <c r="D70" s="157"/>
      <c r="E70" s="157"/>
    </row>
    <row r="71" spans="1:5" ht="15.75">
      <c r="A71" s="163">
        <f>inputPrYr!B58</f>
        <v>0</v>
      </c>
      <c r="B71" s="110"/>
      <c r="C71" s="157"/>
      <c r="D71" s="157"/>
      <c r="E71" s="157"/>
    </row>
    <row r="72" spans="1:5" ht="15.75">
      <c r="A72" s="163">
        <f>inputPrYr!B59</f>
        <v>0</v>
      </c>
      <c r="B72" s="110"/>
      <c r="C72" s="157"/>
      <c r="D72" s="157"/>
      <c r="E72" s="157"/>
    </row>
    <row r="73" spans="1:5" ht="15.75">
      <c r="A73" s="163">
        <f>inputPrYr!B60</f>
        <v>0</v>
      </c>
      <c r="B73" s="110"/>
      <c r="C73" s="157"/>
      <c r="D73" s="157"/>
      <c r="E73" s="157"/>
    </row>
  </sheetData>
  <sheetProtection/>
  <mergeCells count="4">
    <mergeCell ref="A3:E3"/>
    <mergeCell ref="A27:B27"/>
    <mergeCell ref="B28:B30"/>
    <mergeCell ref="C28:E28"/>
  </mergeCells>
  <printOptions/>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sheetPr>
    <pageSetUpPr fitToPage="1"/>
  </sheetPr>
  <dimension ref="B1:E62"/>
  <sheetViews>
    <sheetView zoomScale="85" zoomScaleNormal="85" zoomScalePageLayoutView="0" workbookViewId="0" topLeftCell="A1">
      <selection activeCell="H67" sqref="H67"/>
    </sheetView>
  </sheetViews>
  <sheetFormatPr defaultColWidth="8.796875" defaultRowHeight="15"/>
  <cols>
    <col min="1" max="1" width="2.3984375" style="77" customWidth="1"/>
    <col min="2" max="2" width="31.09765625" style="77" customWidth="1"/>
    <col min="3" max="4" width="15.796875" style="77" customWidth="1"/>
    <col min="5" max="5" width="16.09765625" style="77" customWidth="1"/>
    <col min="6" max="16384" width="8.8984375" style="77" customWidth="1"/>
  </cols>
  <sheetData>
    <row r="1" spans="2:5" ht="15.75">
      <c r="B1" s="237" t="str">
        <f>(inputPrYr!C2)</f>
        <v>Geary County</v>
      </c>
      <c r="C1" s="90"/>
      <c r="D1" s="90"/>
      <c r="E1" s="294">
        <f>inputPrYr!C4</f>
        <v>2012</v>
      </c>
    </row>
    <row r="2" spans="2:5" ht="15.75">
      <c r="B2" s="90"/>
      <c r="C2" s="90"/>
      <c r="D2" s="90"/>
      <c r="E2" s="249"/>
    </row>
    <row r="3" spans="2:5" ht="15.75">
      <c r="B3" s="155" t="s">
        <v>240</v>
      </c>
      <c r="C3" s="340"/>
      <c r="D3" s="340"/>
      <c r="E3" s="341"/>
    </row>
    <row r="4" spans="2:5" ht="15.75">
      <c r="B4" s="90"/>
      <c r="C4" s="334"/>
      <c r="D4" s="334"/>
      <c r="E4" s="334"/>
    </row>
    <row r="5" spans="2:5" ht="15.75">
      <c r="B5" s="89" t="s">
        <v>162</v>
      </c>
      <c r="C5" s="577" t="str">
        <f>general!C4</f>
        <v>Prior Year Actual</v>
      </c>
      <c r="D5" s="479" t="str">
        <f>general!D4</f>
        <v>Current Year Estimate</v>
      </c>
      <c r="E5" s="479" t="str">
        <f>general!E4</f>
        <v>Proposed Budget Year</v>
      </c>
    </row>
    <row r="6" spans="2:5" ht="15.75">
      <c r="B6" s="512" t="str">
        <f>inputPrYr!B47</f>
        <v>Convention &amp; Tourism (32)</v>
      </c>
      <c r="C6" s="323">
        <f>general!C5</f>
        <v>2010</v>
      </c>
      <c r="D6" s="323">
        <f>general!D5</f>
        <v>2011</v>
      </c>
      <c r="E6" s="310">
        <f>general!E5</f>
        <v>2012</v>
      </c>
    </row>
    <row r="7" spans="2:5" ht="15.75">
      <c r="B7" s="151" t="s">
        <v>281</v>
      </c>
      <c r="C7" s="116">
        <v>382032</v>
      </c>
      <c r="D7" s="273">
        <f>C30</f>
        <v>453131</v>
      </c>
      <c r="E7" s="273">
        <f>D30</f>
        <v>363341</v>
      </c>
    </row>
    <row r="8" spans="2:5" ht="15.75">
      <c r="B8" s="343" t="s">
        <v>283</v>
      </c>
      <c r="C8" s="112"/>
      <c r="D8" s="112"/>
      <c r="E8" s="112"/>
    </row>
    <row r="9" spans="2:5" ht="15.75">
      <c r="B9" s="708" t="s">
        <v>1027</v>
      </c>
      <c r="C9" s="116">
        <v>630696</v>
      </c>
      <c r="D9" s="116">
        <v>600000</v>
      </c>
      <c r="E9" s="116">
        <v>649000</v>
      </c>
    </row>
    <row r="10" spans="2:5" ht="15.75">
      <c r="B10" s="325"/>
      <c r="C10" s="116"/>
      <c r="D10" s="116"/>
      <c r="E10" s="116"/>
    </row>
    <row r="11" spans="2:5" ht="15.75">
      <c r="B11" s="325"/>
      <c r="C11" s="116"/>
      <c r="D11" s="116"/>
      <c r="E11" s="116"/>
    </row>
    <row r="12" spans="2:5" ht="15.75">
      <c r="B12" s="316" t="s">
        <v>170</v>
      </c>
      <c r="C12" s="116"/>
      <c r="D12" s="116"/>
      <c r="E12" s="116"/>
    </row>
    <row r="13" spans="2:5" ht="15.75">
      <c r="B13" s="317" t="s">
        <v>76</v>
      </c>
      <c r="C13" s="116"/>
      <c r="D13" s="312">
        <v>2000</v>
      </c>
      <c r="E13" s="312">
        <v>2000</v>
      </c>
    </row>
    <row r="14" spans="2:5" ht="15.75">
      <c r="B14" s="317" t="s">
        <v>682</v>
      </c>
      <c r="C14" s="509">
        <f>IF(C15*0.1&lt;C13,"Exceed 10% Rule","")</f>
      </c>
      <c r="D14" s="318">
        <f>IF(D15*0.1&lt;D13,"Exceed 10% Rule","")</f>
      </c>
      <c r="E14" s="318">
        <f>IF(E15*0.1&lt;E13,"Exceed 10% Rule","")</f>
      </c>
    </row>
    <row r="15" spans="2:5" ht="15.75">
      <c r="B15" s="319" t="s">
        <v>171</v>
      </c>
      <c r="C15" s="358">
        <f>SUM(C9:C13)</f>
        <v>630696</v>
      </c>
      <c r="D15" s="358">
        <f>SUM(D9:D13)</f>
        <v>602000</v>
      </c>
      <c r="E15" s="358">
        <f>SUM(E9:E13)</f>
        <v>651000</v>
      </c>
    </row>
    <row r="16" spans="2:5" ht="15.75">
      <c r="B16" s="319" t="s">
        <v>172</v>
      </c>
      <c r="C16" s="358">
        <f>C15+C7</f>
        <v>1012728</v>
      </c>
      <c r="D16" s="358">
        <f>D15+D7</f>
        <v>1055131</v>
      </c>
      <c r="E16" s="358">
        <f>E15+E7</f>
        <v>1014341</v>
      </c>
    </row>
    <row r="17" spans="2:5" ht="15.75">
      <c r="B17" s="151" t="s">
        <v>175</v>
      </c>
      <c r="C17" s="273"/>
      <c r="D17" s="273"/>
      <c r="E17" s="273"/>
    </row>
    <row r="18" spans="2:5" ht="15.75">
      <c r="B18" s="709" t="s">
        <v>959</v>
      </c>
      <c r="C18" s="116">
        <v>132827</v>
      </c>
      <c r="D18" s="116">
        <v>137032</v>
      </c>
      <c r="E18" s="116">
        <v>137681</v>
      </c>
    </row>
    <row r="19" spans="2:5" ht="15.75">
      <c r="B19" s="709" t="s">
        <v>978</v>
      </c>
      <c r="C19" s="116">
        <v>22617</v>
      </c>
      <c r="D19" s="116"/>
      <c r="E19" s="116"/>
    </row>
    <row r="20" spans="2:5" ht="15.75">
      <c r="B20" s="709" t="s">
        <v>977</v>
      </c>
      <c r="C20" s="116">
        <v>285573</v>
      </c>
      <c r="D20" s="116"/>
      <c r="E20" s="116"/>
    </row>
    <row r="21" spans="2:5" ht="15.75">
      <c r="B21" s="709" t="s">
        <v>972</v>
      </c>
      <c r="C21" s="116"/>
      <c r="D21" s="116"/>
      <c r="E21" s="116"/>
    </row>
    <row r="22" spans="2:5" ht="15.75">
      <c r="B22" s="709" t="s">
        <v>1028</v>
      </c>
      <c r="C22" s="116"/>
      <c r="D22" s="116">
        <v>337234</v>
      </c>
      <c r="E22" s="116">
        <v>563295</v>
      </c>
    </row>
    <row r="23" spans="2:5" ht="15.75">
      <c r="B23" s="709" t="s">
        <v>1029</v>
      </c>
      <c r="C23" s="116"/>
      <c r="D23" s="116">
        <v>85254</v>
      </c>
      <c r="E23" s="116">
        <v>88154</v>
      </c>
    </row>
    <row r="24" spans="2:5" ht="15.75">
      <c r="B24" s="709" t="s">
        <v>1030</v>
      </c>
      <c r="C24" s="116">
        <v>43480</v>
      </c>
      <c r="D24" s="116">
        <v>47270</v>
      </c>
      <c r="E24" s="116">
        <v>53503</v>
      </c>
    </row>
    <row r="25" spans="2:5" ht="15.75">
      <c r="B25" s="709" t="s">
        <v>989</v>
      </c>
      <c r="C25" s="116">
        <v>75100</v>
      </c>
      <c r="D25" s="116">
        <v>75000</v>
      </c>
      <c r="E25" s="116">
        <v>75000</v>
      </c>
    </row>
    <row r="26" spans="2:5" ht="15.75">
      <c r="B26" s="325"/>
      <c r="C26" s="116"/>
      <c r="D26" s="116"/>
      <c r="E26" s="116"/>
    </row>
    <row r="27" spans="2:5" ht="15.75">
      <c r="B27" s="317" t="s">
        <v>76</v>
      </c>
      <c r="C27" s="116"/>
      <c r="D27" s="312">
        <v>10000</v>
      </c>
      <c r="E27" s="312">
        <v>10000</v>
      </c>
    </row>
    <row r="28" spans="2:5" ht="15.75">
      <c r="B28" s="317" t="s">
        <v>681</v>
      </c>
      <c r="C28" s="509">
        <f>IF(C29*0.1&lt;C27,"Exceed 10% Rule","")</f>
      </c>
      <c r="D28" s="318">
        <f>IF(D29*0.1&lt;D27,"Exceed 10% Rule","")</f>
      </c>
      <c r="E28" s="318">
        <f>IF(E29*0.1&lt;E27,"Exceed 10% Rule","")</f>
      </c>
    </row>
    <row r="29" spans="2:5" ht="15.75">
      <c r="B29" s="319" t="s">
        <v>176</v>
      </c>
      <c r="C29" s="358">
        <f>SUM(C18:C27)</f>
        <v>559597</v>
      </c>
      <c r="D29" s="358">
        <f>SUM(D18:D27)</f>
        <v>691790</v>
      </c>
      <c r="E29" s="358">
        <f>SUM(E18:E27)</f>
        <v>927633</v>
      </c>
    </row>
    <row r="30" spans="2:5" ht="15.75">
      <c r="B30" s="151" t="s">
        <v>282</v>
      </c>
      <c r="C30" s="123">
        <f>C16-C29</f>
        <v>453131</v>
      </c>
      <c r="D30" s="123">
        <f>D16-D29</f>
        <v>363341</v>
      </c>
      <c r="E30" s="123">
        <f>E16-E29</f>
        <v>86708</v>
      </c>
    </row>
    <row r="31" spans="2:5" ht="15.75">
      <c r="B31" s="295" t="str">
        <f>CONCATENATE("",E$1-2,"/",E$1-1," Budget Authority Amount:")</f>
        <v>2010/2011 Budget Authority Amount:</v>
      </c>
      <c r="C31" s="287">
        <f>inputOth!B60</f>
        <v>607353</v>
      </c>
      <c r="D31" s="287">
        <f>inputPrYr!D47</f>
        <v>691790</v>
      </c>
      <c r="E31" s="508">
        <f>IF(E30&lt;0,"See Tab E","")</f>
      </c>
    </row>
    <row r="32" spans="2:5" ht="15.75">
      <c r="B32" s="295"/>
      <c r="C32" s="328">
        <f>IF(C29&gt;C31,"See Tab A","")</f>
      </c>
      <c r="D32" s="328">
        <f>IF(D29&gt;D31,"See Tab C","")</f>
      </c>
      <c r="E32" s="148"/>
    </row>
    <row r="33" spans="2:5" ht="15.75">
      <c r="B33" s="295"/>
      <c r="C33" s="328">
        <f>IF(C30&lt;0,"See Tab B","")</f>
      </c>
      <c r="D33" s="328">
        <f>IF(D30&lt;0,"See Tab D","")</f>
      </c>
      <c r="E33" s="148"/>
    </row>
    <row r="34" spans="2:5" ht="15.75">
      <c r="B34" s="90"/>
      <c r="C34" s="148"/>
      <c r="D34" s="148"/>
      <c r="E34" s="148"/>
    </row>
    <row r="35" spans="2:5" ht="15.75">
      <c r="B35" s="89" t="s">
        <v>162</v>
      </c>
      <c r="C35" s="334"/>
      <c r="D35" s="334"/>
      <c r="E35" s="334"/>
    </row>
    <row r="36" spans="2:5" ht="15.75">
      <c r="B36" s="90"/>
      <c r="C36" s="577" t="str">
        <f aca="true" t="shared" si="0" ref="C36:E37">C5</f>
        <v>Prior Year Actual</v>
      </c>
      <c r="D36" s="479" t="str">
        <f t="shared" si="0"/>
        <v>Current Year Estimate</v>
      </c>
      <c r="E36" s="479" t="str">
        <f t="shared" si="0"/>
        <v>Proposed Budget Year</v>
      </c>
    </row>
    <row r="37" spans="2:5" ht="15.75">
      <c r="B37" s="511" t="str">
        <f>inputPrYr!B48</f>
        <v>Parks &amp; Recreation (24)</v>
      </c>
      <c r="C37" s="323">
        <f t="shared" si="0"/>
        <v>2010</v>
      </c>
      <c r="D37" s="323">
        <f t="shared" si="0"/>
        <v>2011</v>
      </c>
      <c r="E37" s="323">
        <f t="shared" si="0"/>
        <v>2012</v>
      </c>
    </row>
    <row r="38" spans="2:5" ht="15.75">
      <c r="B38" s="151" t="s">
        <v>281</v>
      </c>
      <c r="C38" s="116">
        <v>2662</v>
      </c>
      <c r="D38" s="273">
        <f>C57</f>
        <v>3336</v>
      </c>
      <c r="E38" s="273">
        <f>D57</f>
        <v>4069</v>
      </c>
    </row>
    <row r="39" spans="2:5" ht="15.75">
      <c r="B39" s="151" t="s">
        <v>283</v>
      </c>
      <c r="C39" s="112"/>
      <c r="D39" s="112"/>
      <c r="E39" s="112"/>
    </row>
    <row r="40" spans="2:5" ht="15.75">
      <c r="B40" s="710" t="s">
        <v>1022</v>
      </c>
      <c r="C40" s="116">
        <v>761</v>
      </c>
      <c r="D40" s="116">
        <v>733</v>
      </c>
      <c r="E40" s="116">
        <v>795</v>
      </c>
    </row>
    <row r="41" spans="2:5" ht="15.75">
      <c r="B41" s="325"/>
      <c r="C41" s="116"/>
      <c r="D41" s="116"/>
      <c r="E41" s="116"/>
    </row>
    <row r="42" spans="2:5" ht="15.75">
      <c r="B42" s="325"/>
      <c r="C42" s="116"/>
      <c r="D42" s="116"/>
      <c r="E42" s="116"/>
    </row>
    <row r="43" spans="2:5" ht="15.75">
      <c r="B43" s="316" t="s">
        <v>170</v>
      </c>
      <c r="C43" s="116"/>
      <c r="D43" s="116"/>
      <c r="E43" s="116"/>
    </row>
    <row r="44" spans="2:5" ht="15.75">
      <c r="B44" s="317" t="s">
        <v>76</v>
      </c>
      <c r="C44" s="116"/>
      <c r="D44" s="312"/>
      <c r="E44" s="312"/>
    </row>
    <row r="45" spans="2:5" ht="15.75">
      <c r="B45" s="317" t="s">
        <v>682</v>
      </c>
      <c r="C45" s="509">
        <f>IF(C46*0.1&lt;C44,"Exceed 10% Rule","")</f>
      </c>
      <c r="D45" s="318">
        <f>IF(D46*0.1&lt;D44,"Exceed 10% Rule","")</f>
      </c>
      <c r="E45" s="318">
        <f>IF(E46*0.1&lt;E44,"Exceed 10% Rule","")</f>
      </c>
    </row>
    <row r="46" spans="2:5" ht="15.75">
      <c r="B46" s="319" t="s">
        <v>171</v>
      </c>
      <c r="C46" s="358">
        <f>SUM(C40:C44)</f>
        <v>761</v>
      </c>
      <c r="D46" s="358">
        <f>SUM(D40:D44)</f>
        <v>733</v>
      </c>
      <c r="E46" s="358">
        <f>SUM(E40:E44)</f>
        <v>795</v>
      </c>
    </row>
    <row r="47" spans="2:5" ht="15.75">
      <c r="B47" s="319" t="s">
        <v>172</v>
      </c>
      <c r="C47" s="358">
        <f>C38+C46</f>
        <v>3423</v>
      </c>
      <c r="D47" s="358">
        <f>D38+D46</f>
        <v>4069</v>
      </c>
      <c r="E47" s="358">
        <f>E38+E46</f>
        <v>4864</v>
      </c>
    </row>
    <row r="48" spans="2:5" ht="15.75">
      <c r="B48" s="151" t="s">
        <v>175</v>
      </c>
      <c r="C48" s="273"/>
      <c r="D48" s="273"/>
      <c r="E48" s="273"/>
    </row>
    <row r="49" spans="2:5" ht="15.75">
      <c r="B49" s="711" t="s">
        <v>977</v>
      </c>
      <c r="C49" s="116">
        <v>87</v>
      </c>
      <c r="D49" s="116">
        <v>0</v>
      </c>
      <c r="E49" s="116">
        <v>4864</v>
      </c>
    </row>
    <row r="50" spans="2:5" ht="15.75">
      <c r="B50" s="325"/>
      <c r="C50" s="116"/>
      <c r="D50" s="116"/>
      <c r="E50" s="116"/>
    </row>
    <row r="51" spans="2:5" ht="15.75">
      <c r="B51" s="325"/>
      <c r="C51" s="116"/>
      <c r="D51" s="116"/>
      <c r="E51" s="116"/>
    </row>
    <row r="52" spans="2:5" ht="15.75">
      <c r="B52" s="325"/>
      <c r="C52" s="116"/>
      <c r="D52" s="116"/>
      <c r="E52" s="116"/>
    </row>
    <row r="53" spans="2:5" ht="15.75">
      <c r="B53" s="325"/>
      <c r="C53" s="116"/>
      <c r="D53" s="116"/>
      <c r="E53" s="116"/>
    </row>
    <row r="54" spans="2:5" ht="15.75">
      <c r="B54" s="317" t="s">
        <v>76</v>
      </c>
      <c r="C54" s="116"/>
      <c r="D54" s="312"/>
      <c r="E54" s="312"/>
    </row>
    <row r="55" spans="2:5" ht="15.75">
      <c r="B55" s="317" t="s">
        <v>681</v>
      </c>
      <c r="C55" s="509">
        <f>IF(C56*0.1&lt;C54,"Exceed 10% Rule","")</f>
      </c>
      <c r="D55" s="318">
        <f>IF(D56*0.1&lt;D54,"Exceed 10% Rule","")</f>
      </c>
      <c r="E55" s="318">
        <f>IF(E56*0.1&lt;E54,"Exceed 10% Rule","")</f>
      </c>
    </row>
    <row r="56" spans="2:5" ht="15.75">
      <c r="B56" s="319" t="s">
        <v>176</v>
      </c>
      <c r="C56" s="358">
        <f>SUM(C49:C54)</f>
        <v>87</v>
      </c>
      <c r="D56" s="358">
        <f>SUM(D49:D54)</f>
        <v>0</v>
      </c>
      <c r="E56" s="358">
        <f>SUM(E49:E54)</f>
        <v>4864</v>
      </c>
    </row>
    <row r="57" spans="2:5" ht="15.75">
      <c r="B57" s="151" t="s">
        <v>282</v>
      </c>
      <c r="C57" s="123">
        <f>C47-C56</f>
        <v>3336</v>
      </c>
      <c r="D57" s="123">
        <f>D47-D56</f>
        <v>4069</v>
      </c>
      <c r="E57" s="123">
        <f>E47-E56</f>
        <v>0</v>
      </c>
    </row>
    <row r="58" spans="2:5" ht="15.75">
      <c r="B58" s="295" t="str">
        <f>CONCATENATE("",E$1-2,"/",E$1-1," Budget Authority Amount:")</f>
        <v>2010/2011 Budget Authority Amount:</v>
      </c>
      <c r="C58" s="287">
        <f>inputOth!B61</f>
        <v>2787</v>
      </c>
      <c r="D58" s="287">
        <f>inputPrYr!D48</f>
        <v>3893</v>
      </c>
      <c r="E58" s="507">
        <f>IF(E57&lt;0,"See Tab E","")</f>
      </c>
    </row>
    <row r="59" spans="2:5" ht="15.75">
      <c r="B59" s="295"/>
      <c r="C59" s="328">
        <f>IF(C56&gt;C58,"See Tab A","")</f>
      </c>
      <c r="D59" s="328">
        <f>IF(D56&gt;D58,"See Tab C","")</f>
      </c>
      <c r="E59" s="90"/>
    </row>
    <row r="60" spans="2:5" ht="15.75">
      <c r="B60" s="295"/>
      <c r="C60" s="328">
        <f>IF(C57&lt;0,"See Tab B","")</f>
      </c>
      <c r="D60" s="328">
        <f>IF(D57&lt;0,"See Tab D","")</f>
      </c>
      <c r="E60" s="90"/>
    </row>
    <row r="61" spans="2:5" ht="15.75">
      <c r="B61" s="90"/>
      <c r="C61" s="90"/>
      <c r="D61" s="90"/>
      <c r="E61" s="90"/>
    </row>
    <row r="62" spans="2:5" ht="15.75">
      <c r="B62" s="295" t="s">
        <v>190</v>
      </c>
      <c r="C62" s="356">
        <v>23</v>
      </c>
      <c r="D62" s="90"/>
      <c r="E62" s="90"/>
    </row>
  </sheetData>
  <sheetProtection sheet="1"/>
  <conditionalFormatting sqref="C27">
    <cfRule type="cellIs" priority="3" dxfId="426" operator="greaterThan" stopIfTrue="1">
      <formula>$C$29*0.1</formula>
    </cfRule>
  </conditionalFormatting>
  <conditionalFormatting sqref="D27">
    <cfRule type="cellIs" priority="4" dxfId="426" operator="greaterThan" stopIfTrue="1">
      <formula>$D$29*0.1</formula>
    </cfRule>
  </conditionalFormatting>
  <conditionalFormatting sqref="E27">
    <cfRule type="cellIs" priority="5" dxfId="426" operator="greaterThan" stopIfTrue="1">
      <formula>$E$29*0.1</formula>
    </cfRule>
  </conditionalFormatting>
  <conditionalFormatting sqref="C13">
    <cfRule type="cellIs" priority="6" dxfId="426" operator="greaterThan" stopIfTrue="1">
      <formula>$C$15*0.1</formula>
    </cfRule>
  </conditionalFormatting>
  <conditionalFormatting sqref="D13">
    <cfRule type="cellIs" priority="7" dxfId="426" operator="greaterThan" stopIfTrue="1">
      <formula>$D$15*0.1</formula>
    </cfRule>
  </conditionalFormatting>
  <conditionalFormatting sqref="E13">
    <cfRule type="cellIs" priority="8" dxfId="426" operator="greaterThan" stopIfTrue="1">
      <formula>$E$15*0.1</formula>
    </cfRule>
  </conditionalFormatting>
  <conditionalFormatting sqref="C44">
    <cfRule type="cellIs" priority="9" dxfId="426" operator="greaterThan" stopIfTrue="1">
      <formula>$C$46*0.1</formula>
    </cfRule>
  </conditionalFormatting>
  <conditionalFormatting sqref="D44">
    <cfRule type="cellIs" priority="10" dxfId="426" operator="greaterThan" stopIfTrue="1">
      <formula>$D$46*0.1</formula>
    </cfRule>
  </conditionalFormatting>
  <conditionalFormatting sqref="E44">
    <cfRule type="cellIs" priority="11" dxfId="426" operator="greaterThan" stopIfTrue="1">
      <formula>$E$46*0.1</formula>
    </cfRule>
  </conditionalFormatting>
  <conditionalFormatting sqref="C54">
    <cfRule type="cellIs" priority="12" dxfId="426" operator="greaterThan" stopIfTrue="1">
      <formula>$C$56*0.1</formula>
    </cfRule>
  </conditionalFormatting>
  <conditionalFormatting sqref="D54">
    <cfRule type="cellIs" priority="13" dxfId="426" operator="greaterThan" stopIfTrue="1">
      <formula>$D$56*0.1</formula>
    </cfRule>
  </conditionalFormatting>
  <conditionalFormatting sqref="E54">
    <cfRule type="cellIs" priority="14" dxfId="426" operator="greaterThan" stopIfTrue="1">
      <formula>$E$56*0.1</formula>
    </cfRule>
  </conditionalFormatting>
  <conditionalFormatting sqref="E57 C57 E30 C30">
    <cfRule type="cellIs" priority="15" dxfId="2" operator="lessThan" stopIfTrue="1">
      <formula>0</formula>
    </cfRule>
  </conditionalFormatting>
  <conditionalFormatting sqref="D29">
    <cfRule type="cellIs" priority="16" dxfId="2" operator="greaterThan" stopIfTrue="1">
      <formula>$D$31</formula>
    </cfRule>
  </conditionalFormatting>
  <conditionalFormatting sqref="C29">
    <cfRule type="cellIs" priority="17" dxfId="2" operator="greaterThan" stopIfTrue="1">
      <formula>$C$31</formula>
    </cfRule>
  </conditionalFormatting>
  <conditionalFormatting sqref="D56">
    <cfRule type="cellIs" priority="18" dxfId="2" operator="greaterThan" stopIfTrue="1">
      <formula>$D$58</formula>
    </cfRule>
  </conditionalFormatting>
  <conditionalFormatting sqref="C56">
    <cfRule type="cellIs" priority="19" dxfId="2" operator="greaterThan" stopIfTrue="1">
      <formula>$C$58</formula>
    </cfRule>
  </conditionalFormatting>
  <conditionalFormatting sqref="D30">
    <cfRule type="cellIs" priority="2" dxfId="0" operator="lessThan" stopIfTrue="1">
      <formula>0</formula>
    </cfRule>
  </conditionalFormatting>
  <conditionalFormatting sqref="D57">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4" r:id="rId1"/>
  <headerFooter alignWithMargins="0">
    <oddHeader>&amp;RState of Kansas
County
</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62"/>
  <sheetViews>
    <sheetView zoomScale="85" zoomScaleNormal="85" zoomScalePageLayoutView="0" workbookViewId="0" topLeftCell="A5">
      <selection activeCell="H67" sqref="H67"/>
    </sheetView>
  </sheetViews>
  <sheetFormatPr defaultColWidth="8.796875" defaultRowHeight="15"/>
  <cols>
    <col min="1" max="1" width="2.3984375" style="77" customWidth="1"/>
    <col min="2" max="2" width="31.09765625" style="77" customWidth="1"/>
    <col min="3" max="4" width="15.796875" style="77" customWidth="1"/>
    <col min="5" max="5" width="16.19921875" style="77" customWidth="1"/>
    <col min="6" max="16384" width="8.8984375" style="77" customWidth="1"/>
  </cols>
  <sheetData>
    <row r="1" spans="2:5" ht="15.75">
      <c r="B1" s="237" t="str">
        <f>(inputPrYr!C2)</f>
        <v>Geary County</v>
      </c>
      <c r="C1" s="90"/>
      <c r="D1" s="90"/>
      <c r="E1" s="294">
        <f>inputPrYr!C4</f>
        <v>2012</v>
      </c>
    </row>
    <row r="2" spans="2:5" ht="15.75">
      <c r="B2" s="90"/>
      <c r="C2" s="90"/>
      <c r="D2" s="90"/>
      <c r="E2" s="249"/>
    </row>
    <row r="3" spans="2:5" ht="15.75">
      <c r="B3" s="155" t="s">
        <v>240</v>
      </c>
      <c r="C3" s="340"/>
      <c r="D3" s="340"/>
      <c r="E3" s="341"/>
    </row>
    <row r="4" spans="2:5" ht="15.75">
      <c r="B4" s="90"/>
      <c r="C4" s="334"/>
      <c r="D4" s="334"/>
      <c r="E4" s="334"/>
    </row>
    <row r="5" spans="2:5" ht="15.75">
      <c r="B5" s="89" t="s">
        <v>162</v>
      </c>
      <c r="C5" s="577" t="str">
        <f>general!C4</f>
        <v>Prior Year Actual</v>
      </c>
      <c r="D5" s="479" t="str">
        <f>general!D4</f>
        <v>Current Year Estimate</v>
      </c>
      <c r="E5" s="479" t="str">
        <f>general!E4</f>
        <v>Proposed Budget Year</v>
      </c>
    </row>
    <row r="6" spans="2:5" ht="15.75">
      <c r="B6" s="512" t="str">
        <f>inputPrYr!B49</f>
        <v>911 System (56)</v>
      </c>
      <c r="C6" s="323">
        <f>general!C5</f>
        <v>2010</v>
      </c>
      <c r="D6" s="323">
        <f>general!D5</f>
        <v>2011</v>
      </c>
      <c r="E6" s="310">
        <f>general!E5</f>
        <v>2012</v>
      </c>
    </row>
    <row r="7" spans="2:5" ht="15.75">
      <c r="B7" s="151" t="s">
        <v>281</v>
      </c>
      <c r="C7" s="116">
        <v>15785</v>
      </c>
      <c r="D7" s="273">
        <f>C27</f>
        <v>70771</v>
      </c>
      <c r="E7" s="273">
        <f>D27</f>
        <v>70771</v>
      </c>
    </row>
    <row r="8" spans="2:5" ht="15.75">
      <c r="B8" s="343" t="s">
        <v>283</v>
      </c>
      <c r="C8" s="112"/>
      <c r="D8" s="112"/>
      <c r="E8" s="112"/>
    </row>
    <row r="9" spans="2:5" ht="15.75">
      <c r="B9" s="712" t="s">
        <v>1031</v>
      </c>
      <c r="C9" s="116">
        <v>126713</v>
      </c>
      <c r="D9" s="116">
        <v>100000</v>
      </c>
      <c r="E9" s="116">
        <v>125000</v>
      </c>
    </row>
    <row r="10" spans="2:5" ht="15.75">
      <c r="B10" s="325"/>
      <c r="C10" s="116"/>
      <c r="D10" s="116"/>
      <c r="E10" s="116"/>
    </row>
    <row r="11" spans="2:5" ht="15.75">
      <c r="B11" s="325"/>
      <c r="C11" s="116"/>
      <c r="D11" s="116"/>
      <c r="E11" s="116"/>
    </row>
    <row r="12" spans="2:5" ht="15.75">
      <c r="B12" s="316" t="s">
        <v>170</v>
      </c>
      <c r="C12" s="116"/>
      <c r="D12" s="116"/>
      <c r="E12" s="116"/>
    </row>
    <row r="13" spans="2:5" ht="15.75">
      <c r="B13" s="317" t="s">
        <v>76</v>
      </c>
      <c r="C13" s="116"/>
      <c r="D13" s="312"/>
      <c r="E13" s="312"/>
    </row>
    <row r="14" spans="2:5" ht="15.75">
      <c r="B14" s="317" t="s">
        <v>682</v>
      </c>
      <c r="C14" s="509">
        <f>IF(C15*0.1&lt;C13,"Exceed 10% Rule","")</f>
      </c>
      <c r="D14" s="318">
        <f>IF(D15*0.1&lt;D13,"Exceed 10% Rule","")</f>
      </c>
      <c r="E14" s="318">
        <f>IF(E15*0.1&lt;E13,"Exceed 10% Rule","")</f>
      </c>
    </row>
    <row r="15" spans="2:5" ht="15.75">
      <c r="B15" s="319" t="s">
        <v>171</v>
      </c>
      <c r="C15" s="358">
        <f>SUM(C9:C13)</f>
        <v>126713</v>
      </c>
      <c r="D15" s="358">
        <f>SUM(D9:D13)</f>
        <v>100000</v>
      </c>
      <c r="E15" s="358">
        <f>SUM(E9:E13)</f>
        <v>125000</v>
      </c>
    </row>
    <row r="16" spans="2:5" ht="15.75">
      <c r="B16" s="319" t="s">
        <v>172</v>
      </c>
      <c r="C16" s="358">
        <f>C15+C7</f>
        <v>142498</v>
      </c>
      <c r="D16" s="358">
        <f>D15+D7</f>
        <v>170771</v>
      </c>
      <c r="E16" s="358">
        <f>E15+E7</f>
        <v>195771</v>
      </c>
    </row>
    <row r="17" spans="2:5" ht="15.75">
      <c r="B17" s="151" t="s">
        <v>175</v>
      </c>
      <c r="C17" s="273"/>
      <c r="D17" s="273"/>
      <c r="E17" s="273"/>
    </row>
    <row r="18" spans="2:5" ht="15.75">
      <c r="B18" s="713" t="s">
        <v>977</v>
      </c>
      <c r="C18" s="116">
        <v>71727</v>
      </c>
      <c r="D18" s="116">
        <v>0</v>
      </c>
      <c r="E18" s="116">
        <v>100000</v>
      </c>
    </row>
    <row r="19" spans="2:5" ht="15.75">
      <c r="B19" s="713" t="s">
        <v>972</v>
      </c>
      <c r="C19" s="116">
        <v>0</v>
      </c>
      <c r="D19" s="116">
        <v>100000</v>
      </c>
      <c r="E19" s="116">
        <v>95771</v>
      </c>
    </row>
    <row r="20" spans="2:5" ht="15.75">
      <c r="B20" s="713" t="s">
        <v>978</v>
      </c>
      <c r="C20" s="116">
        <v>0</v>
      </c>
      <c r="D20" s="116">
        <v>0</v>
      </c>
      <c r="E20" s="116">
        <v>0</v>
      </c>
    </row>
    <row r="21" spans="2:5" ht="15.75">
      <c r="B21" s="325"/>
      <c r="C21" s="116"/>
      <c r="D21" s="116"/>
      <c r="E21" s="116"/>
    </row>
    <row r="22" spans="2:5" ht="15.75">
      <c r="B22" s="325"/>
      <c r="C22" s="116"/>
      <c r="D22" s="116"/>
      <c r="E22" s="116"/>
    </row>
    <row r="23" spans="2:5" ht="15.75">
      <c r="B23" s="325"/>
      <c r="C23" s="116"/>
      <c r="D23" s="116"/>
      <c r="E23" s="116"/>
    </row>
    <row r="24" spans="2:5" ht="15.75">
      <c r="B24" s="317" t="s">
        <v>76</v>
      </c>
      <c r="C24" s="116"/>
      <c r="D24" s="312"/>
      <c r="E24" s="312"/>
    </row>
    <row r="25" spans="2:5" ht="15.75">
      <c r="B25" s="317" t="s">
        <v>681</v>
      </c>
      <c r="C25" s="509">
        <f>IF(C26*0.1&lt;C24,"Exceed 10% Rule","")</f>
      </c>
      <c r="D25" s="318">
        <f>IF(D26*0.1&lt;D24,"Exceed 10% Rule","")</f>
      </c>
      <c r="E25" s="318">
        <f>IF(E26*0.1&lt;E24,"Exceed 10% Rule","")</f>
      </c>
    </row>
    <row r="26" spans="2:5" ht="15.75">
      <c r="B26" s="319" t="s">
        <v>176</v>
      </c>
      <c r="C26" s="358">
        <f>SUM(C18:C24)</f>
        <v>71727</v>
      </c>
      <c r="D26" s="358">
        <f>SUM(D18:D24)</f>
        <v>100000</v>
      </c>
      <c r="E26" s="358">
        <f>SUM(E18:E24)</f>
        <v>195771</v>
      </c>
    </row>
    <row r="27" spans="2:5" ht="15.75">
      <c r="B27" s="151" t="s">
        <v>282</v>
      </c>
      <c r="C27" s="123">
        <f>C16-C26</f>
        <v>70771</v>
      </c>
      <c r="D27" s="123">
        <f>D16-D26</f>
        <v>70771</v>
      </c>
      <c r="E27" s="123">
        <f>E16-E26</f>
        <v>0</v>
      </c>
    </row>
    <row r="28" spans="2:5" ht="15.75">
      <c r="B28" s="295" t="str">
        <f>CONCATENATE("",E$1-2,"/",E$1-1," Budget Authority Amount:")</f>
        <v>2010/2011 Budget Authority Amount:</v>
      </c>
      <c r="C28" s="287">
        <f>inputOth!B62</f>
        <v>185562</v>
      </c>
      <c r="D28" s="287">
        <f>inputPrYr!D49</f>
        <v>195787</v>
      </c>
      <c r="E28" s="508">
        <f>IF(E27&lt;0,"See Tab E","")</f>
      </c>
    </row>
    <row r="29" spans="2:5" ht="15.75">
      <c r="B29" s="295"/>
      <c r="C29" s="328">
        <f>IF(C26&gt;C28,"See Tab A","")</f>
      </c>
      <c r="D29" s="328">
        <f>IF(D26&gt;D28,"See Tab C","")</f>
      </c>
      <c r="E29" s="148"/>
    </row>
    <row r="30" spans="2:5" ht="15.75">
      <c r="B30" s="295"/>
      <c r="C30" s="328">
        <f>IF(C27&lt;0,"See Tab B","")</f>
      </c>
      <c r="D30" s="328">
        <f>IF(D27&lt;0,"See Tab D","")</f>
      </c>
      <c r="E30" s="148"/>
    </row>
    <row r="31" spans="2:5" ht="15.75">
      <c r="B31" s="90"/>
      <c r="C31" s="148"/>
      <c r="D31" s="148"/>
      <c r="E31" s="148"/>
    </row>
    <row r="32" spans="2:5" ht="15.75">
      <c r="B32" s="89" t="s">
        <v>162</v>
      </c>
      <c r="C32" s="334"/>
      <c r="D32" s="334"/>
      <c r="E32" s="334"/>
    </row>
    <row r="33" spans="2:5" ht="15.75">
      <c r="B33" s="90"/>
      <c r="C33" s="577" t="str">
        <f aca="true" t="shared" si="0" ref="C33:E34">C5</f>
        <v>Prior Year Actual</v>
      </c>
      <c r="D33" s="479" t="str">
        <f t="shared" si="0"/>
        <v>Current Year Estimate</v>
      </c>
      <c r="E33" s="479" t="str">
        <f t="shared" si="0"/>
        <v>Proposed Budget Year</v>
      </c>
    </row>
    <row r="34" spans="2:5" ht="15.75">
      <c r="B34" s="511" t="str">
        <f>inputPrYr!B50</f>
        <v>Court Trustee (57)</v>
      </c>
      <c r="C34" s="323">
        <f t="shared" si="0"/>
        <v>2010</v>
      </c>
      <c r="D34" s="323">
        <f t="shared" si="0"/>
        <v>2011</v>
      </c>
      <c r="E34" s="323">
        <f t="shared" si="0"/>
        <v>2012</v>
      </c>
    </row>
    <row r="35" spans="2:5" ht="15.75">
      <c r="B35" s="151" t="s">
        <v>281</v>
      </c>
      <c r="C35" s="116">
        <v>510375</v>
      </c>
      <c r="D35" s="273">
        <f>C57</f>
        <v>674846</v>
      </c>
      <c r="E35" s="273">
        <f>D57</f>
        <v>728378</v>
      </c>
    </row>
    <row r="36" spans="2:5" ht="15.75">
      <c r="B36" s="151" t="s">
        <v>283</v>
      </c>
      <c r="C36" s="112"/>
      <c r="D36" s="112"/>
      <c r="E36" s="112"/>
    </row>
    <row r="37" spans="2:5" ht="15.75">
      <c r="B37" s="714" t="s">
        <v>1032</v>
      </c>
      <c r="C37" s="116">
        <v>1189279</v>
      </c>
      <c r="D37" s="116">
        <v>1108417</v>
      </c>
      <c r="E37" s="116">
        <v>1064833</v>
      </c>
    </row>
    <row r="38" spans="2:5" ht="15.75">
      <c r="B38" s="325"/>
      <c r="C38" s="116"/>
      <c r="D38" s="116"/>
      <c r="E38" s="116"/>
    </row>
    <row r="39" spans="2:5" ht="15.75">
      <c r="B39" s="325"/>
      <c r="C39" s="116"/>
      <c r="D39" s="116"/>
      <c r="E39" s="116"/>
    </row>
    <row r="40" spans="2:5" ht="15.75">
      <c r="B40" s="316" t="s">
        <v>170</v>
      </c>
      <c r="C40" s="116"/>
      <c r="D40" s="116"/>
      <c r="E40" s="116"/>
    </row>
    <row r="41" spans="2:5" ht="15.75">
      <c r="B41" s="317" t="s">
        <v>76</v>
      </c>
      <c r="C41" s="116">
        <v>2786</v>
      </c>
      <c r="D41" s="312">
        <v>81500</v>
      </c>
      <c r="E41" s="312">
        <v>84000</v>
      </c>
    </row>
    <row r="42" spans="2:5" ht="15.75">
      <c r="B42" s="317" t="s">
        <v>682</v>
      </c>
      <c r="C42" s="509">
        <f>IF(C43*0.1&lt;C41,"Exceed 10% Rule","")</f>
      </c>
      <c r="D42" s="318">
        <f>IF(D43*0.1&lt;D41,"Exceed 10% Rule","")</f>
      </c>
      <c r="E42" s="318">
        <f>IF(E43*0.1&lt;E41,"Exceed 10% Rule","")</f>
      </c>
    </row>
    <row r="43" spans="2:5" ht="15.75">
      <c r="B43" s="319" t="s">
        <v>171</v>
      </c>
      <c r="C43" s="358">
        <f>SUM(C37:C41)</f>
        <v>1192065</v>
      </c>
      <c r="D43" s="358">
        <f>SUM(D37:D41)</f>
        <v>1189917</v>
      </c>
      <c r="E43" s="358">
        <f>SUM(E37:E41)</f>
        <v>1148833</v>
      </c>
    </row>
    <row r="44" spans="2:5" ht="15.75">
      <c r="B44" s="319" t="s">
        <v>172</v>
      </c>
      <c r="C44" s="358">
        <f>C35+C43</f>
        <v>1702440</v>
      </c>
      <c r="D44" s="358">
        <f>D35+D43</f>
        <v>1864763</v>
      </c>
      <c r="E44" s="358">
        <f>E35+E43</f>
        <v>1877211</v>
      </c>
    </row>
    <row r="45" spans="2:5" ht="15.75">
      <c r="B45" s="151" t="s">
        <v>175</v>
      </c>
      <c r="C45" s="273"/>
      <c r="D45" s="273"/>
      <c r="E45" s="273"/>
    </row>
    <row r="46" spans="2:5" ht="15.75">
      <c r="B46" s="715" t="s">
        <v>959</v>
      </c>
      <c r="C46" s="116">
        <v>652433</v>
      </c>
      <c r="D46" s="116">
        <v>694924</v>
      </c>
      <c r="E46" s="116">
        <v>708834</v>
      </c>
    </row>
    <row r="47" spans="2:5" ht="15.75">
      <c r="B47" s="715" t="s">
        <v>977</v>
      </c>
      <c r="C47" s="116">
        <v>146472</v>
      </c>
      <c r="D47" s="116">
        <v>227656</v>
      </c>
      <c r="E47" s="116">
        <v>235408</v>
      </c>
    </row>
    <row r="48" spans="2:5" ht="15.75">
      <c r="B48" s="715" t="s">
        <v>978</v>
      </c>
      <c r="C48" s="116">
        <v>10940</v>
      </c>
      <c r="D48" s="116">
        <v>12700</v>
      </c>
      <c r="E48" s="116">
        <v>11200</v>
      </c>
    </row>
    <row r="49" spans="2:5" ht="15.75">
      <c r="B49" s="715" t="s">
        <v>972</v>
      </c>
      <c r="C49" s="116">
        <v>10342</v>
      </c>
      <c r="D49" s="116">
        <v>4750</v>
      </c>
      <c r="E49" s="116">
        <v>4750</v>
      </c>
    </row>
    <row r="50" spans="2:5" ht="15.75">
      <c r="B50" s="715" t="s">
        <v>1030</v>
      </c>
      <c r="C50" s="116">
        <v>207407</v>
      </c>
      <c r="D50" s="116">
        <v>196355</v>
      </c>
      <c r="E50" s="116">
        <v>204756</v>
      </c>
    </row>
    <row r="51" spans="2:5" ht="15.75">
      <c r="B51" s="325"/>
      <c r="C51" s="116"/>
      <c r="D51" s="116"/>
      <c r="E51" s="116"/>
    </row>
    <row r="52" spans="2:5" ht="15.75">
      <c r="B52" s="325"/>
      <c r="C52" s="116"/>
      <c r="D52" s="116"/>
      <c r="E52" s="116"/>
    </row>
    <row r="53" spans="2:5" ht="15.75">
      <c r="B53" s="325"/>
      <c r="C53" s="116"/>
      <c r="D53" s="116"/>
      <c r="E53" s="116"/>
    </row>
    <row r="54" spans="2:5" ht="15.75">
      <c r="B54" s="317" t="s">
        <v>76</v>
      </c>
      <c r="C54" s="116"/>
      <c r="D54" s="312"/>
      <c r="E54" s="312"/>
    </row>
    <row r="55" spans="2:5" ht="15.75">
      <c r="B55" s="317" t="s">
        <v>681</v>
      </c>
      <c r="C55" s="509">
        <f>IF(C56*0.1&lt;C54,"Exceed 10% Rule","")</f>
      </c>
      <c r="D55" s="318">
        <f>IF(D56*0.1&lt;D54,"Exceed 10% Rule","")</f>
      </c>
      <c r="E55" s="318">
        <f>IF(E56*0.1&lt;E54,"Exceed 10% Rule","")</f>
      </c>
    </row>
    <row r="56" spans="2:5" ht="15.75">
      <c r="B56" s="319" t="s">
        <v>176</v>
      </c>
      <c r="C56" s="358">
        <f>SUM(C46:C54)</f>
        <v>1027594</v>
      </c>
      <c r="D56" s="358">
        <f>SUM(D46:D54)</f>
        <v>1136385</v>
      </c>
      <c r="E56" s="358">
        <f>SUM(E46:E54)</f>
        <v>1164948</v>
      </c>
    </row>
    <row r="57" spans="2:5" ht="15.75">
      <c r="B57" s="151" t="s">
        <v>282</v>
      </c>
      <c r="C57" s="123">
        <f>C44-C56</f>
        <v>674846</v>
      </c>
      <c r="D57" s="123">
        <f>D44-D56</f>
        <v>728378</v>
      </c>
      <c r="E57" s="123">
        <f>E44-E56</f>
        <v>712263</v>
      </c>
    </row>
    <row r="58" spans="2:5" ht="15.75">
      <c r="B58" s="295" t="str">
        <f>CONCATENATE("",E$1-2,"/",E$1-1," Budget Authority Amount:")</f>
        <v>2010/2011 Budget Authority Amount:</v>
      </c>
      <c r="C58" s="287">
        <f>inputOth!B63</f>
        <v>1189923</v>
      </c>
      <c r="D58" s="287">
        <f>inputPrYr!D50</f>
        <v>1136385</v>
      </c>
      <c r="E58" s="507">
        <f>IF(E57&lt;0,"See Tab E","")</f>
      </c>
    </row>
    <row r="59" spans="2:5" ht="15.75">
      <c r="B59" s="295"/>
      <c r="C59" s="328">
        <f>IF(C56&gt;C58,"See Tab A","")</f>
      </c>
      <c r="D59" s="328">
        <f>IF(D56&gt;D58,"See Tab C","")</f>
      </c>
      <c r="E59" s="90"/>
    </row>
    <row r="60" spans="2:5" ht="15.75">
      <c r="B60" s="295"/>
      <c r="C60" s="328">
        <f>IF(C57&lt;0,"See Tab B","")</f>
      </c>
      <c r="D60" s="328">
        <f>IF(D57&lt;0,"See Tab D","")</f>
      </c>
      <c r="E60" s="90"/>
    </row>
    <row r="61" spans="2:5" ht="15.75">
      <c r="B61" s="90"/>
      <c r="C61" s="90"/>
      <c r="D61" s="90"/>
      <c r="E61" s="90"/>
    </row>
    <row r="62" spans="2:5" ht="15.75">
      <c r="B62" s="295" t="s">
        <v>190</v>
      </c>
      <c r="C62" s="356">
        <v>24</v>
      </c>
      <c r="D62" s="90"/>
      <c r="E62" s="90"/>
    </row>
  </sheetData>
  <sheetProtection sheet="1"/>
  <conditionalFormatting sqref="C24">
    <cfRule type="cellIs" priority="3" dxfId="426" operator="greaterThan" stopIfTrue="1">
      <formula>$C$26*0.1</formula>
    </cfRule>
  </conditionalFormatting>
  <conditionalFormatting sqref="D24">
    <cfRule type="cellIs" priority="4" dxfId="426" operator="greaterThan" stopIfTrue="1">
      <formula>$D$26*0.1</formula>
    </cfRule>
  </conditionalFormatting>
  <conditionalFormatting sqref="E24">
    <cfRule type="cellIs" priority="5" dxfId="426" operator="greaterThan" stopIfTrue="1">
      <formula>$E$26*0.1</formula>
    </cfRule>
  </conditionalFormatting>
  <conditionalFormatting sqref="C13">
    <cfRule type="cellIs" priority="6" dxfId="426" operator="greaterThan" stopIfTrue="1">
      <formula>$C$15*0.1</formula>
    </cfRule>
  </conditionalFormatting>
  <conditionalFormatting sqref="D13">
    <cfRule type="cellIs" priority="7" dxfId="426" operator="greaterThan" stopIfTrue="1">
      <formula>$D$15*0.1</formula>
    </cfRule>
  </conditionalFormatting>
  <conditionalFormatting sqref="E13">
    <cfRule type="cellIs" priority="8" dxfId="426" operator="greaterThan" stopIfTrue="1">
      <formula>$E$15*0.1</formula>
    </cfRule>
  </conditionalFormatting>
  <conditionalFormatting sqref="C41">
    <cfRule type="cellIs" priority="9" dxfId="426" operator="greaterThan" stopIfTrue="1">
      <formula>$C$43*0.1</formula>
    </cfRule>
  </conditionalFormatting>
  <conditionalFormatting sqref="D41">
    <cfRule type="cellIs" priority="10" dxfId="426" operator="greaterThan" stopIfTrue="1">
      <formula>$D$43*0.1</formula>
    </cfRule>
  </conditionalFormatting>
  <conditionalFormatting sqref="E41">
    <cfRule type="cellIs" priority="11" dxfId="426" operator="greaterThan" stopIfTrue="1">
      <formula>$E$43*0.1</formula>
    </cfRule>
  </conditionalFormatting>
  <conditionalFormatting sqref="C54">
    <cfRule type="cellIs" priority="12" dxfId="426" operator="greaterThan" stopIfTrue="1">
      <formula>$C$56*0.1</formula>
    </cfRule>
  </conditionalFormatting>
  <conditionalFormatting sqref="D54">
    <cfRule type="cellIs" priority="13" dxfId="426" operator="greaterThan" stopIfTrue="1">
      <formula>$D$56*0.1</formula>
    </cfRule>
  </conditionalFormatting>
  <conditionalFormatting sqref="E54">
    <cfRule type="cellIs" priority="14" dxfId="426" operator="greaterThan" stopIfTrue="1">
      <formula>$E$56*0.1</formula>
    </cfRule>
  </conditionalFormatting>
  <conditionalFormatting sqref="E57 C57 E27 C27">
    <cfRule type="cellIs" priority="15" dxfId="2" operator="lessThan" stopIfTrue="1">
      <formula>0</formula>
    </cfRule>
  </conditionalFormatting>
  <conditionalFormatting sqref="D26">
    <cfRule type="cellIs" priority="16" dxfId="2" operator="greaterThan" stopIfTrue="1">
      <formula>$D$28</formula>
    </cfRule>
  </conditionalFormatting>
  <conditionalFormatting sqref="C26">
    <cfRule type="cellIs" priority="17" dxfId="2" operator="greaterThan" stopIfTrue="1">
      <formula>$C$28</formula>
    </cfRule>
  </conditionalFormatting>
  <conditionalFormatting sqref="D56">
    <cfRule type="cellIs" priority="18" dxfId="2" operator="greaterThan" stopIfTrue="1">
      <formula>$D$58</formula>
    </cfRule>
  </conditionalFormatting>
  <conditionalFormatting sqref="C56">
    <cfRule type="cellIs" priority="19" dxfId="2" operator="greaterThan" stopIfTrue="1">
      <formula>$C$58</formula>
    </cfRule>
  </conditionalFormatting>
  <conditionalFormatting sqref="D27">
    <cfRule type="cellIs" priority="2" dxfId="0" operator="lessThan" stopIfTrue="1">
      <formula>0</formula>
    </cfRule>
  </conditionalFormatting>
  <conditionalFormatting sqref="D57">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4" r:id="rId1"/>
  <headerFooter alignWithMargins="0">
    <oddHeader>&amp;RState of Kansas
County
</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62"/>
  <sheetViews>
    <sheetView zoomScale="85" zoomScaleNormal="85" zoomScalePageLayoutView="0" workbookViewId="0" topLeftCell="A1">
      <selection activeCell="H67" sqref="H67"/>
    </sheetView>
  </sheetViews>
  <sheetFormatPr defaultColWidth="8.796875" defaultRowHeight="15"/>
  <cols>
    <col min="1" max="1" width="2.3984375" style="77" customWidth="1"/>
    <col min="2" max="2" width="31.09765625" style="77" customWidth="1"/>
    <col min="3" max="4" width="15.796875" style="77" customWidth="1"/>
    <col min="5" max="5" width="16.09765625" style="77" customWidth="1"/>
    <col min="6" max="16384" width="8.8984375" style="77" customWidth="1"/>
  </cols>
  <sheetData>
    <row r="1" spans="2:5" ht="15.75">
      <c r="B1" s="237" t="str">
        <f>(inputPrYr!C2)</f>
        <v>Geary County</v>
      </c>
      <c r="C1" s="90"/>
      <c r="D1" s="90"/>
      <c r="E1" s="294">
        <f>inputPrYr!C4</f>
        <v>2012</v>
      </c>
    </row>
    <row r="2" spans="2:5" ht="15.75">
      <c r="B2" s="90"/>
      <c r="C2" s="90"/>
      <c r="D2" s="90"/>
      <c r="E2" s="249"/>
    </row>
    <row r="3" spans="2:5" ht="15.75">
      <c r="B3" s="155" t="s">
        <v>240</v>
      </c>
      <c r="C3" s="340"/>
      <c r="D3" s="340"/>
      <c r="E3" s="341"/>
    </row>
    <row r="4" spans="2:5" ht="15.75">
      <c r="B4" s="90"/>
      <c r="C4" s="334"/>
      <c r="D4" s="334"/>
      <c r="E4" s="334"/>
    </row>
    <row r="5" spans="2:5" ht="15.75">
      <c r="B5" s="89" t="s">
        <v>162</v>
      </c>
      <c r="C5" s="577" t="str">
        <f>general!C4</f>
        <v>Prior Year Actual</v>
      </c>
      <c r="D5" s="479" t="str">
        <f>general!D4</f>
        <v>Current Year Estimate</v>
      </c>
      <c r="E5" s="479" t="str">
        <f>general!E4</f>
        <v>Proposed Budget Year</v>
      </c>
    </row>
    <row r="6" spans="2:5" ht="15.75">
      <c r="B6" s="512" t="str">
        <f>inputPrYr!B51</f>
        <v>Hospital Improv-Old (13)</v>
      </c>
      <c r="C6" s="323">
        <f>general!C5</f>
        <v>2010</v>
      </c>
      <c r="D6" s="323">
        <f>general!D5</f>
        <v>2011</v>
      </c>
      <c r="E6" s="310">
        <f>general!E5</f>
        <v>2012</v>
      </c>
    </row>
    <row r="7" spans="2:5" ht="15.75">
      <c r="B7" s="151" t="s">
        <v>281</v>
      </c>
      <c r="C7" s="116">
        <v>10000</v>
      </c>
      <c r="D7" s="273">
        <f>C27</f>
        <v>0</v>
      </c>
      <c r="E7" s="273">
        <f>D27</f>
        <v>0</v>
      </c>
    </row>
    <row r="8" spans="2:5" ht="15.75">
      <c r="B8" s="343" t="s">
        <v>283</v>
      </c>
      <c r="C8" s="112"/>
      <c r="D8" s="112"/>
      <c r="E8" s="112"/>
    </row>
    <row r="9" spans="2:5" ht="15.75">
      <c r="B9" s="325"/>
      <c r="C9" s="116"/>
      <c r="D9" s="116"/>
      <c r="E9" s="116"/>
    </row>
    <row r="10" spans="2:5" ht="15.75">
      <c r="B10" s="325"/>
      <c r="C10" s="116"/>
      <c r="D10" s="116"/>
      <c r="E10" s="116"/>
    </row>
    <row r="11" spans="2:5" ht="15.75">
      <c r="B11" s="325"/>
      <c r="C11" s="116"/>
      <c r="D11" s="116"/>
      <c r="E11" s="116"/>
    </row>
    <row r="12" spans="2:5" ht="15.75">
      <c r="B12" s="316" t="s">
        <v>170</v>
      </c>
      <c r="C12" s="116"/>
      <c r="D12" s="116"/>
      <c r="E12" s="116"/>
    </row>
    <row r="13" spans="2:5" ht="15.75">
      <c r="B13" s="317" t="s">
        <v>76</v>
      </c>
      <c r="C13" s="116"/>
      <c r="D13" s="312"/>
      <c r="E13" s="312"/>
    </row>
    <row r="14" spans="2:5" ht="15.75">
      <c r="B14" s="317" t="s">
        <v>682</v>
      </c>
      <c r="C14" s="509">
        <f>IF(C15*0.1&lt;C13,"Exceed 10% Rule","")</f>
      </c>
      <c r="D14" s="318">
        <f>IF(D15*0.1&lt;D13,"Exceed 10% Rule","")</f>
      </c>
      <c r="E14" s="318">
        <f>IF(E15*0.1&lt;E13,"Exceed 10% Rule","")</f>
      </c>
    </row>
    <row r="15" spans="2:5" ht="15.75">
      <c r="B15" s="319" t="s">
        <v>171</v>
      </c>
      <c r="C15" s="358">
        <f>SUM(C9:C13)</f>
        <v>0</v>
      </c>
      <c r="D15" s="358">
        <f>SUM(D9:D13)</f>
        <v>0</v>
      </c>
      <c r="E15" s="358">
        <f>SUM(E9:E13)</f>
        <v>0</v>
      </c>
    </row>
    <row r="16" spans="2:5" ht="15.75">
      <c r="B16" s="319" t="s">
        <v>172</v>
      </c>
      <c r="C16" s="358">
        <f>C15+C7</f>
        <v>10000</v>
      </c>
      <c r="D16" s="358">
        <f>D15+D7</f>
        <v>0</v>
      </c>
      <c r="E16" s="358">
        <f>E15+E7</f>
        <v>0</v>
      </c>
    </row>
    <row r="17" spans="2:5" ht="15.75">
      <c r="B17" s="151" t="s">
        <v>175</v>
      </c>
      <c r="C17" s="273"/>
      <c r="D17" s="273"/>
      <c r="E17" s="273"/>
    </row>
    <row r="18" spans="2:5" ht="15.75">
      <c r="B18" s="325" t="s">
        <v>1089</v>
      </c>
      <c r="C18" s="116">
        <v>10000</v>
      </c>
      <c r="D18" s="116"/>
      <c r="E18" s="116"/>
    </row>
    <row r="19" spans="2:5" ht="15.75">
      <c r="B19" s="325"/>
      <c r="C19" s="116"/>
      <c r="D19" s="116"/>
      <c r="E19" s="116"/>
    </row>
    <row r="20" spans="2:5" ht="15.75">
      <c r="B20" s="325"/>
      <c r="C20" s="116"/>
      <c r="D20" s="116"/>
      <c r="E20" s="116"/>
    </row>
    <row r="21" spans="2:5" ht="15.75">
      <c r="B21" s="325"/>
      <c r="C21" s="116"/>
      <c r="D21" s="116"/>
      <c r="E21" s="116"/>
    </row>
    <row r="22" spans="2:5" ht="15.75">
      <c r="B22" s="325"/>
      <c r="C22" s="116"/>
      <c r="D22" s="116"/>
      <c r="E22" s="116"/>
    </row>
    <row r="23" spans="2:5" ht="15.75">
      <c r="B23" s="325"/>
      <c r="C23" s="116"/>
      <c r="D23" s="116"/>
      <c r="E23" s="116"/>
    </row>
    <row r="24" spans="2:5" ht="15.75">
      <c r="B24" s="317" t="s">
        <v>76</v>
      </c>
      <c r="C24" s="116"/>
      <c r="D24" s="312"/>
      <c r="E24" s="312"/>
    </row>
    <row r="25" spans="2:5" ht="15.75">
      <c r="B25" s="317" t="s">
        <v>681</v>
      </c>
      <c r="C25" s="509">
        <f>IF(C26*0.1&lt;C24,"Exceed 10% Rule","")</f>
      </c>
      <c r="D25" s="318">
        <f>IF(D26*0.1&lt;D24,"Exceed 10% Rule","")</f>
      </c>
      <c r="E25" s="318">
        <f>IF(E26*0.1&lt;E24,"Exceed 10% Rule","")</f>
      </c>
    </row>
    <row r="26" spans="2:5" ht="15.75">
      <c r="B26" s="319" t="s">
        <v>176</v>
      </c>
      <c r="C26" s="358">
        <f>SUM(C18:C24)</f>
        <v>10000</v>
      </c>
      <c r="D26" s="358">
        <f>SUM(D18:D24)</f>
        <v>0</v>
      </c>
      <c r="E26" s="358">
        <f>SUM(E18:E24)</f>
        <v>0</v>
      </c>
    </row>
    <row r="27" spans="2:5" ht="15.75">
      <c r="B27" s="151" t="s">
        <v>282</v>
      </c>
      <c r="C27" s="123">
        <f>C16-C26</f>
        <v>0</v>
      </c>
      <c r="D27" s="123">
        <f>D16-D26</f>
        <v>0</v>
      </c>
      <c r="E27" s="123">
        <f>E16-E26</f>
        <v>0</v>
      </c>
    </row>
    <row r="28" spans="2:5" ht="15.75">
      <c r="B28" s="295" t="str">
        <f>CONCATENATE("",E$1-2,"/",E$1-1," Budget Authority Amount:")</f>
        <v>2010/2011 Budget Authority Amount:</v>
      </c>
      <c r="C28" s="287">
        <f>inputOth!B64</f>
        <v>10000</v>
      </c>
      <c r="D28" s="287">
        <f>inputPrYr!D51</f>
        <v>0</v>
      </c>
      <c r="E28" s="508">
        <f>IF(E27&lt;0,"See Tab E","")</f>
      </c>
    </row>
    <row r="29" spans="2:5" ht="15.75">
      <c r="B29" s="295"/>
      <c r="C29" s="328">
        <f>IF(C26&gt;C28,"See Tab A","")</f>
      </c>
      <c r="D29" s="328">
        <f>IF(D26&gt;D28,"See Tab C","")</f>
      </c>
      <c r="E29" s="148"/>
    </row>
    <row r="30" spans="2:5" ht="15.75">
      <c r="B30" s="295"/>
      <c r="C30" s="328">
        <f>IF(C27&lt;0,"See Tab B","")</f>
      </c>
      <c r="D30" s="328">
        <f>IF(D27&lt;0,"See Tab D","")</f>
      </c>
      <c r="E30" s="148"/>
    </row>
    <row r="31" spans="2:5" ht="15.75">
      <c r="B31" s="90"/>
      <c r="C31" s="148"/>
      <c r="D31" s="148"/>
      <c r="E31" s="148"/>
    </row>
    <row r="32" spans="2:5" ht="15.75">
      <c r="B32" s="89" t="s">
        <v>162</v>
      </c>
      <c r="C32" s="334"/>
      <c r="D32" s="334"/>
      <c r="E32" s="334"/>
    </row>
    <row r="33" spans="2:5" ht="15.75">
      <c r="B33" s="90"/>
      <c r="C33" s="577" t="str">
        <f aca="true" t="shared" si="0" ref="C33:E34">C5</f>
        <v>Prior Year Actual</v>
      </c>
      <c r="D33" s="479" t="str">
        <f t="shared" si="0"/>
        <v>Current Year Estimate</v>
      </c>
      <c r="E33" s="479" t="str">
        <f t="shared" si="0"/>
        <v>Proposed Budget Year</v>
      </c>
    </row>
    <row r="34" spans="2:5" ht="15.75">
      <c r="B34" s="511" t="str">
        <f>inputPrYr!B52</f>
        <v>PBC - Pennell/Court (485)</v>
      </c>
      <c r="C34" s="323">
        <f t="shared" si="0"/>
        <v>2010</v>
      </c>
      <c r="D34" s="323">
        <f t="shared" si="0"/>
        <v>2011</v>
      </c>
      <c r="E34" s="323">
        <f t="shared" si="0"/>
        <v>2012</v>
      </c>
    </row>
    <row r="35" spans="2:5" ht="15.75">
      <c r="B35" s="151" t="s">
        <v>281</v>
      </c>
      <c r="C35" s="116">
        <v>31223</v>
      </c>
      <c r="D35" s="273">
        <f>C57</f>
        <v>31223</v>
      </c>
      <c r="E35" s="273">
        <f>D57</f>
        <v>31223</v>
      </c>
    </row>
    <row r="36" spans="2:5" ht="15.75">
      <c r="B36" s="151" t="s">
        <v>283</v>
      </c>
      <c r="C36" s="112"/>
      <c r="D36" s="112"/>
      <c r="E36" s="112"/>
    </row>
    <row r="37" spans="2:5" ht="15.75">
      <c r="B37" s="716" t="s">
        <v>1033</v>
      </c>
      <c r="C37" s="116"/>
      <c r="D37" s="116"/>
      <c r="E37" s="116"/>
    </row>
    <row r="38" spans="2:5" ht="15.75">
      <c r="B38" s="716" t="s">
        <v>1034</v>
      </c>
      <c r="C38" s="116">
        <v>42000</v>
      </c>
      <c r="D38" s="116">
        <v>42000</v>
      </c>
      <c r="E38" s="116">
        <v>42000</v>
      </c>
    </row>
    <row r="39" spans="2:5" ht="15.75">
      <c r="B39" s="716" t="s">
        <v>1035</v>
      </c>
      <c r="C39" s="116">
        <v>301000</v>
      </c>
      <c r="D39" s="116">
        <v>301000</v>
      </c>
      <c r="E39" s="116">
        <v>301000</v>
      </c>
    </row>
    <row r="40" spans="2:5" ht="15.75">
      <c r="B40" s="716" t="s">
        <v>1036</v>
      </c>
      <c r="C40" s="116">
        <v>45000</v>
      </c>
      <c r="D40" s="116">
        <v>45000</v>
      </c>
      <c r="E40" s="116">
        <v>45000</v>
      </c>
    </row>
    <row r="41" spans="2:5" ht="15.75">
      <c r="B41" s="716" t="s">
        <v>1037</v>
      </c>
      <c r="C41" s="116">
        <v>50400</v>
      </c>
      <c r="D41" s="116">
        <v>50400</v>
      </c>
      <c r="E41" s="116">
        <v>50400</v>
      </c>
    </row>
    <row r="42" spans="2:5" ht="15.75">
      <c r="B42" s="316" t="s">
        <v>170</v>
      </c>
      <c r="C42" s="116"/>
      <c r="D42" s="116"/>
      <c r="E42" s="116"/>
    </row>
    <row r="43" spans="2:5" ht="15.75">
      <c r="B43" s="317" t="s">
        <v>76</v>
      </c>
      <c r="C43" s="116"/>
      <c r="D43" s="312"/>
      <c r="E43" s="312"/>
    </row>
    <row r="44" spans="2:5" ht="15.75">
      <c r="B44" s="317" t="s">
        <v>682</v>
      </c>
      <c r="C44" s="509">
        <f>IF(C45*0.1&lt;C43,"Exceed 10% Rule","")</f>
      </c>
      <c r="D44" s="318">
        <f>IF(D45*0.1&lt;D43,"Exceed 10% Rule","")</f>
      </c>
      <c r="E44" s="318">
        <f>IF(E45*0.1&lt;E43,"Exceed 10% Rule","")</f>
      </c>
    </row>
    <row r="45" spans="2:5" ht="15.75">
      <c r="B45" s="319" t="s">
        <v>171</v>
      </c>
      <c r="C45" s="358">
        <f>SUM(C37:C43)</f>
        <v>438400</v>
      </c>
      <c r="D45" s="358">
        <f>SUM(D37:D43)</f>
        <v>438400</v>
      </c>
      <c r="E45" s="358">
        <f>SUM(E37:E43)</f>
        <v>438400</v>
      </c>
    </row>
    <row r="46" spans="2:5" ht="15.75">
      <c r="B46" s="319" t="s">
        <v>172</v>
      </c>
      <c r="C46" s="358">
        <f>C35+C45</f>
        <v>469623</v>
      </c>
      <c r="D46" s="358">
        <f>D35+D45</f>
        <v>469623</v>
      </c>
      <c r="E46" s="358">
        <f>E35+E45</f>
        <v>469623</v>
      </c>
    </row>
    <row r="47" spans="2:5" ht="15.75">
      <c r="B47" s="151" t="s">
        <v>175</v>
      </c>
      <c r="C47" s="273"/>
      <c r="D47" s="273"/>
      <c r="E47" s="273"/>
    </row>
    <row r="48" spans="2:5" ht="15.75">
      <c r="B48" s="717" t="s">
        <v>1038</v>
      </c>
      <c r="C48" s="116">
        <v>438400</v>
      </c>
      <c r="D48" s="116">
        <v>438400</v>
      </c>
      <c r="E48" s="116">
        <v>438400</v>
      </c>
    </row>
    <row r="49" spans="2:5" ht="15.75">
      <c r="B49" s="325"/>
      <c r="C49" s="116"/>
      <c r="D49" s="116"/>
      <c r="E49" s="116"/>
    </row>
    <row r="50" spans="2:5" ht="15.75">
      <c r="B50" s="325"/>
      <c r="C50" s="116"/>
      <c r="D50" s="116"/>
      <c r="E50" s="116"/>
    </row>
    <row r="51" spans="2:5" ht="15.75">
      <c r="B51" s="325"/>
      <c r="C51" s="116"/>
      <c r="D51" s="116"/>
      <c r="E51" s="116"/>
    </row>
    <row r="52" spans="2:5" ht="15.75">
      <c r="B52" s="325"/>
      <c r="C52" s="116"/>
      <c r="D52" s="116"/>
      <c r="E52" s="116"/>
    </row>
    <row r="53" spans="2:5" ht="15.75">
      <c r="B53" s="325"/>
      <c r="C53" s="116"/>
      <c r="D53" s="116"/>
      <c r="E53" s="116"/>
    </row>
    <row r="54" spans="2:5" ht="15.75">
      <c r="B54" s="317" t="s">
        <v>76</v>
      </c>
      <c r="C54" s="116"/>
      <c r="D54" s="312"/>
      <c r="E54" s="312"/>
    </row>
    <row r="55" spans="2:5" ht="15.75">
      <c r="B55" s="317" t="s">
        <v>681</v>
      </c>
      <c r="C55" s="509">
        <f>IF(C56*0.1&lt;C54,"Exceed 10% Rule","")</f>
      </c>
      <c r="D55" s="318">
        <f>IF(D56*0.1&lt;D54,"Exceed 10% Rule","")</f>
      </c>
      <c r="E55" s="318">
        <f>IF(E56*0.1&lt;E54,"Exceed 10% Rule","")</f>
      </c>
    </row>
    <row r="56" spans="2:5" ht="15.75">
      <c r="B56" s="319" t="s">
        <v>176</v>
      </c>
      <c r="C56" s="358">
        <f>SUM(C48:C54)</f>
        <v>438400</v>
      </c>
      <c r="D56" s="358">
        <f>SUM(D48:D54)</f>
        <v>438400</v>
      </c>
      <c r="E56" s="358">
        <f>SUM(E48:E54)</f>
        <v>438400</v>
      </c>
    </row>
    <row r="57" spans="2:5" ht="15.75">
      <c r="B57" s="151" t="s">
        <v>282</v>
      </c>
      <c r="C57" s="123">
        <f>C46-C56</f>
        <v>31223</v>
      </c>
      <c r="D57" s="123">
        <f>D46-D56</f>
        <v>31223</v>
      </c>
      <c r="E57" s="123">
        <f>E46-E56</f>
        <v>31223</v>
      </c>
    </row>
    <row r="58" spans="2:5" ht="15.75">
      <c r="B58" s="295" t="str">
        <f>CONCATENATE("",E$1-2,"/",E$1-1," Budget Authority Amount:")</f>
        <v>2010/2011 Budget Authority Amount:</v>
      </c>
      <c r="C58" s="287">
        <f>inputOth!B65</f>
        <v>438400</v>
      </c>
      <c r="D58" s="287">
        <f>inputPrYr!D52</f>
        <v>438400</v>
      </c>
      <c r="E58" s="507">
        <f>IF(E57&lt;0,"See Tab E","")</f>
      </c>
    </row>
    <row r="59" spans="2:5" ht="15.75">
      <c r="B59" s="295"/>
      <c r="C59" s="328">
        <f>IF(C56&gt;C58,"See Tab A","")</f>
      </c>
      <c r="D59" s="328">
        <f>IF(D56&gt;D58,"See Tab C","")</f>
      </c>
      <c r="E59" s="90"/>
    </row>
    <row r="60" spans="2:5" ht="15.75">
      <c r="B60" s="295"/>
      <c r="C60" s="328">
        <f>IF(C57&lt;0,"See Tab B","")</f>
      </c>
      <c r="D60" s="328">
        <f>IF(D57&lt;0,"See Tab D","")</f>
      </c>
      <c r="E60" s="90"/>
    </row>
    <row r="61" spans="2:5" ht="15.75">
      <c r="B61" s="90"/>
      <c r="C61" s="90"/>
      <c r="D61" s="90"/>
      <c r="E61" s="90"/>
    </row>
    <row r="62" spans="2:5" ht="15.75">
      <c r="B62" s="295" t="s">
        <v>190</v>
      </c>
      <c r="C62" s="356">
        <v>25</v>
      </c>
      <c r="D62" s="90"/>
      <c r="E62" s="90"/>
    </row>
  </sheetData>
  <sheetProtection sheet="1"/>
  <conditionalFormatting sqref="C24">
    <cfRule type="cellIs" priority="3" dxfId="426" operator="greaterThan" stopIfTrue="1">
      <formula>$C$26*0.1</formula>
    </cfRule>
  </conditionalFormatting>
  <conditionalFormatting sqref="D24">
    <cfRule type="cellIs" priority="4" dxfId="426" operator="greaterThan" stopIfTrue="1">
      <formula>$D$26*0.1</formula>
    </cfRule>
  </conditionalFormatting>
  <conditionalFormatting sqref="E24">
    <cfRule type="cellIs" priority="5" dxfId="426" operator="greaterThan" stopIfTrue="1">
      <formula>$E$26*0.1</formula>
    </cfRule>
  </conditionalFormatting>
  <conditionalFormatting sqref="C13">
    <cfRule type="cellIs" priority="6" dxfId="426" operator="greaterThan" stopIfTrue="1">
      <formula>$C$15*0.1</formula>
    </cfRule>
  </conditionalFormatting>
  <conditionalFormatting sqref="D13">
    <cfRule type="cellIs" priority="7" dxfId="426" operator="greaterThan" stopIfTrue="1">
      <formula>$D$15*0.1</formula>
    </cfRule>
  </conditionalFormatting>
  <conditionalFormatting sqref="E13">
    <cfRule type="cellIs" priority="8" dxfId="426" operator="greaterThan" stopIfTrue="1">
      <formula>$E$15*0.1</formula>
    </cfRule>
  </conditionalFormatting>
  <conditionalFormatting sqref="C43">
    <cfRule type="cellIs" priority="9" dxfId="426" operator="greaterThan" stopIfTrue="1">
      <formula>$C$45*0.1</formula>
    </cfRule>
  </conditionalFormatting>
  <conditionalFormatting sqref="D43">
    <cfRule type="cellIs" priority="10" dxfId="426" operator="greaterThan" stopIfTrue="1">
      <formula>$D$45*0.1</formula>
    </cfRule>
  </conditionalFormatting>
  <conditionalFormatting sqref="E43">
    <cfRule type="cellIs" priority="11" dxfId="426" operator="greaterThan" stopIfTrue="1">
      <formula>$E$45*0.1</formula>
    </cfRule>
  </conditionalFormatting>
  <conditionalFormatting sqref="C54">
    <cfRule type="cellIs" priority="12" dxfId="426" operator="greaterThan" stopIfTrue="1">
      <formula>$C$56*0.1</formula>
    </cfRule>
  </conditionalFormatting>
  <conditionalFormatting sqref="D54">
    <cfRule type="cellIs" priority="13" dxfId="426" operator="greaterThan" stopIfTrue="1">
      <formula>$D$56*0.1</formula>
    </cfRule>
  </conditionalFormatting>
  <conditionalFormatting sqref="E54">
    <cfRule type="cellIs" priority="14" dxfId="426" operator="greaterThan" stopIfTrue="1">
      <formula>$E$56*0.1</formula>
    </cfRule>
  </conditionalFormatting>
  <conditionalFormatting sqref="E57 C57 E27 C27">
    <cfRule type="cellIs" priority="15" dxfId="2" operator="lessThan" stopIfTrue="1">
      <formula>0</formula>
    </cfRule>
  </conditionalFormatting>
  <conditionalFormatting sqref="D26">
    <cfRule type="cellIs" priority="16" dxfId="2" operator="greaterThan" stopIfTrue="1">
      <formula>$D$28</formula>
    </cfRule>
  </conditionalFormatting>
  <conditionalFormatting sqref="C26">
    <cfRule type="cellIs" priority="17" dxfId="2" operator="greaterThan" stopIfTrue="1">
      <formula>$C$28</formula>
    </cfRule>
  </conditionalFormatting>
  <conditionalFormatting sqref="D56">
    <cfRule type="cellIs" priority="18" dxfId="2" operator="greaterThan" stopIfTrue="1">
      <formula>$D$58</formula>
    </cfRule>
  </conditionalFormatting>
  <conditionalFormatting sqref="C56">
    <cfRule type="cellIs" priority="19" dxfId="2" operator="greaterThan" stopIfTrue="1">
      <formula>$C$58</formula>
    </cfRule>
  </conditionalFormatting>
  <conditionalFormatting sqref="D27">
    <cfRule type="cellIs" priority="2" dxfId="0" operator="lessThan" stopIfTrue="1">
      <formula>0</formula>
    </cfRule>
  </conditionalFormatting>
  <conditionalFormatting sqref="D57">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4" r:id="rId1"/>
  <headerFooter alignWithMargins="0">
    <oddHeader>&amp;RState of Kansas
County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B1:E58"/>
  <sheetViews>
    <sheetView zoomScale="85" zoomScaleNormal="85" zoomScalePageLayoutView="0" workbookViewId="0" topLeftCell="A1">
      <selection activeCell="H67" sqref="H67"/>
    </sheetView>
  </sheetViews>
  <sheetFormatPr defaultColWidth="8.796875" defaultRowHeight="15"/>
  <cols>
    <col min="1" max="1" width="2.3984375" style="77" customWidth="1"/>
    <col min="2" max="2" width="31.09765625" style="77" customWidth="1"/>
    <col min="3" max="4" width="15.796875" style="77" customWidth="1"/>
    <col min="5" max="5" width="16.09765625" style="77" customWidth="1"/>
    <col min="6" max="16384" width="8.8984375" style="77" customWidth="1"/>
  </cols>
  <sheetData>
    <row r="1" spans="2:5" ht="15.75">
      <c r="B1" s="237" t="str">
        <f>(inputPrYr!C2)</f>
        <v>Geary County</v>
      </c>
      <c r="C1" s="90"/>
      <c r="D1" s="90"/>
      <c r="E1" s="294">
        <f>inputPrYr!C4</f>
        <v>2012</v>
      </c>
    </row>
    <row r="2" spans="2:5" ht="15.75">
      <c r="B2" s="90"/>
      <c r="C2" s="90"/>
      <c r="D2" s="90"/>
      <c r="E2" s="249"/>
    </row>
    <row r="3" spans="2:5" ht="15.75">
      <c r="B3" s="155" t="s">
        <v>240</v>
      </c>
      <c r="C3" s="340"/>
      <c r="D3" s="340"/>
      <c r="E3" s="341"/>
    </row>
    <row r="4" spans="2:5" ht="15.75">
      <c r="B4" s="90"/>
      <c r="C4" s="334"/>
      <c r="D4" s="334"/>
      <c r="E4" s="334"/>
    </row>
    <row r="5" spans="2:5" ht="15.75">
      <c r="B5" s="89" t="s">
        <v>162</v>
      </c>
      <c r="C5" s="577" t="str">
        <f>general!C4</f>
        <v>Prior Year Actual</v>
      </c>
      <c r="D5" s="479" t="str">
        <f>general!D4</f>
        <v>Current Year Estimate</v>
      </c>
      <c r="E5" s="479" t="str">
        <f>general!E4</f>
        <v>Proposed Budget Year</v>
      </c>
    </row>
    <row r="6" spans="2:5" ht="15.75">
      <c r="B6" s="512" t="str">
        <f>inputPrYr!B53</f>
        <v>Riley/Geary Mtg Bds (493)</v>
      </c>
      <c r="C6" s="323">
        <f>general!C5</f>
        <v>2010</v>
      </c>
      <c r="D6" s="323">
        <f>general!D5</f>
        <v>2011</v>
      </c>
      <c r="E6" s="323">
        <f>general!E5</f>
        <v>2012</v>
      </c>
    </row>
    <row r="7" spans="2:5" ht="15.75">
      <c r="B7" s="151" t="s">
        <v>281</v>
      </c>
      <c r="C7" s="116">
        <v>7197</v>
      </c>
      <c r="D7" s="273">
        <f>C26</f>
        <v>6181</v>
      </c>
      <c r="E7" s="273">
        <f>D26</f>
        <v>4281</v>
      </c>
    </row>
    <row r="8" spans="2:5" ht="15.75">
      <c r="B8" s="343" t="s">
        <v>283</v>
      </c>
      <c r="C8" s="112"/>
      <c r="D8" s="112"/>
      <c r="E8" s="112"/>
    </row>
    <row r="9" spans="2:5" ht="15.75">
      <c r="B9" s="325" t="s">
        <v>1039</v>
      </c>
      <c r="C9" s="116">
        <v>15984</v>
      </c>
      <c r="D9" s="116">
        <v>7000</v>
      </c>
      <c r="E9" s="116">
        <v>5000</v>
      </c>
    </row>
    <row r="10" spans="2:5" ht="15.75">
      <c r="B10" s="325"/>
      <c r="C10" s="116"/>
      <c r="D10" s="116"/>
      <c r="E10" s="116"/>
    </row>
    <row r="11" spans="2:5" ht="15.75">
      <c r="B11" s="325"/>
      <c r="C11" s="116"/>
      <c r="D11" s="116"/>
      <c r="E11" s="116"/>
    </row>
    <row r="12" spans="2:5" ht="15.75">
      <c r="B12" s="316" t="s">
        <v>170</v>
      </c>
      <c r="C12" s="116"/>
      <c r="D12" s="116"/>
      <c r="E12" s="116"/>
    </row>
    <row r="13" spans="2:5" ht="15.75">
      <c r="B13" s="317" t="s">
        <v>76</v>
      </c>
      <c r="C13" s="116"/>
      <c r="D13" s="312"/>
      <c r="E13" s="312"/>
    </row>
    <row r="14" spans="2:5" ht="15.75">
      <c r="B14" s="317" t="s">
        <v>682</v>
      </c>
      <c r="C14" s="509">
        <f>IF(C15*0.1&lt;C13,"Exceed 10% Rule","")</f>
      </c>
      <c r="D14" s="318">
        <f>IF(D15*0.1&lt;D13,"Exceed 10% Rule","")</f>
      </c>
      <c r="E14" s="318">
        <f>IF(E15*0.1&lt;E13,"Exceed 10% Rule","")</f>
      </c>
    </row>
    <row r="15" spans="2:5" ht="15.75">
      <c r="B15" s="319" t="s">
        <v>171</v>
      </c>
      <c r="C15" s="358">
        <f>SUM(C9:C13)</f>
        <v>15984</v>
      </c>
      <c r="D15" s="358">
        <f>SUM(D9:D13)</f>
        <v>7000</v>
      </c>
      <c r="E15" s="358">
        <f>SUM(E9:E13)</f>
        <v>5000</v>
      </c>
    </row>
    <row r="16" spans="2:5" ht="15.75">
      <c r="B16" s="319" t="s">
        <v>172</v>
      </c>
      <c r="C16" s="358">
        <f>C15+C7</f>
        <v>23181</v>
      </c>
      <c r="D16" s="358">
        <f>D15+D7</f>
        <v>13181</v>
      </c>
      <c r="E16" s="358">
        <f>E15+E7</f>
        <v>9281</v>
      </c>
    </row>
    <row r="17" spans="2:5" ht="15.75">
      <c r="B17" s="151" t="s">
        <v>175</v>
      </c>
      <c r="C17" s="273"/>
      <c r="D17" s="273"/>
      <c r="E17" s="273"/>
    </row>
    <row r="18" spans="2:5" ht="15.75">
      <c r="B18" s="718" t="s">
        <v>952</v>
      </c>
      <c r="C18" s="116">
        <v>17000</v>
      </c>
      <c r="D18" s="116">
        <v>8900</v>
      </c>
      <c r="E18" s="116">
        <v>9281</v>
      </c>
    </row>
    <row r="19" spans="2:5" ht="15.75">
      <c r="B19" s="325"/>
      <c r="C19" s="116"/>
      <c r="D19" s="116"/>
      <c r="E19" s="116"/>
    </row>
    <row r="20" spans="2:5" ht="15.75">
      <c r="B20" s="325"/>
      <c r="C20" s="116"/>
      <c r="D20" s="116"/>
      <c r="E20" s="116"/>
    </row>
    <row r="21" spans="2:5" ht="15.75">
      <c r="B21" s="325"/>
      <c r="C21" s="116"/>
      <c r="D21" s="116"/>
      <c r="E21" s="116"/>
    </row>
    <row r="22" spans="2:5" ht="15.75">
      <c r="B22" s="325"/>
      <c r="C22" s="116"/>
      <c r="D22" s="116"/>
      <c r="E22" s="116"/>
    </row>
    <row r="23" spans="2:5" ht="15.75">
      <c r="B23" s="317" t="s">
        <v>76</v>
      </c>
      <c r="C23" s="116"/>
      <c r="D23" s="312"/>
      <c r="E23" s="312"/>
    </row>
    <row r="24" spans="2:5" ht="15.75">
      <c r="B24" s="317" t="s">
        <v>681</v>
      </c>
      <c r="C24" s="509">
        <f>IF(C25*0.1&lt;C23,"Exceed 10% Rule","")</f>
      </c>
      <c r="D24" s="318">
        <f>IF(D25*0.1&lt;D23,"Exceed 10% Rule","")</f>
      </c>
      <c r="E24" s="318">
        <f>IF(E25*0.1&lt;E23,"Exceed 10% Rule","")</f>
      </c>
    </row>
    <row r="25" spans="2:5" ht="15.75">
      <c r="B25" s="319" t="s">
        <v>176</v>
      </c>
      <c r="C25" s="358">
        <f>SUM(C18:C23)</f>
        <v>17000</v>
      </c>
      <c r="D25" s="358">
        <f>SUM(D18:D23)</f>
        <v>8900</v>
      </c>
      <c r="E25" s="358">
        <f>SUM(E18:E23)</f>
        <v>9281</v>
      </c>
    </row>
    <row r="26" spans="2:5" ht="15.75">
      <c r="B26" s="151" t="s">
        <v>282</v>
      </c>
      <c r="C26" s="123">
        <f>C16-C25</f>
        <v>6181</v>
      </c>
      <c r="D26" s="123">
        <f>D16-D25</f>
        <v>4281</v>
      </c>
      <c r="E26" s="123">
        <f>E16-E25</f>
        <v>0</v>
      </c>
    </row>
    <row r="27" spans="2:5" ht="15.75">
      <c r="B27" s="295" t="str">
        <f>CONCATENATE("",E$1-2,"/",E$1-1," Budget Authority Amount:")</f>
        <v>2010/2011 Budget Authority Amount:</v>
      </c>
      <c r="C27" s="287">
        <f>inputOth!B66</f>
        <v>17000</v>
      </c>
      <c r="D27" s="287">
        <f>inputPrYr!D53</f>
        <v>8900</v>
      </c>
      <c r="E27" s="508">
        <f>IF(E26&lt;0,"See Tab E","")</f>
      </c>
    </row>
    <row r="28" spans="2:5" ht="15.75">
      <c r="B28" s="295"/>
      <c r="C28" s="328">
        <f>IF(C25&gt;C27,"See Tab A","")</f>
      </c>
      <c r="D28" s="328">
        <f>IF(D25&gt;D27,"See Tab C","")</f>
      </c>
      <c r="E28" s="148"/>
    </row>
    <row r="29" spans="2:5" ht="15.75">
      <c r="B29" s="295"/>
      <c r="C29" s="328">
        <f>IF(C26&lt;0,"See Tab B","")</f>
      </c>
      <c r="D29" s="328">
        <f>IF(D26&lt;0,"See Tab D","")</f>
      </c>
      <c r="E29" s="148"/>
    </row>
    <row r="30" spans="2:5" ht="15.75">
      <c r="B30" s="90"/>
      <c r="C30" s="148"/>
      <c r="D30" s="148"/>
      <c r="E30" s="148"/>
    </row>
    <row r="31" spans="2:5" ht="15.75">
      <c r="B31" s="89" t="s">
        <v>162</v>
      </c>
      <c r="C31" s="334"/>
      <c r="D31" s="334"/>
      <c r="E31" s="334"/>
    </row>
    <row r="32" spans="2:5" ht="15.75">
      <c r="B32" s="90"/>
      <c r="C32" s="577" t="str">
        <f aca="true" t="shared" si="0" ref="C32:E33">C5</f>
        <v>Prior Year Actual</v>
      </c>
      <c r="D32" s="479" t="str">
        <f t="shared" si="0"/>
        <v>Current Year Estimate</v>
      </c>
      <c r="E32" s="479" t="str">
        <f t="shared" si="0"/>
        <v>Proposed Budget Year</v>
      </c>
    </row>
    <row r="33" spans="2:5" ht="15.75">
      <c r="B33" s="511" t="str">
        <f>inputPrYr!B54</f>
        <v>E911 Cell Phone (49)</v>
      </c>
      <c r="C33" s="576">
        <f t="shared" si="0"/>
        <v>2010</v>
      </c>
      <c r="D33" s="576">
        <f t="shared" si="0"/>
        <v>2011</v>
      </c>
      <c r="E33" s="576">
        <f t="shared" si="0"/>
        <v>2012</v>
      </c>
    </row>
    <row r="34" spans="2:5" ht="15.75">
      <c r="B34" s="151" t="s">
        <v>281</v>
      </c>
      <c r="C34" s="116">
        <v>317042</v>
      </c>
      <c r="D34" s="273">
        <f>C53</f>
        <v>401215</v>
      </c>
      <c r="E34" s="273">
        <f>D53</f>
        <v>261215</v>
      </c>
    </row>
    <row r="35" spans="2:5" ht="15.75">
      <c r="B35" s="151" t="s">
        <v>283</v>
      </c>
      <c r="C35" s="112"/>
      <c r="D35" s="112"/>
      <c r="E35" s="112"/>
    </row>
    <row r="36" spans="2:5" ht="15.75">
      <c r="B36" s="325" t="s">
        <v>1039</v>
      </c>
      <c r="C36" s="116">
        <v>84173</v>
      </c>
      <c r="D36" s="116">
        <v>85000</v>
      </c>
      <c r="E36" s="116">
        <v>100000</v>
      </c>
    </row>
    <row r="37" spans="2:5" ht="15.75">
      <c r="B37" s="325"/>
      <c r="C37" s="116"/>
      <c r="D37" s="116"/>
      <c r="E37" s="116"/>
    </row>
    <row r="38" spans="2:5" ht="15.75">
      <c r="B38" s="325"/>
      <c r="C38" s="116"/>
      <c r="D38" s="116"/>
      <c r="E38" s="116"/>
    </row>
    <row r="39" spans="2:5" ht="15.75">
      <c r="B39" s="316" t="s">
        <v>170</v>
      </c>
      <c r="C39" s="116"/>
      <c r="D39" s="116"/>
      <c r="E39" s="116"/>
    </row>
    <row r="40" spans="2:5" ht="15.75">
      <c r="B40" s="317" t="s">
        <v>76</v>
      </c>
      <c r="C40" s="116"/>
      <c r="D40" s="312"/>
      <c r="E40" s="312"/>
    </row>
    <row r="41" spans="2:5" ht="15.75">
      <c r="B41" s="317" t="s">
        <v>682</v>
      </c>
      <c r="C41" s="509">
        <f>IF(C42*0.1&lt;C40,"Exceed 10% Rule","")</f>
      </c>
      <c r="D41" s="318">
        <f>IF(D42*0.1&lt;D40,"Exceed 10% Rule","")</f>
      </c>
      <c r="E41" s="318">
        <f>IF(E42*0.1&lt;E40,"Exceed 10% Rule","")</f>
      </c>
    </row>
    <row r="42" spans="2:5" ht="15.75">
      <c r="B42" s="319" t="s">
        <v>171</v>
      </c>
      <c r="C42" s="358">
        <f>SUM(C36:C40)</f>
        <v>84173</v>
      </c>
      <c r="D42" s="358">
        <f>SUM(D36:D40)</f>
        <v>85000</v>
      </c>
      <c r="E42" s="358">
        <f>SUM(E36:E40)</f>
        <v>100000</v>
      </c>
    </row>
    <row r="43" spans="2:5" ht="15.75">
      <c r="B43" s="319" t="s">
        <v>172</v>
      </c>
      <c r="C43" s="358">
        <f>C34+C42</f>
        <v>401215</v>
      </c>
      <c r="D43" s="358">
        <f>D34+D42</f>
        <v>486215</v>
      </c>
      <c r="E43" s="358">
        <f>E34+E42</f>
        <v>361215</v>
      </c>
    </row>
    <row r="44" spans="2:5" ht="15.75">
      <c r="B44" s="151" t="s">
        <v>175</v>
      </c>
      <c r="C44" s="273"/>
      <c r="D44" s="273"/>
      <c r="E44" s="273"/>
    </row>
    <row r="45" spans="2:5" ht="15.75">
      <c r="B45" s="719" t="s">
        <v>1040</v>
      </c>
      <c r="C45" s="116"/>
      <c r="D45" s="116">
        <v>225000</v>
      </c>
      <c r="E45" s="116">
        <v>361215</v>
      </c>
    </row>
    <row r="46" spans="2:5" ht="15.75">
      <c r="B46" s="325"/>
      <c r="C46" s="116"/>
      <c r="D46" s="116"/>
      <c r="E46" s="116"/>
    </row>
    <row r="47" spans="2:5" ht="15.75">
      <c r="B47" s="325"/>
      <c r="C47" s="116"/>
      <c r="D47" s="116"/>
      <c r="E47" s="116"/>
    </row>
    <row r="48" spans="2:5" ht="15.75">
      <c r="B48" s="325"/>
      <c r="C48" s="116"/>
      <c r="D48" s="116"/>
      <c r="E48" s="116"/>
    </row>
    <row r="49" spans="2:5" ht="15.75">
      <c r="B49" s="325"/>
      <c r="C49" s="116"/>
      <c r="D49" s="116"/>
      <c r="E49" s="116"/>
    </row>
    <row r="50" spans="2:5" ht="15.75">
      <c r="B50" s="317" t="s">
        <v>76</v>
      </c>
      <c r="C50" s="116"/>
      <c r="D50" s="312"/>
      <c r="E50" s="312"/>
    </row>
    <row r="51" spans="2:5" ht="15.75">
      <c r="B51" s="317" t="s">
        <v>681</v>
      </c>
      <c r="C51" s="509">
        <f>IF(C52*0.1&lt;C50,"Exceed 10% Rule","")</f>
      </c>
      <c r="D51" s="318">
        <f>IF(D52*0.1&lt;D50,"Exceed 10% Rule","")</f>
      </c>
      <c r="E51" s="318">
        <f>IF(E52*0.1&lt;E50,"Exceed 10% Rule","")</f>
      </c>
    </row>
    <row r="52" spans="2:5" ht="15.75">
      <c r="B52" s="319" t="s">
        <v>176</v>
      </c>
      <c r="C52" s="358">
        <f>SUM(C45:C50)</f>
        <v>0</v>
      </c>
      <c r="D52" s="358">
        <f>SUM(D45:D50)</f>
        <v>225000</v>
      </c>
      <c r="E52" s="358">
        <f>SUM(E45:E50)</f>
        <v>361215</v>
      </c>
    </row>
    <row r="53" spans="2:5" ht="15.75">
      <c r="B53" s="151" t="s">
        <v>282</v>
      </c>
      <c r="C53" s="123">
        <f>C43-C52</f>
        <v>401215</v>
      </c>
      <c r="D53" s="123">
        <f>D43-D52</f>
        <v>261215</v>
      </c>
      <c r="E53" s="123">
        <f>E43-E52</f>
        <v>0</v>
      </c>
    </row>
    <row r="54" spans="2:5" ht="15.75">
      <c r="B54" s="295" t="str">
        <f>CONCATENATE("",E$1-2,"/",E$1-1," Budget Authority Amount:")</f>
        <v>2010/2011 Budget Authority Amount:</v>
      </c>
      <c r="C54" s="287">
        <f>inputOth!B67</f>
        <v>281753</v>
      </c>
      <c r="D54" s="287">
        <f>inputPrYr!D54</f>
        <v>452042</v>
      </c>
      <c r="E54" s="507">
        <f>IF(E53&lt;0,"See Tab E","")</f>
      </c>
    </row>
    <row r="55" spans="2:5" ht="15.75">
      <c r="B55" s="295"/>
      <c r="C55" s="328">
        <f>IF(C52&gt;C54,"See Tab A","")</f>
      </c>
      <c r="D55" s="328">
        <f>IF(D52&gt;D54,"See Tab C","")</f>
      </c>
      <c r="E55" s="90"/>
    </row>
    <row r="56" spans="2:5" ht="15.75">
      <c r="B56" s="295"/>
      <c r="C56" s="328">
        <f>IF(C53&lt;0,"See Tab B","")</f>
      </c>
      <c r="D56" s="328">
        <f>IF(D53&lt;0,"See Tab D","")</f>
      </c>
      <c r="E56" s="90"/>
    </row>
    <row r="57" spans="2:5" ht="15.75">
      <c r="B57" s="90"/>
      <c r="C57" s="90"/>
      <c r="D57" s="90"/>
      <c r="E57" s="90"/>
    </row>
    <row r="58" spans="2:5" ht="15.75">
      <c r="B58" s="295" t="s">
        <v>190</v>
      </c>
      <c r="C58" s="356">
        <v>26</v>
      </c>
      <c r="D58" s="90"/>
      <c r="E58" s="90"/>
    </row>
  </sheetData>
  <sheetProtection sheet="1"/>
  <conditionalFormatting sqref="C23">
    <cfRule type="cellIs" priority="2" dxfId="426" operator="greaterThan" stopIfTrue="1">
      <formula>$C$25*0.1</formula>
    </cfRule>
  </conditionalFormatting>
  <conditionalFormatting sqref="D23">
    <cfRule type="cellIs" priority="3" dxfId="426" operator="greaterThan" stopIfTrue="1">
      <formula>$D$25*0.1</formula>
    </cfRule>
  </conditionalFormatting>
  <conditionalFormatting sqref="E23">
    <cfRule type="cellIs" priority="4" dxfId="426" operator="greaterThan" stopIfTrue="1">
      <formula>$E$25*0.1</formula>
    </cfRule>
  </conditionalFormatting>
  <conditionalFormatting sqref="C13">
    <cfRule type="cellIs" priority="5" dxfId="426" operator="greaterThan" stopIfTrue="1">
      <formula>$C$15*0.1</formula>
    </cfRule>
  </conditionalFormatting>
  <conditionalFormatting sqref="D13">
    <cfRule type="cellIs" priority="6" dxfId="426" operator="greaterThan" stopIfTrue="1">
      <formula>$D$15*0.1</formula>
    </cfRule>
  </conditionalFormatting>
  <conditionalFormatting sqref="E13">
    <cfRule type="cellIs" priority="7" dxfId="426" operator="greaterThan" stopIfTrue="1">
      <formula>$E$15*0.1</formula>
    </cfRule>
  </conditionalFormatting>
  <conditionalFormatting sqref="C40">
    <cfRule type="cellIs" priority="8" dxfId="426" operator="greaterThan" stopIfTrue="1">
      <formula>$C$42*0.1</formula>
    </cfRule>
  </conditionalFormatting>
  <conditionalFormatting sqref="D40">
    <cfRule type="cellIs" priority="9" dxfId="426" operator="greaterThan" stopIfTrue="1">
      <formula>$D$42*0.1</formula>
    </cfRule>
  </conditionalFormatting>
  <conditionalFormatting sqref="E40">
    <cfRule type="cellIs" priority="10" dxfId="426" operator="greaterThan" stopIfTrue="1">
      <formula>$E$42*0.1</formula>
    </cfRule>
  </conditionalFormatting>
  <conditionalFormatting sqref="C50">
    <cfRule type="cellIs" priority="11" dxfId="426" operator="greaterThan" stopIfTrue="1">
      <formula>$C$52*0.1</formula>
    </cfRule>
  </conditionalFormatting>
  <conditionalFormatting sqref="D50">
    <cfRule type="cellIs" priority="12" dxfId="426" operator="greaterThan" stopIfTrue="1">
      <formula>$D$52*0.1</formula>
    </cfRule>
  </conditionalFormatting>
  <conditionalFormatting sqref="E50">
    <cfRule type="cellIs" priority="13" dxfId="426" operator="greaterThan" stopIfTrue="1">
      <formula>$E$52*0.1</formula>
    </cfRule>
  </conditionalFormatting>
  <conditionalFormatting sqref="E53 C53 E26 C26">
    <cfRule type="cellIs" priority="14" dxfId="2" operator="lessThan" stopIfTrue="1">
      <formula>0</formula>
    </cfRule>
  </conditionalFormatting>
  <conditionalFormatting sqref="D25">
    <cfRule type="cellIs" priority="15" dxfId="2" operator="greaterThan" stopIfTrue="1">
      <formula>$D$27</formula>
    </cfRule>
  </conditionalFormatting>
  <conditionalFormatting sqref="C25">
    <cfRule type="cellIs" priority="16" dxfId="2" operator="greaterThan" stopIfTrue="1">
      <formula>$C$27</formula>
    </cfRule>
  </conditionalFormatting>
  <conditionalFormatting sqref="D52">
    <cfRule type="cellIs" priority="17" dxfId="2" operator="greaterThan" stopIfTrue="1">
      <formula>$D$54</formula>
    </cfRule>
  </conditionalFormatting>
  <conditionalFormatting sqref="C52">
    <cfRule type="cellIs" priority="18" dxfId="2" operator="greaterThan" stopIfTrue="1">
      <formula>$C$54</formula>
    </cfRule>
  </conditionalFormatting>
  <conditionalFormatting sqref="D26">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9" r:id="rId1"/>
  <headerFooter alignWithMargins="0">
    <oddHeader>&amp;RState of Kansas
County
</oddHeader>
  </headerFooter>
</worksheet>
</file>

<file path=xl/worksheets/sheet34.xml><?xml version="1.0" encoding="utf-8"?>
<worksheet xmlns="http://schemas.openxmlformats.org/spreadsheetml/2006/main" xmlns:r="http://schemas.openxmlformats.org/officeDocument/2006/relationships">
  <sheetPr>
    <pageSetUpPr fitToPage="1"/>
  </sheetPr>
  <dimension ref="B1:E61"/>
  <sheetViews>
    <sheetView zoomScale="85" zoomScaleNormal="85" zoomScalePageLayoutView="0" workbookViewId="0" topLeftCell="A1">
      <selection activeCell="H67" sqref="H67"/>
    </sheetView>
  </sheetViews>
  <sheetFormatPr defaultColWidth="8.796875" defaultRowHeight="15"/>
  <cols>
    <col min="1" max="1" width="2.3984375" style="77" customWidth="1"/>
    <col min="2" max="2" width="31.09765625" style="77" customWidth="1"/>
    <col min="3" max="4" width="15.796875" style="77" customWidth="1"/>
    <col min="5" max="5" width="16.09765625" style="77" customWidth="1"/>
    <col min="6" max="16384" width="8.8984375" style="77" customWidth="1"/>
  </cols>
  <sheetData>
    <row r="1" spans="2:5" ht="15.75">
      <c r="B1" s="237" t="str">
        <f>(inputPrYr!C2)</f>
        <v>Geary County</v>
      </c>
      <c r="C1" s="90"/>
      <c r="D1" s="90"/>
      <c r="E1" s="294">
        <f>inputPrYr!C4</f>
        <v>2012</v>
      </c>
    </row>
    <row r="2" spans="2:5" ht="15.75">
      <c r="B2" s="90"/>
      <c r="C2" s="90"/>
      <c r="D2" s="90"/>
      <c r="E2" s="249"/>
    </row>
    <row r="3" spans="2:5" ht="15.75">
      <c r="B3" s="155" t="s">
        <v>240</v>
      </c>
      <c r="C3" s="340"/>
      <c r="D3" s="340"/>
      <c r="E3" s="341"/>
    </row>
    <row r="4" spans="2:5" ht="15.75">
      <c r="B4" s="90"/>
      <c r="C4" s="334"/>
      <c r="D4" s="334"/>
      <c r="E4" s="334"/>
    </row>
    <row r="5" spans="2:5" ht="15.75">
      <c r="B5" s="89" t="s">
        <v>162</v>
      </c>
      <c r="C5" s="577" t="str">
        <f>general!C4</f>
        <v>Prior Year Actual</v>
      </c>
      <c r="D5" s="479" t="str">
        <f>general!D4</f>
        <v>Current Year Estimate</v>
      </c>
      <c r="E5" s="479" t="str">
        <f>general!E4</f>
        <v>Proposed Budget Year</v>
      </c>
    </row>
    <row r="6" spans="2:5" ht="15.75">
      <c r="B6" s="512" t="str">
        <f>inputPrYr!B55</f>
        <v>Sol Waste Environ Haz (30)</v>
      </c>
      <c r="C6" s="323">
        <f>general!C5</f>
        <v>2010</v>
      </c>
      <c r="D6" s="323">
        <f>general!D5</f>
        <v>2011</v>
      </c>
      <c r="E6" s="310">
        <f>general!E5</f>
        <v>2012</v>
      </c>
    </row>
    <row r="7" spans="2:5" ht="15.75">
      <c r="B7" s="151" t="s">
        <v>281</v>
      </c>
      <c r="C7" s="116">
        <v>194721</v>
      </c>
      <c r="D7" s="273">
        <f>C26</f>
        <v>194721</v>
      </c>
      <c r="E7" s="273">
        <f>D26</f>
        <v>194721</v>
      </c>
    </row>
    <row r="8" spans="2:5" ht="15.75">
      <c r="B8" s="343" t="s">
        <v>283</v>
      </c>
      <c r="C8" s="112"/>
      <c r="D8" s="112"/>
      <c r="E8" s="112"/>
    </row>
    <row r="9" spans="2:5" ht="15.75">
      <c r="B9" s="325"/>
      <c r="C9" s="116"/>
      <c r="D9" s="116"/>
      <c r="E9" s="116"/>
    </row>
    <row r="10" spans="2:5" ht="15.75">
      <c r="B10" s="325"/>
      <c r="C10" s="116"/>
      <c r="D10" s="116"/>
      <c r="E10" s="116"/>
    </row>
    <row r="11" spans="2:5" ht="15.75">
      <c r="B11" s="325"/>
      <c r="C11" s="116"/>
      <c r="D11" s="116"/>
      <c r="E11" s="116"/>
    </row>
    <row r="12" spans="2:5" ht="15.75">
      <c r="B12" s="316" t="s">
        <v>170</v>
      </c>
      <c r="C12" s="116"/>
      <c r="D12" s="116"/>
      <c r="E12" s="116"/>
    </row>
    <row r="13" spans="2:5" ht="15.75">
      <c r="B13" s="317" t="s">
        <v>76</v>
      </c>
      <c r="C13" s="116"/>
      <c r="D13" s="312"/>
      <c r="E13" s="312"/>
    </row>
    <row r="14" spans="2:5" ht="15.75">
      <c r="B14" s="317" t="s">
        <v>682</v>
      </c>
      <c r="C14" s="509">
        <f>IF(C15*0.1&lt;C13,"Exceed 10% Rule","")</f>
      </c>
      <c r="D14" s="318">
        <f>IF(D15*0.1&lt;D13,"Exceed 10% Rule","")</f>
      </c>
      <c r="E14" s="318">
        <f>IF(E15*0.1&lt;E13,"Exceed 10% Rule","")</f>
      </c>
    </row>
    <row r="15" spans="2:5" ht="15.75">
      <c r="B15" s="319" t="s">
        <v>171</v>
      </c>
      <c r="C15" s="358">
        <f>SUM(C9:C13)</f>
        <v>0</v>
      </c>
      <c r="D15" s="358">
        <f>SUM(D9:D13)</f>
        <v>0</v>
      </c>
      <c r="E15" s="358">
        <f>SUM(E9:E13)</f>
        <v>0</v>
      </c>
    </row>
    <row r="16" spans="2:5" ht="15.75">
      <c r="B16" s="319" t="s">
        <v>172</v>
      </c>
      <c r="C16" s="358">
        <f>C15+C7</f>
        <v>194721</v>
      </c>
      <c r="D16" s="358">
        <f>D15+D7</f>
        <v>194721</v>
      </c>
      <c r="E16" s="358">
        <f>E15+E7</f>
        <v>194721</v>
      </c>
    </row>
    <row r="17" spans="2:5" ht="15.75">
      <c r="B17" s="151" t="s">
        <v>175</v>
      </c>
      <c r="C17" s="273"/>
      <c r="D17" s="273"/>
      <c r="E17" s="273"/>
    </row>
    <row r="18" spans="2:5" ht="15.75">
      <c r="B18" s="720" t="s">
        <v>972</v>
      </c>
      <c r="C18" s="116"/>
      <c r="D18" s="116">
        <v>0</v>
      </c>
      <c r="E18" s="116">
        <v>194721</v>
      </c>
    </row>
    <row r="19" spans="2:5" ht="15.75">
      <c r="B19" s="325"/>
      <c r="C19" s="116"/>
      <c r="D19" s="116"/>
      <c r="E19" s="116"/>
    </row>
    <row r="20" spans="2:5" ht="15.75">
      <c r="B20" s="325"/>
      <c r="C20" s="116"/>
      <c r="D20" s="116"/>
      <c r="E20" s="116"/>
    </row>
    <row r="21" spans="2:5" ht="15.75">
      <c r="B21" s="325"/>
      <c r="C21" s="116"/>
      <c r="D21" s="116"/>
      <c r="E21" s="116"/>
    </row>
    <row r="22" spans="2:5" ht="15.75">
      <c r="B22" s="325"/>
      <c r="C22" s="116"/>
      <c r="D22" s="116"/>
      <c r="E22" s="116"/>
    </row>
    <row r="23" spans="2:5" ht="15.75">
      <c r="B23" s="317" t="s">
        <v>76</v>
      </c>
      <c r="C23" s="116"/>
      <c r="D23" s="312"/>
      <c r="E23" s="312"/>
    </row>
    <row r="24" spans="2:5" ht="15.75">
      <c r="B24" s="317" t="s">
        <v>681</v>
      </c>
      <c r="C24" s="509">
        <f>IF(C25*0.1&lt;C23,"Exceed 10% Rule","")</f>
      </c>
      <c r="D24" s="318">
        <f>IF(D25*0.1&lt;D23,"Exceed 10% Rule","")</f>
      </c>
      <c r="E24" s="318">
        <f>IF(E25*0.1&lt;E23,"Exceed 10% Rule","")</f>
      </c>
    </row>
    <row r="25" spans="2:5" ht="15.75">
      <c r="B25" s="319" t="s">
        <v>176</v>
      </c>
      <c r="C25" s="358">
        <f>SUM(C18:C23)</f>
        <v>0</v>
      </c>
      <c r="D25" s="358">
        <f>SUM(D18:D23)</f>
        <v>0</v>
      </c>
      <c r="E25" s="358">
        <f>SUM(E18:E23)</f>
        <v>194721</v>
      </c>
    </row>
    <row r="26" spans="2:5" ht="15.75">
      <c r="B26" s="151" t="s">
        <v>282</v>
      </c>
      <c r="C26" s="123">
        <f>C16-C25</f>
        <v>194721</v>
      </c>
      <c r="D26" s="123">
        <f>D16-D25</f>
        <v>194721</v>
      </c>
      <c r="E26" s="123">
        <f>E16-E25</f>
        <v>0</v>
      </c>
    </row>
    <row r="27" spans="2:5" ht="15.75">
      <c r="B27" s="295" t="str">
        <f>CONCATENATE("",E$1-2,"/",E$1-1," Budget Authority Amount:")</f>
        <v>2010/2011 Budget Authority Amount:</v>
      </c>
      <c r="C27" s="287">
        <f>inputOth!B68</f>
        <v>194721</v>
      </c>
      <c r="D27" s="287">
        <f>inputPrYr!D55</f>
        <v>194721</v>
      </c>
      <c r="E27" s="508">
        <f>IF(E26&lt;0,"See Tab E","")</f>
      </c>
    </row>
    <row r="28" spans="2:5" ht="15.75">
      <c r="B28" s="295"/>
      <c r="C28" s="328">
        <f>IF(C25&gt;C27,"See Tab A","")</f>
      </c>
      <c r="D28" s="328">
        <f>IF(D25&gt;D27,"See Tab C","")</f>
      </c>
      <c r="E28" s="148"/>
    </row>
    <row r="29" spans="2:5" ht="15.75">
      <c r="B29" s="295"/>
      <c r="C29" s="328">
        <f>IF(C26&lt;0,"See Tab B","")</f>
      </c>
      <c r="D29" s="328">
        <f>IF(D26&lt;0,"See Tab D","")</f>
      </c>
      <c r="E29" s="148"/>
    </row>
    <row r="30" spans="2:5" ht="15.75">
      <c r="B30" s="90"/>
      <c r="C30" s="148"/>
      <c r="D30" s="148"/>
      <c r="E30" s="148"/>
    </row>
    <row r="31" spans="2:5" ht="15.75">
      <c r="B31" s="89" t="s">
        <v>162</v>
      </c>
      <c r="C31" s="334"/>
      <c r="D31" s="334"/>
      <c r="E31" s="334"/>
    </row>
    <row r="32" spans="2:5" ht="15.75">
      <c r="B32" s="90"/>
      <c r="C32" s="577" t="str">
        <f aca="true" t="shared" si="0" ref="C32:E33">C5</f>
        <v>Prior Year Actual</v>
      </c>
      <c r="D32" s="479" t="str">
        <f t="shared" si="0"/>
        <v>Current Year Estimate</v>
      </c>
      <c r="E32" s="479" t="str">
        <f t="shared" si="0"/>
        <v>Proposed Budget Year</v>
      </c>
    </row>
    <row r="33" spans="2:5" ht="15.75">
      <c r="B33" s="512" t="str">
        <f>inputPrYr!B56</f>
        <v>Concealed Weapon/ KORA (48)</v>
      </c>
      <c r="C33" s="323">
        <f t="shared" si="0"/>
        <v>2010</v>
      </c>
      <c r="D33" s="323">
        <f t="shared" si="0"/>
        <v>2011</v>
      </c>
      <c r="E33" s="310">
        <f t="shared" si="0"/>
        <v>2012</v>
      </c>
    </row>
    <row r="34" spans="2:5" ht="15.75">
      <c r="B34" s="151" t="s">
        <v>281</v>
      </c>
      <c r="C34" s="116">
        <v>0</v>
      </c>
      <c r="D34" s="273">
        <f>C56</f>
        <v>18835</v>
      </c>
      <c r="E34" s="273">
        <f>D56</f>
        <v>18835</v>
      </c>
    </row>
    <row r="35" spans="2:5" ht="15.75">
      <c r="B35" s="343" t="s">
        <v>283</v>
      </c>
      <c r="C35" s="112"/>
      <c r="D35" s="112"/>
      <c r="E35" s="112"/>
    </row>
    <row r="36" spans="2:5" ht="15.75">
      <c r="B36" s="721" t="s">
        <v>1067</v>
      </c>
      <c r="C36" s="116">
        <v>6713</v>
      </c>
      <c r="D36" s="116">
        <v>5000</v>
      </c>
      <c r="E36" s="116">
        <v>3000</v>
      </c>
    </row>
    <row r="37" spans="2:5" ht="15.75">
      <c r="B37" s="721" t="s">
        <v>1041</v>
      </c>
      <c r="C37" s="116">
        <v>1580</v>
      </c>
      <c r="D37" s="116">
        <v>5000</v>
      </c>
      <c r="E37" s="116">
        <v>5000</v>
      </c>
    </row>
    <row r="38" spans="2:5" ht="15.75">
      <c r="B38" s="721" t="s">
        <v>1065</v>
      </c>
      <c r="C38" s="116">
        <v>12385</v>
      </c>
      <c r="D38" s="116"/>
      <c r="E38" s="116"/>
    </row>
    <row r="39" spans="2:5" ht="15.75">
      <c r="B39" s="721" t="s">
        <v>1066</v>
      </c>
      <c r="C39" s="116">
        <v>7525</v>
      </c>
      <c r="D39" s="116"/>
      <c r="E39" s="116"/>
    </row>
    <row r="40" spans="2:5" ht="15.75">
      <c r="B40" s="325"/>
      <c r="C40" s="116"/>
      <c r="D40" s="116"/>
      <c r="E40" s="116"/>
    </row>
    <row r="41" spans="2:5" ht="15.75">
      <c r="B41" s="316" t="s">
        <v>170</v>
      </c>
      <c r="C41" s="116"/>
      <c r="D41" s="116"/>
      <c r="E41" s="116"/>
    </row>
    <row r="42" spans="2:5" ht="15.75">
      <c r="B42" s="317" t="s">
        <v>76</v>
      </c>
      <c r="C42" s="116"/>
      <c r="D42" s="312"/>
      <c r="E42" s="312"/>
    </row>
    <row r="43" spans="2:5" ht="15.75">
      <c r="B43" s="317" t="s">
        <v>682</v>
      </c>
      <c r="C43" s="509">
        <f>IF(C44*0.1&lt;C42,"Exceed 10% Rule","")</f>
      </c>
      <c r="D43" s="318">
        <f>IF(D44*0.1&lt;D42,"Exceed 10% Rule","")</f>
      </c>
      <c r="E43" s="318">
        <f>IF(E44*0.1&lt;E42,"Exceed 10% Rule","")</f>
      </c>
    </row>
    <row r="44" spans="2:5" ht="15.75">
      <c r="B44" s="319" t="s">
        <v>171</v>
      </c>
      <c r="C44" s="358">
        <f>SUM(C36:C42)</f>
        <v>28203</v>
      </c>
      <c r="D44" s="358">
        <f>SUM(D36:D42)</f>
        <v>10000</v>
      </c>
      <c r="E44" s="358">
        <f>SUM(E36:E42)</f>
        <v>8000</v>
      </c>
    </row>
    <row r="45" spans="2:5" ht="15.75">
      <c r="B45" s="319" t="s">
        <v>172</v>
      </c>
      <c r="C45" s="358">
        <f>C34+C44</f>
        <v>28203</v>
      </c>
      <c r="D45" s="358">
        <f>D34+D44</f>
        <v>28835</v>
      </c>
      <c r="E45" s="358">
        <f>E34+E44</f>
        <v>26835</v>
      </c>
    </row>
    <row r="46" spans="2:5" ht="15.75">
      <c r="B46" s="151" t="s">
        <v>175</v>
      </c>
      <c r="C46" s="273"/>
      <c r="D46" s="273"/>
      <c r="E46" s="273"/>
    </row>
    <row r="47" spans="2:5" ht="15.75">
      <c r="B47" s="722" t="s">
        <v>1042</v>
      </c>
      <c r="C47" s="116"/>
      <c r="D47" s="116">
        <v>10000</v>
      </c>
      <c r="E47" s="116">
        <v>26835</v>
      </c>
    </row>
    <row r="48" spans="2:5" ht="15.75">
      <c r="B48" s="325" t="s">
        <v>978</v>
      </c>
      <c r="C48" s="116">
        <v>4290</v>
      </c>
      <c r="D48" s="116"/>
      <c r="E48" s="116"/>
    </row>
    <row r="49" spans="2:5" ht="15.75">
      <c r="B49" s="325" t="s">
        <v>972</v>
      </c>
      <c r="C49" s="116">
        <v>5078</v>
      </c>
      <c r="D49" s="116"/>
      <c r="E49" s="116"/>
    </row>
    <row r="50" spans="2:5" ht="15.75">
      <c r="B50" s="325"/>
      <c r="C50" s="116"/>
      <c r="D50" s="116"/>
      <c r="E50" s="116"/>
    </row>
    <row r="51" spans="2:5" ht="15.75">
      <c r="B51" s="325"/>
      <c r="C51" s="116"/>
      <c r="D51" s="116"/>
      <c r="E51" s="116"/>
    </row>
    <row r="52" spans="2:5" ht="15.75">
      <c r="B52" s="325"/>
      <c r="C52" s="116"/>
      <c r="D52" s="116"/>
      <c r="E52" s="116"/>
    </row>
    <row r="53" spans="2:5" ht="15.75">
      <c r="B53" s="317" t="s">
        <v>76</v>
      </c>
      <c r="C53" s="116"/>
      <c r="D53" s="312"/>
      <c r="E53" s="312"/>
    </row>
    <row r="54" spans="2:5" ht="15.75">
      <c r="B54" s="317" t="s">
        <v>681</v>
      </c>
      <c r="C54" s="509">
        <f>IF(C55*0.1&lt;C53,"Exceed 10% Rule","")</f>
      </c>
      <c r="D54" s="318">
        <f>IF(D55*0.1&lt;D53,"Exceed 10% Rule","")</f>
      </c>
      <c r="E54" s="318">
        <f>IF(E55*0.1&lt;E53,"Exceed 10% Rule","")</f>
      </c>
    </row>
    <row r="55" spans="2:5" ht="15.75">
      <c r="B55" s="319" t="s">
        <v>176</v>
      </c>
      <c r="C55" s="358">
        <f>SUM(C47:C53)</f>
        <v>9368</v>
      </c>
      <c r="D55" s="358">
        <f>SUM(D47:D53)</f>
        <v>10000</v>
      </c>
      <c r="E55" s="358">
        <f>SUM(E47:E53)</f>
        <v>26835</v>
      </c>
    </row>
    <row r="56" spans="2:5" ht="15.75">
      <c r="B56" s="151" t="s">
        <v>282</v>
      </c>
      <c r="C56" s="123">
        <f>C45-C55</f>
        <v>18835</v>
      </c>
      <c r="D56" s="123">
        <f>D45-D55</f>
        <v>18835</v>
      </c>
      <c r="E56" s="123">
        <f>E45-E55</f>
        <v>0</v>
      </c>
    </row>
    <row r="57" spans="2:5" ht="15.75">
      <c r="B57" s="295" t="str">
        <f>CONCATENATE("",E$1-2,"/",E$1-1," Budget Authority Amount:")</f>
        <v>2010/2011 Budget Authority Amount:</v>
      </c>
      <c r="C57" s="287">
        <f>inputOth!B69</f>
        <v>29910</v>
      </c>
      <c r="D57" s="287">
        <f>inputPrYr!D56</f>
        <v>30000</v>
      </c>
      <c r="E57" s="507">
        <f>IF(E56&lt;0,"See Tab E","")</f>
      </c>
    </row>
    <row r="58" spans="2:5" ht="15.75">
      <c r="B58" s="295"/>
      <c r="C58" s="328">
        <f>IF(C55&gt;C57,"See Tab A","")</f>
      </c>
      <c r="D58" s="328">
        <f>IF(D55&gt;D57,"See Tab C","")</f>
      </c>
      <c r="E58" s="90"/>
    </row>
    <row r="59" spans="2:5" ht="15.75">
      <c r="B59" s="295"/>
      <c r="C59" s="328">
        <f>IF(C56&lt;0,"See Tab B","")</f>
      </c>
      <c r="D59" s="328">
        <f>IF(D56&lt;0,"See Tab D","")</f>
      </c>
      <c r="E59" s="90"/>
    </row>
    <row r="60" spans="2:5" ht="15.75">
      <c r="B60" s="90"/>
      <c r="C60" s="90"/>
      <c r="D60" s="90"/>
      <c r="E60" s="90"/>
    </row>
    <row r="61" spans="2:5" ht="15.75">
      <c r="B61" s="295" t="s">
        <v>190</v>
      </c>
      <c r="C61" s="356">
        <v>27</v>
      </c>
      <c r="D61" s="90"/>
      <c r="E61" s="90"/>
    </row>
  </sheetData>
  <sheetProtection sheet="1"/>
  <conditionalFormatting sqref="C23">
    <cfRule type="cellIs" priority="3" dxfId="426" operator="greaterThan" stopIfTrue="1">
      <formula>$C$25*0.1</formula>
    </cfRule>
  </conditionalFormatting>
  <conditionalFormatting sqref="D23">
    <cfRule type="cellIs" priority="4" dxfId="426" operator="greaterThan" stopIfTrue="1">
      <formula>$D$25*0.1</formula>
    </cfRule>
  </conditionalFormatting>
  <conditionalFormatting sqref="E23">
    <cfRule type="cellIs" priority="5" dxfId="426" operator="greaterThan" stopIfTrue="1">
      <formula>$E$25*0.1</formula>
    </cfRule>
  </conditionalFormatting>
  <conditionalFormatting sqref="C13">
    <cfRule type="cellIs" priority="6" dxfId="426" operator="greaterThan" stopIfTrue="1">
      <formula>$C$15*0.1</formula>
    </cfRule>
  </conditionalFormatting>
  <conditionalFormatting sqref="D13">
    <cfRule type="cellIs" priority="7" dxfId="426" operator="greaterThan" stopIfTrue="1">
      <formula>$D$15*0.1</formula>
    </cfRule>
  </conditionalFormatting>
  <conditionalFormatting sqref="E13">
    <cfRule type="cellIs" priority="8" dxfId="426" operator="greaterThan" stopIfTrue="1">
      <formula>$E$15*0.1</formula>
    </cfRule>
  </conditionalFormatting>
  <conditionalFormatting sqref="C42">
    <cfRule type="cellIs" priority="9" dxfId="426" operator="greaterThan" stopIfTrue="1">
      <formula>$C$44*0.1</formula>
    </cfRule>
  </conditionalFormatting>
  <conditionalFormatting sqref="D42">
    <cfRule type="cellIs" priority="10" dxfId="426" operator="greaterThan" stopIfTrue="1">
      <formula>$D$44*0.1</formula>
    </cfRule>
  </conditionalFormatting>
  <conditionalFormatting sqref="E42">
    <cfRule type="cellIs" priority="11" dxfId="426" operator="greaterThan" stopIfTrue="1">
      <formula>$E$44*0.1</formula>
    </cfRule>
  </conditionalFormatting>
  <conditionalFormatting sqref="C53">
    <cfRule type="cellIs" priority="12" dxfId="426" operator="greaterThan" stopIfTrue="1">
      <formula>$C$55*0.1</formula>
    </cfRule>
  </conditionalFormatting>
  <conditionalFormatting sqref="D53">
    <cfRule type="cellIs" priority="13" dxfId="426" operator="greaterThan" stopIfTrue="1">
      <formula>$D$55*0.1</formula>
    </cfRule>
  </conditionalFormatting>
  <conditionalFormatting sqref="E53">
    <cfRule type="cellIs" priority="14" dxfId="426" operator="greaterThan" stopIfTrue="1">
      <formula>$E$55*0.1</formula>
    </cfRule>
  </conditionalFormatting>
  <conditionalFormatting sqref="E56 C56 E26 C26">
    <cfRule type="cellIs" priority="15" dxfId="2" operator="lessThan" stopIfTrue="1">
      <formula>0</formula>
    </cfRule>
  </conditionalFormatting>
  <conditionalFormatting sqref="D25">
    <cfRule type="cellIs" priority="16" dxfId="2" operator="greaterThan" stopIfTrue="1">
      <formula>$D$27</formula>
    </cfRule>
  </conditionalFormatting>
  <conditionalFormatting sqref="C25">
    <cfRule type="cellIs" priority="17" dxfId="2" operator="greaterThan" stopIfTrue="1">
      <formula>$C$27</formula>
    </cfRule>
  </conditionalFormatting>
  <conditionalFormatting sqref="D55">
    <cfRule type="cellIs" priority="18" dxfId="2" operator="greaterThan" stopIfTrue="1">
      <formula>$D$57</formula>
    </cfRule>
  </conditionalFormatting>
  <conditionalFormatting sqref="C55">
    <cfRule type="cellIs" priority="19" dxfId="2" operator="greaterThan" stopIfTrue="1">
      <formula>$C$57</formula>
    </cfRule>
  </conditionalFormatting>
  <conditionalFormatting sqref="D26">
    <cfRule type="cellIs" priority="2" dxfId="0" operator="lessThan" stopIfTrue="1">
      <formula>0</formula>
    </cfRule>
  </conditionalFormatting>
  <conditionalFormatting sqref="D56">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69" r:id="rId1"/>
  <headerFooter alignWithMargins="0">
    <oddHeader>&amp;RState of Kansas
County</oddHeader>
  </headerFooter>
</worksheet>
</file>

<file path=xl/worksheets/sheet35.xml><?xml version="1.0" encoding="utf-8"?>
<worksheet xmlns="http://schemas.openxmlformats.org/spreadsheetml/2006/main" xmlns:r="http://schemas.openxmlformats.org/officeDocument/2006/relationships">
  <sheetPr>
    <tabColor theme="9"/>
    <pageSetUpPr fitToPage="1"/>
  </sheetPr>
  <dimension ref="B1:E66"/>
  <sheetViews>
    <sheetView zoomScalePageLayoutView="0" workbookViewId="0" topLeftCell="A1">
      <selection activeCell="H67" sqref="H67"/>
    </sheetView>
  </sheetViews>
  <sheetFormatPr defaultColWidth="8.796875" defaultRowHeight="15"/>
  <cols>
    <col min="1" max="1" width="2.3984375" style="77" customWidth="1"/>
    <col min="2" max="2" width="31.09765625" style="77" customWidth="1"/>
    <col min="3" max="4" width="15.796875" style="77" customWidth="1"/>
    <col min="5" max="5" width="16.19921875" style="77" customWidth="1"/>
    <col min="6" max="16384" width="8.8984375" style="77" customWidth="1"/>
  </cols>
  <sheetData>
    <row r="1" spans="2:5" ht="15.75">
      <c r="B1" s="237" t="str">
        <f>(inputPrYr!C2)</f>
        <v>Geary County</v>
      </c>
      <c r="C1" s="90"/>
      <c r="D1" s="90"/>
      <c r="E1" s="294">
        <f>inputPrYr!C4</f>
        <v>2012</v>
      </c>
    </row>
    <row r="2" spans="2:5" ht="15.75">
      <c r="B2" s="90"/>
      <c r="C2" s="90"/>
      <c r="D2" s="90"/>
      <c r="E2" s="249"/>
    </row>
    <row r="3" spans="2:5" ht="15.75">
      <c r="B3" s="155" t="s">
        <v>240</v>
      </c>
      <c r="C3" s="340"/>
      <c r="D3" s="340"/>
      <c r="E3" s="341"/>
    </row>
    <row r="4" spans="2:5" ht="15.75">
      <c r="B4" s="90"/>
      <c r="C4" s="334"/>
      <c r="D4" s="334"/>
      <c r="E4" s="334"/>
    </row>
    <row r="5" spans="2:5" ht="15.75">
      <c r="B5" s="89" t="s">
        <v>162</v>
      </c>
      <c r="C5" s="577" t="str">
        <f>general!C4</f>
        <v>Prior Year Actual</v>
      </c>
      <c r="D5" s="479" t="str">
        <f>general!D4</f>
        <v>Current Year Estimate</v>
      </c>
      <c r="E5" s="479" t="str">
        <f>general!E4</f>
        <v>Proposed Budget Year</v>
      </c>
    </row>
    <row r="6" spans="2:5" ht="15.75">
      <c r="B6" s="512">
        <f>inputPrYr!B57</f>
        <v>0</v>
      </c>
      <c r="C6" s="323">
        <f>general!C5</f>
        <v>2010</v>
      </c>
      <c r="D6" s="323">
        <f>general!D5</f>
        <v>2011</v>
      </c>
      <c r="E6" s="310">
        <f>general!E5</f>
        <v>2012</v>
      </c>
    </row>
    <row r="7" spans="2:5" ht="15.75">
      <c r="B7" s="151" t="s">
        <v>281</v>
      </c>
      <c r="C7" s="116"/>
      <c r="D7" s="273">
        <f>C30</f>
        <v>0</v>
      </c>
      <c r="E7" s="273">
        <f>D30</f>
        <v>0</v>
      </c>
    </row>
    <row r="8" spans="2:5" ht="15.75">
      <c r="B8" s="343" t="s">
        <v>283</v>
      </c>
      <c r="C8" s="112"/>
      <c r="D8" s="112"/>
      <c r="E8" s="112"/>
    </row>
    <row r="9" spans="2:5" ht="15.75">
      <c r="B9" s="325"/>
      <c r="C9" s="116"/>
      <c r="D9" s="116"/>
      <c r="E9" s="116"/>
    </row>
    <row r="10" spans="2:5" ht="15.75">
      <c r="B10" s="325"/>
      <c r="C10" s="116"/>
      <c r="D10" s="116"/>
      <c r="E10" s="116"/>
    </row>
    <row r="11" spans="2:5" ht="15.75">
      <c r="B11" s="325"/>
      <c r="C11" s="116"/>
      <c r="D11" s="116"/>
      <c r="E11" s="116"/>
    </row>
    <row r="12" spans="2:5" ht="15.75">
      <c r="B12" s="316" t="s">
        <v>170</v>
      </c>
      <c r="C12" s="116"/>
      <c r="D12" s="116"/>
      <c r="E12" s="116"/>
    </row>
    <row r="13" spans="2:5" ht="15.75">
      <c r="B13" s="317" t="s">
        <v>76</v>
      </c>
      <c r="C13" s="116"/>
      <c r="D13" s="312"/>
      <c r="E13" s="312"/>
    </row>
    <row r="14" spans="2:5" ht="15.75">
      <c r="B14" s="317" t="s">
        <v>682</v>
      </c>
      <c r="C14" s="509">
        <f>IF(C15*0.1&lt;C13,"Exceed 10% Rule","")</f>
      </c>
      <c r="D14" s="318">
        <f>IF(D15*0.1&lt;D13,"Exceed 10% Rule","")</f>
      </c>
      <c r="E14" s="318">
        <f>IF(E15*0.1&lt;E13,"Exceed 10% Rule","")</f>
      </c>
    </row>
    <row r="15" spans="2:5" ht="15.75">
      <c r="B15" s="319" t="s">
        <v>171</v>
      </c>
      <c r="C15" s="358">
        <f>SUM(C9:C13)</f>
        <v>0</v>
      </c>
      <c r="D15" s="358">
        <f>SUM(D9:D13)</f>
        <v>0</v>
      </c>
      <c r="E15" s="358">
        <f>SUM(E9:E13)</f>
        <v>0</v>
      </c>
    </row>
    <row r="16" spans="2:5" ht="15.75">
      <c r="B16" s="319" t="s">
        <v>172</v>
      </c>
      <c r="C16" s="358">
        <f>C15+C7</f>
        <v>0</v>
      </c>
      <c r="D16" s="358">
        <f>D15+D7</f>
        <v>0</v>
      </c>
      <c r="E16" s="358">
        <f>E15+E7</f>
        <v>0</v>
      </c>
    </row>
    <row r="17" spans="2:5" ht="15.75">
      <c r="B17" s="151" t="s">
        <v>175</v>
      </c>
      <c r="C17" s="273"/>
      <c r="D17" s="273"/>
      <c r="E17" s="273"/>
    </row>
    <row r="18" spans="2:5" ht="15.75">
      <c r="B18" s="325"/>
      <c r="C18" s="116"/>
      <c r="D18" s="116"/>
      <c r="E18" s="116"/>
    </row>
    <row r="19" spans="2:5" ht="15.75">
      <c r="B19" s="325"/>
      <c r="C19" s="116"/>
      <c r="D19" s="116"/>
      <c r="E19" s="116"/>
    </row>
    <row r="20" spans="2:5" ht="15.75">
      <c r="B20" s="325"/>
      <c r="C20" s="116"/>
      <c r="D20" s="116"/>
      <c r="E20" s="116"/>
    </row>
    <row r="21" spans="2:5" ht="15.75">
      <c r="B21" s="325"/>
      <c r="C21" s="116"/>
      <c r="D21" s="116"/>
      <c r="E21" s="116"/>
    </row>
    <row r="22" spans="2:5" ht="15.75">
      <c r="B22" s="325"/>
      <c r="C22" s="116"/>
      <c r="D22" s="116"/>
      <c r="E22" s="116"/>
    </row>
    <row r="23" spans="2:5" ht="15.75">
      <c r="B23" s="325"/>
      <c r="C23" s="116"/>
      <c r="D23" s="116"/>
      <c r="E23" s="116"/>
    </row>
    <row r="24" spans="2:5" ht="15.75">
      <c r="B24" s="325"/>
      <c r="C24" s="116"/>
      <c r="D24" s="116"/>
      <c r="E24" s="116"/>
    </row>
    <row r="25" spans="2:5" ht="15.75">
      <c r="B25" s="325"/>
      <c r="C25" s="116"/>
      <c r="D25" s="116"/>
      <c r="E25" s="116"/>
    </row>
    <row r="26" spans="2:5" ht="15.75">
      <c r="B26" s="325"/>
      <c r="C26" s="116"/>
      <c r="D26" s="116"/>
      <c r="E26" s="116"/>
    </row>
    <row r="27" spans="2:5" ht="15.75">
      <c r="B27" s="317" t="s">
        <v>76</v>
      </c>
      <c r="C27" s="116"/>
      <c r="D27" s="312"/>
      <c r="E27" s="312"/>
    </row>
    <row r="28" spans="2:5" ht="15.75">
      <c r="B28" s="317" t="s">
        <v>681</v>
      </c>
      <c r="C28" s="509">
        <f>IF(C29*0.1&lt;C27,"Exceed 10% Rule","")</f>
      </c>
      <c r="D28" s="318">
        <f>IF(D29*0.1&lt;D27,"Exceed 10% Rule","")</f>
      </c>
      <c r="E28" s="318">
        <f>IF(E29*0.1&lt;E27,"Exceed 10% Rule","")</f>
      </c>
    </row>
    <row r="29" spans="2:5" ht="15.75">
      <c r="B29" s="319" t="s">
        <v>176</v>
      </c>
      <c r="C29" s="358">
        <f>SUM(C18:C27)</f>
        <v>0</v>
      </c>
      <c r="D29" s="358">
        <f>SUM(D18:D27)</f>
        <v>0</v>
      </c>
      <c r="E29" s="358">
        <f>SUM(E18:E27)</f>
        <v>0</v>
      </c>
    </row>
    <row r="30" spans="2:5" ht="15.75">
      <c r="B30" s="151" t="s">
        <v>282</v>
      </c>
      <c r="C30" s="123">
        <f>C16-C29</f>
        <v>0</v>
      </c>
      <c r="D30" s="123">
        <f>D16-D29</f>
        <v>0</v>
      </c>
      <c r="E30" s="123">
        <f>E16-E29</f>
        <v>0</v>
      </c>
    </row>
    <row r="31" spans="2:5" ht="15.75">
      <c r="B31" s="295" t="str">
        <f>CONCATENATE("",E$1-2,"/",E$1-1," Budget Authority Amount:")</f>
        <v>2010/2011 Budget Authority Amount:</v>
      </c>
      <c r="C31" s="287">
        <f>inputOth!B70</f>
        <v>0</v>
      </c>
      <c r="D31" s="287">
        <f>inputPrYr!D57</f>
        <v>0</v>
      </c>
      <c r="E31" s="508">
        <f>IF(E30&lt;0,"See Tab E","")</f>
      </c>
    </row>
    <row r="32" spans="2:5" ht="15.75">
      <c r="B32" s="295"/>
      <c r="C32" s="328">
        <f>IF(C29&gt;C31,"See Tab A","")</f>
      </c>
      <c r="D32" s="328">
        <f>IF(D29&gt;D31,"See Tab C","")</f>
      </c>
      <c r="E32" s="148"/>
    </row>
    <row r="33" spans="2:5" ht="15.75">
      <c r="B33" s="295"/>
      <c r="C33" s="328">
        <f>IF(C30&lt;0,"See Tab B","")</f>
      </c>
      <c r="D33" s="328">
        <f>IF(D30&lt;0,"See Tab D","")</f>
      </c>
      <c r="E33" s="148"/>
    </row>
    <row r="34" spans="2:5" ht="15.75">
      <c r="B34" s="90"/>
      <c r="C34" s="148"/>
      <c r="D34" s="148"/>
      <c r="E34" s="148"/>
    </row>
    <row r="35" spans="2:5" ht="15.75">
      <c r="B35" s="89" t="s">
        <v>162</v>
      </c>
      <c r="C35" s="334"/>
      <c r="D35" s="334"/>
      <c r="E35" s="334"/>
    </row>
    <row r="36" spans="2:5" ht="15.75">
      <c r="B36" s="90"/>
      <c r="C36" s="577" t="str">
        <f aca="true" t="shared" si="0" ref="C36:E37">C5</f>
        <v>Prior Year Actual</v>
      </c>
      <c r="D36" s="479" t="str">
        <f t="shared" si="0"/>
        <v>Current Year Estimate</v>
      </c>
      <c r="E36" s="479" t="str">
        <f t="shared" si="0"/>
        <v>Proposed Budget Year</v>
      </c>
    </row>
    <row r="37" spans="2:5" ht="15.75">
      <c r="B37" s="511">
        <f>inputPrYr!B58</f>
        <v>0</v>
      </c>
      <c r="C37" s="323">
        <f t="shared" si="0"/>
        <v>2010</v>
      </c>
      <c r="D37" s="323">
        <f t="shared" si="0"/>
        <v>2011</v>
      </c>
      <c r="E37" s="310">
        <f t="shared" si="0"/>
        <v>2012</v>
      </c>
    </row>
    <row r="38" spans="2:5" ht="15.75">
      <c r="B38" s="151" t="s">
        <v>281</v>
      </c>
      <c r="C38" s="116"/>
      <c r="D38" s="273">
        <f>C61</f>
        <v>0</v>
      </c>
      <c r="E38" s="273">
        <f>D61</f>
        <v>0</v>
      </c>
    </row>
    <row r="39" spans="2:5" ht="15.75">
      <c r="B39" s="151" t="s">
        <v>283</v>
      </c>
      <c r="C39" s="112"/>
      <c r="D39" s="112"/>
      <c r="E39" s="112"/>
    </row>
    <row r="40" spans="2:5" ht="15.75">
      <c r="B40" s="325"/>
      <c r="C40" s="116"/>
      <c r="D40" s="116"/>
      <c r="E40" s="116"/>
    </row>
    <row r="41" spans="2:5" ht="15.75">
      <c r="B41" s="325"/>
      <c r="C41" s="116"/>
      <c r="D41" s="116"/>
      <c r="E41" s="116"/>
    </row>
    <row r="42" spans="2:5" ht="15.75">
      <c r="B42" s="325"/>
      <c r="C42" s="116"/>
      <c r="D42" s="116"/>
      <c r="E42" s="116"/>
    </row>
    <row r="43" spans="2:5" ht="15.75">
      <c r="B43" s="316" t="s">
        <v>170</v>
      </c>
      <c r="C43" s="116"/>
      <c r="D43" s="116"/>
      <c r="E43" s="116"/>
    </row>
    <row r="44" spans="2:5" ht="15.75">
      <c r="B44" s="317" t="s">
        <v>76</v>
      </c>
      <c r="C44" s="116"/>
      <c r="D44" s="312"/>
      <c r="E44" s="312"/>
    </row>
    <row r="45" spans="2:5" ht="15.75">
      <c r="B45" s="317" t="s">
        <v>682</v>
      </c>
      <c r="C45" s="509">
        <f>IF(C46*0.1&lt;C44,"Exceed 10% Rule","")</f>
      </c>
      <c r="D45" s="318">
        <f>IF(D46*0.1&lt;D44,"Exceed 10% Rule","")</f>
      </c>
      <c r="E45" s="318">
        <f>IF(E46*0.1&lt;E44,"Exceed 10% Rule","")</f>
      </c>
    </row>
    <row r="46" spans="2:5" ht="15.75">
      <c r="B46" s="319" t="s">
        <v>171</v>
      </c>
      <c r="C46" s="358">
        <f>SUM(C40:C44)</f>
        <v>0</v>
      </c>
      <c r="D46" s="358">
        <f>SUM(D40:D44)</f>
        <v>0</v>
      </c>
      <c r="E46" s="358">
        <f>SUM(E40:E44)</f>
        <v>0</v>
      </c>
    </row>
    <row r="47" spans="2:5" ht="15.75">
      <c r="B47" s="319" t="s">
        <v>172</v>
      </c>
      <c r="C47" s="358">
        <f>C38+C46</f>
        <v>0</v>
      </c>
      <c r="D47" s="358">
        <f>D38+D46</f>
        <v>0</v>
      </c>
      <c r="E47" s="358">
        <f>E38+E46</f>
        <v>0</v>
      </c>
    </row>
    <row r="48" spans="2:5" ht="15.75">
      <c r="B48" s="151" t="s">
        <v>175</v>
      </c>
      <c r="C48" s="273"/>
      <c r="D48" s="273"/>
      <c r="E48" s="273"/>
    </row>
    <row r="49" spans="2:5" ht="15.75">
      <c r="B49" s="325"/>
      <c r="C49" s="116"/>
      <c r="D49" s="116"/>
      <c r="E49" s="116"/>
    </row>
    <row r="50" spans="2:5" ht="15.75">
      <c r="B50" s="325"/>
      <c r="C50" s="116"/>
      <c r="D50" s="116"/>
      <c r="E50" s="116"/>
    </row>
    <row r="51" spans="2:5" ht="15.75">
      <c r="B51" s="325"/>
      <c r="C51" s="116"/>
      <c r="D51" s="116"/>
      <c r="E51" s="116"/>
    </row>
    <row r="52" spans="2:5" ht="15.75">
      <c r="B52" s="325"/>
      <c r="C52" s="116"/>
      <c r="D52" s="116"/>
      <c r="E52" s="116"/>
    </row>
    <row r="53" spans="2:5" ht="15.75">
      <c r="B53" s="325"/>
      <c r="C53" s="116"/>
      <c r="D53" s="116"/>
      <c r="E53" s="116"/>
    </row>
    <row r="54" spans="2:5" ht="15.75">
      <c r="B54" s="325"/>
      <c r="C54" s="116"/>
      <c r="D54" s="116"/>
      <c r="E54" s="116"/>
    </row>
    <row r="55" spans="2:5" ht="15.75">
      <c r="B55" s="325"/>
      <c r="C55" s="116"/>
      <c r="D55" s="116"/>
      <c r="E55" s="116"/>
    </row>
    <row r="56" spans="2:5" ht="15.75">
      <c r="B56" s="325"/>
      <c r="C56" s="116"/>
      <c r="D56" s="116"/>
      <c r="E56" s="116"/>
    </row>
    <row r="57" spans="2:5" ht="15.75">
      <c r="B57" s="325"/>
      <c r="C57" s="116"/>
      <c r="D57" s="116"/>
      <c r="E57" s="116"/>
    </row>
    <row r="58" spans="2:5" ht="15.75">
      <c r="B58" s="317" t="s">
        <v>76</v>
      </c>
      <c r="C58" s="116"/>
      <c r="D58" s="312"/>
      <c r="E58" s="312"/>
    </row>
    <row r="59" spans="2:5" ht="15.75">
      <c r="B59" s="317" t="s">
        <v>681</v>
      </c>
      <c r="C59" s="509">
        <f>IF(C60*0.1&lt;C58,"Exceed 10% Rule","")</f>
      </c>
      <c r="D59" s="318">
        <f>IF(D60*0.1&lt;D58,"Exceed 10% Rule","")</f>
      </c>
      <c r="E59" s="318">
        <f>IF(E60*0.1&lt;E58,"Exceed 10% Rule","")</f>
      </c>
    </row>
    <row r="60" spans="2:5" ht="15.75">
      <c r="B60" s="319" t="s">
        <v>176</v>
      </c>
      <c r="C60" s="358">
        <f>SUM(C49:C58)</f>
        <v>0</v>
      </c>
      <c r="D60" s="358">
        <f>SUM(D49:D58)</f>
        <v>0</v>
      </c>
      <c r="E60" s="358">
        <f>SUM(E49:E58)</f>
        <v>0</v>
      </c>
    </row>
    <row r="61" spans="2:5" ht="15.75">
      <c r="B61" s="151" t="s">
        <v>282</v>
      </c>
      <c r="C61" s="123">
        <f>C47-C60</f>
        <v>0</v>
      </c>
      <c r="D61" s="123">
        <f>D47-D60</f>
        <v>0</v>
      </c>
      <c r="E61" s="123">
        <f>E47-E60</f>
        <v>0</v>
      </c>
    </row>
    <row r="62" spans="2:5" ht="15.75">
      <c r="B62" s="295" t="str">
        <f>CONCATENATE("",E$1-2,"/",E$1-1," Budget Authority Amount:")</f>
        <v>2010/2011 Budget Authority Amount:</v>
      </c>
      <c r="C62" s="287">
        <f>inputOth!B71</f>
        <v>0</v>
      </c>
      <c r="D62" s="287">
        <f>inputPrYr!D58</f>
        <v>0</v>
      </c>
      <c r="E62" s="507">
        <f>IF(E61&lt;0,"See Tab E","")</f>
      </c>
    </row>
    <row r="63" spans="2:5" ht="15.75">
      <c r="B63" s="295"/>
      <c r="C63" s="328">
        <f>IF(C60&gt;C62,"See Tab A","")</f>
      </c>
      <c r="D63" s="328">
        <f>IF(D60&gt;D62,"See Tab C","")</f>
      </c>
      <c r="E63" s="90"/>
    </row>
    <row r="64" spans="2:5" ht="15.75">
      <c r="B64" s="295"/>
      <c r="C64" s="328">
        <f>IF(C61&lt;0,"See Tab B","")</f>
      </c>
      <c r="D64" s="328">
        <f>IF(D61&lt;0,"See Tab D","")</f>
      </c>
      <c r="E64" s="90"/>
    </row>
    <row r="65" spans="2:5" ht="15.75">
      <c r="B65" s="90"/>
      <c r="C65" s="90"/>
      <c r="D65" s="90"/>
      <c r="E65" s="90"/>
    </row>
    <row r="66" spans="2:5" ht="15.75">
      <c r="B66" s="295" t="s">
        <v>190</v>
      </c>
      <c r="C66" s="356"/>
      <c r="D66" s="90"/>
      <c r="E66" s="90"/>
    </row>
  </sheetData>
  <sheetProtection sheet="1"/>
  <conditionalFormatting sqref="C27">
    <cfRule type="cellIs" priority="3" dxfId="426" operator="greaterThan" stopIfTrue="1">
      <formula>$C$29*0.1</formula>
    </cfRule>
  </conditionalFormatting>
  <conditionalFormatting sqref="D27">
    <cfRule type="cellIs" priority="4" dxfId="426" operator="greaterThan" stopIfTrue="1">
      <formula>$D$29*0.1</formula>
    </cfRule>
  </conditionalFormatting>
  <conditionalFormatting sqref="E27">
    <cfRule type="cellIs" priority="5" dxfId="426" operator="greaterThan" stopIfTrue="1">
      <formula>$E$29*0.1</formula>
    </cfRule>
  </conditionalFormatting>
  <conditionalFormatting sqref="C13">
    <cfRule type="cellIs" priority="6" dxfId="426" operator="greaterThan" stopIfTrue="1">
      <formula>$C$15*0.1</formula>
    </cfRule>
  </conditionalFormatting>
  <conditionalFormatting sqref="D13">
    <cfRule type="cellIs" priority="7" dxfId="426" operator="greaterThan" stopIfTrue="1">
      <formula>$D$15*0.1</formula>
    </cfRule>
  </conditionalFormatting>
  <conditionalFormatting sqref="E13">
    <cfRule type="cellIs" priority="8" dxfId="426" operator="greaterThan" stopIfTrue="1">
      <formula>$E$15*0.1</formula>
    </cfRule>
  </conditionalFormatting>
  <conditionalFormatting sqref="C44">
    <cfRule type="cellIs" priority="9" dxfId="426" operator="greaterThan" stopIfTrue="1">
      <formula>$C$46*0.1</formula>
    </cfRule>
  </conditionalFormatting>
  <conditionalFormatting sqref="D44">
    <cfRule type="cellIs" priority="10" dxfId="426" operator="greaterThan" stopIfTrue="1">
      <formula>$D$46*0.1</formula>
    </cfRule>
  </conditionalFormatting>
  <conditionalFormatting sqref="E44">
    <cfRule type="cellIs" priority="11" dxfId="426" operator="greaterThan" stopIfTrue="1">
      <formula>$E$46*0.1</formula>
    </cfRule>
  </conditionalFormatting>
  <conditionalFormatting sqref="C58">
    <cfRule type="cellIs" priority="12" dxfId="426" operator="greaterThan" stopIfTrue="1">
      <formula>$C$60*0.1</formula>
    </cfRule>
  </conditionalFormatting>
  <conditionalFormatting sqref="D58">
    <cfRule type="cellIs" priority="13" dxfId="426" operator="greaterThan" stopIfTrue="1">
      <formula>$D$60*0.1</formula>
    </cfRule>
  </conditionalFormatting>
  <conditionalFormatting sqref="E58">
    <cfRule type="cellIs" priority="14" dxfId="426" operator="greaterThan" stopIfTrue="1">
      <formula>$E$60*0.1</formula>
    </cfRule>
  </conditionalFormatting>
  <conditionalFormatting sqref="E30 C30 E61 C61">
    <cfRule type="cellIs" priority="15" dxfId="2" operator="lessThan" stopIfTrue="1">
      <formula>0</formula>
    </cfRule>
  </conditionalFormatting>
  <conditionalFormatting sqref="D29">
    <cfRule type="cellIs" priority="16" dxfId="2" operator="greaterThan" stopIfTrue="1">
      <formula>$D$31</formula>
    </cfRule>
  </conditionalFormatting>
  <conditionalFormatting sqref="C29">
    <cfRule type="cellIs" priority="17" dxfId="2" operator="greaterThan" stopIfTrue="1">
      <formula>$C$31</formula>
    </cfRule>
  </conditionalFormatting>
  <conditionalFormatting sqref="D60">
    <cfRule type="cellIs" priority="18" dxfId="2" operator="greaterThan" stopIfTrue="1">
      <formula>$D$62</formula>
    </cfRule>
  </conditionalFormatting>
  <conditionalFormatting sqref="C60">
    <cfRule type="cellIs" priority="19" dxfId="2" operator="greaterThan" stopIfTrue="1">
      <formula>$C$62</formula>
    </cfRule>
  </conditionalFormatting>
  <conditionalFormatting sqref="D30">
    <cfRule type="cellIs" priority="2" dxfId="0" operator="lessThan" stopIfTrue="1">
      <formula>0</formula>
    </cfRule>
  </conditionalFormatting>
  <conditionalFormatting sqref="D61">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62" r:id="rId1"/>
  <headerFooter alignWithMargins="0">
    <oddHeader>&amp;RState of Kansas
County</oddHeader>
  </headerFooter>
</worksheet>
</file>

<file path=xl/worksheets/sheet36.xml><?xml version="1.0" encoding="utf-8"?>
<worksheet xmlns="http://schemas.openxmlformats.org/spreadsheetml/2006/main" xmlns:r="http://schemas.openxmlformats.org/officeDocument/2006/relationships">
  <sheetPr>
    <tabColor theme="9"/>
    <pageSetUpPr fitToPage="1"/>
  </sheetPr>
  <dimension ref="B1:E66"/>
  <sheetViews>
    <sheetView zoomScalePageLayoutView="0" workbookViewId="0" topLeftCell="A1">
      <selection activeCell="H67" sqref="H67"/>
    </sheetView>
  </sheetViews>
  <sheetFormatPr defaultColWidth="8.796875" defaultRowHeight="15"/>
  <cols>
    <col min="1" max="1" width="2.3984375" style="77" customWidth="1"/>
    <col min="2" max="2" width="31.09765625" style="77" customWidth="1"/>
    <col min="3" max="4" width="15.796875" style="77" customWidth="1"/>
    <col min="5" max="5" width="16.09765625" style="77" customWidth="1"/>
    <col min="6" max="16384" width="8.8984375" style="77" customWidth="1"/>
  </cols>
  <sheetData>
    <row r="1" spans="2:5" ht="15.75">
      <c r="B1" s="237" t="str">
        <f>(inputPrYr!C2)</f>
        <v>Geary County</v>
      </c>
      <c r="C1" s="90"/>
      <c r="D1" s="90"/>
      <c r="E1" s="294">
        <f>inputPrYr!C4</f>
        <v>2012</v>
      </c>
    </row>
    <row r="2" spans="2:5" ht="15.75">
      <c r="B2" s="90"/>
      <c r="C2" s="90"/>
      <c r="D2" s="90"/>
      <c r="E2" s="249"/>
    </row>
    <row r="3" spans="2:5" ht="15.75">
      <c r="B3" s="155" t="s">
        <v>240</v>
      </c>
      <c r="C3" s="340"/>
      <c r="D3" s="340"/>
      <c r="E3" s="341"/>
    </row>
    <row r="4" spans="2:5" ht="15.75">
      <c r="B4" s="90"/>
      <c r="C4" s="334"/>
      <c r="D4" s="334"/>
      <c r="E4" s="334"/>
    </row>
    <row r="5" spans="2:5" ht="15.75">
      <c r="B5" s="89" t="s">
        <v>162</v>
      </c>
      <c r="C5" s="577" t="str">
        <f>general!C4</f>
        <v>Prior Year Actual</v>
      </c>
      <c r="D5" s="479" t="str">
        <f>general!D4</f>
        <v>Current Year Estimate</v>
      </c>
      <c r="E5" s="479" t="str">
        <f>general!E4</f>
        <v>Proposed Budget Year</v>
      </c>
    </row>
    <row r="6" spans="2:5" ht="15.75">
      <c r="B6" s="512">
        <f>inputPrYr!B59</f>
        <v>0</v>
      </c>
      <c r="C6" s="323">
        <f>general!C5</f>
        <v>2010</v>
      </c>
      <c r="D6" s="323">
        <f>general!D5</f>
        <v>2011</v>
      </c>
      <c r="E6" s="310">
        <f>general!E5</f>
        <v>2012</v>
      </c>
    </row>
    <row r="7" spans="2:5" ht="15.75">
      <c r="B7" s="151" t="s">
        <v>281</v>
      </c>
      <c r="C7" s="116"/>
      <c r="D7" s="273">
        <f>C30</f>
        <v>0</v>
      </c>
      <c r="E7" s="273">
        <f>D30</f>
        <v>0</v>
      </c>
    </row>
    <row r="8" spans="2:5" ht="15.75">
      <c r="B8" s="343" t="s">
        <v>283</v>
      </c>
      <c r="C8" s="112"/>
      <c r="D8" s="112"/>
      <c r="E8" s="112"/>
    </row>
    <row r="9" spans="2:5" ht="15.75">
      <c r="B9" s="325"/>
      <c r="C9" s="116"/>
      <c r="D9" s="116"/>
      <c r="E9" s="116"/>
    </row>
    <row r="10" spans="2:5" ht="15.75">
      <c r="B10" s="325"/>
      <c r="C10" s="116"/>
      <c r="D10" s="116"/>
      <c r="E10" s="116"/>
    </row>
    <row r="11" spans="2:5" ht="15.75">
      <c r="B11" s="325"/>
      <c r="C11" s="116"/>
      <c r="D11" s="116"/>
      <c r="E11" s="116"/>
    </row>
    <row r="12" spans="2:5" ht="15.75">
      <c r="B12" s="316" t="s">
        <v>170</v>
      </c>
      <c r="C12" s="116"/>
      <c r="D12" s="116"/>
      <c r="E12" s="116"/>
    </row>
    <row r="13" spans="2:5" ht="15.75">
      <c r="B13" s="317" t="s">
        <v>76</v>
      </c>
      <c r="C13" s="116"/>
      <c r="D13" s="312"/>
      <c r="E13" s="312"/>
    </row>
    <row r="14" spans="2:5" ht="15.75">
      <c r="B14" s="317" t="s">
        <v>682</v>
      </c>
      <c r="C14" s="509">
        <f>IF(C15*0.1&lt;C13,"Exceed 10% Rule","")</f>
      </c>
      <c r="D14" s="318">
        <f>IF(D15*0.1&lt;D13,"Exceed 10% Rule","")</f>
      </c>
      <c r="E14" s="318">
        <f>IF(E15*0.1&lt;E13,"Exceed 10% Rule","")</f>
      </c>
    </row>
    <row r="15" spans="2:5" ht="15.75">
      <c r="B15" s="319" t="s">
        <v>171</v>
      </c>
      <c r="C15" s="358">
        <f>SUM(C9:C13)</f>
        <v>0</v>
      </c>
      <c r="D15" s="358">
        <f>SUM(D9:D13)</f>
        <v>0</v>
      </c>
      <c r="E15" s="358">
        <f>SUM(E9:E13)</f>
        <v>0</v>
      </c>
    </row>
    <row r="16" spans="2:5" ht="15.75">
      <c r="B16" s="319" t="s">
        <v>172</v>
      </c>
      <c r="C16" s="358">
        <f>C15+C7</f>
        <v>0</v>
      </c>
      <c r="D16" s="358">
        <f>D15+D7</f>
        <v>0</v>
      </c>
      <c r="E16" s="358">
        <f>E15+E7</f>
        <v>0</v>
      </c>
    </row>
    <row r="17" spans="2:5" ht="15.75">
      <c r="B17" s="151" t="s">
        <v>175</v>
      </c>
      <c r="C17" s="273"/>
      <c r="D17" s="273"/>
      <c r="E17" s="273"/>
    </row>
    <row r="18" spans="2:5" ht="15.75">
      <c r="B18" s="325"/>
      <c r="C18" s="116"/>
      <c r="D18" s="116"/>
      <c r="E18" s="116"/>
    </row>
    <row r="19" spans="2:5" ht="15.75">
      <c r="B19" s="325"/>
      <c r="C19" s="116"/>
      <c r="D19" s="116"/>
      <c r="E19" s="116"/>
    </row>
    <row r="20" spans="2:5" ht="15.75">
      <c r="B20" s="325"/>
      <c r="C20" s="116"/>
      <c r="D20" s="116"/>
      <c r="E20" s="116"/>
    </row>
    <row r="21" spans="2:5" ht="15.75">
      <c r="B21" s="325"/>
      <c r="C21" s="116"/>
      <c r="D21" s="116"/>
      <c r="E21" s="116"/>
    </row>
    <row r="22" spans="2:5" ht="15.75">
      <c r="B22" s="325"/>
      <c r="C22" s="116"/>
      <c r="D22" s="116"/>
      <c r="E22" s="116"/>
    </row>
    <row r="23" spans="2:5" ht="15.75">
      <c r="B23" s="325"/>
      <c r="C23" s="116"/>
      <c r="D23" s="116"/>
      <c r="E23" s="116"/>
    </row>
    <row r="24" spans="2:5" ht="15.75">
      <c r="B24" s="325"/>
      <c r="C24" s="116"/>
      <c r="D24" s="116"/>
      <c r="E24" s="116"/>
    </row>
    <row r="25" spans="2:5" ht="15.75">
      <c r="B25" s="325"/>
      <c r="C25" s="116"/>
      <c r="D25" s="116"/>
      <c r="E25" s="116"/>
    </row>
    <row r="26" spans="2:5" ht="15.75">
      <c r="B26" s="325"/>
      <c r="C26" s="116"/>
      <c r="D26" s="116"/>
      <c r="E26" s="116"/>
    </row>
    <row r="27" spans="2:5" ht="15.75">
      <c r="B27" s="317" t="s">
        <v>76</v>
      </c>
      <c r="C27" s="116"/>
      <c r="D27" s="312"/>
      <c r="E27" s="312"/>
    </row>
    <row r="28" spans="2:5" ht="15.75">
      <c r="B28" s="317" t="s">
        <v>681</v>
      </c>
      <c r="C28" s="509">
        <f>IF(C29*0.1&lt;C27,"Exceed 10% Rule","")</f>
      </c>
      <c r="D28" s="318">
        <f>IF(D29*0.1&lt;D27,"Exceed 10% Rule","")</f>
      </c>
      <c r="E28" s="318">
        <f>IF(E29*0.1&lt;E27,"Exceed 10% Rule","")</f>
      </c>
    </row>
    <row r="29" spans="2:5" ht="15.75">
      <c r="B29" s="319" t="s">
        <v>176</v>
      </c>
      <c r="C29" s="358">
        <f>SUM(C18:C27)</f>
        <v>0</v>
      </c>
      <c r="D29" s="358">
        <f>SUM(D18:D27)</f>
        <v>0</v>
      </c>
      <c r="E29" s="358">
        <f>SUM(E18:E27)</f>
        <v>0</v>
      </c>
    </row>
    <row r="30" spans="2:5" ht="15.75">
      <c r="B30" s="151" t="s">
        <v>282</v>
      </c>
      <c r="C30" s="123">
        <f>C16-C29</f>
        <v>0</v>
      </c>
      <c r="D30" s="123">
        <f>D16-D29</f>
        <v>0</v>
      </c>
      <c r="E30" s="123">
        <f>E16-E29</f>
        <v>0</v>
      </c>
    </row>
    <row r="31" spans="2:5" ht="15.75">
      <c r="B31" s="295" t="str">
        <f>CONCATENATE("",E$1-2,"/",E$1-1," Budget Authority Amount:")</f>
        <v>2010/2011 Budget Authority Amount:</v>
      </c>
      <c r="C31" s="287">
        <f>inputOth!B72</f>
        <v>0</v>
      </c>
      <c r="D31" s="287">
        <f>inputPrYr!D59</f>
        <v>0</v>
      </c>
      <c r="E31" s="508">
        <f>IF(E30&lt;0,"See Tab E","")</f>
      </c>
    </row>
    <row r="32" spans="2:5" ht="15.75">
      <c r="B32" s="295"/>
      <c r="C32" s="328">
        <f>IF(C29&gt;C31,"See Tab A","")</f>
      </c>
      <c r="D32" s="328">
        <f>IF(D29&gt;D31,"See Tab C","")</f>
      </c>
      <c r="E32" s="148"/>
    </row>
    <row r="33" spans="2:5" ht="15.75">
      <c r="B33" s="295"/>
      <c r="C33" s="328">
        <f>IF(C30&lt;0,"See Tab B","")</f>
      </c>
      <c r="D33" s="328">
        <f>IF(D30&lt;0,"See Tab D","")</f>
      </c>
      <c r="E33" s="148"/>
    </row>
    <row r="34" spans="2:5" ht="15.75">
      <c r="B34" s="90"/>
      <c r="C34" s="148"/>
      <c r="D34" s="148"/>
      <c r="E34" s="148"/>
    </row>
    <row r="35" spans="2:5" ht="15.75">
      <c r="B35" s="89" t="s">
        <v>162</v>
      </c>
      <c r="C35" s="334"/>
      <c r="D35" s="334"/>
      <c r="E35" s="334"/>
    </row>
    <row r="36" spans="2:5" ht="15.75">
      <c r="B36" s="90"/>
      <c r="C36" s="577" t="str">
        <f aca="true" t="shared" si="0" ref="C36:E37">C5</f>
        <v>Prior Year Actual</v>
      </c>
      <c r="D36" s="479" t="str">
        <f t="shared" si="0"/>
        <v>Current Year Estimate</v>
      </c>
      <c r="E36" s="479" t="str">
        <f t="shared" si="0"/>
        <v>Proposed Budget Year</v>
      </c>
    </row>
    <row r="37" spans="2:5" ht="15.75">
      <c r="B37" s="511">
        <f>inputPrYr!B60</f>
        <v>0</v>
      </c>
      <c r="C37" s="323">
        <f t="shared" si="0"/>
        <v>2010</v>
      </c>
      <c r="D37" s="323">
        <f t="shared" si="0"/>
        <v>2011</v>
      </c>
      <c r="E37" s="310">
        <f t="shared" si="0"/>
        <v>2012</v>
      </c>
    </row>
    <row r="38" spans="2:5" ht="15.75">
      <c r="B38" s="151" t="s">
        <v>281</v>
      </c>
      <c r="C38" s="116"/>
      <c r="D38" s="273">
        <f>C61</f>
        <v>0</v>
      </c>
      <c r="E38" s="273">
        <f>D61</f>
        <v>0</v>
      </c>
    </row>
    <row r="39" spans="2:5" ht="15.75">
      <c r="B39" s="151" t="s">
        <v>283</v>
      </c>
      <c r="C39" s="112"/>
      <c r="D39" s="112"/>
      <c r="E39" s="112"/>
    </row>
    <row r="40" spans="2:5" ht="15.75">
      <c r="B40" s="325"/>
      <c r="C40" s="116"/>
      <c r="D40" s="116"/>
      <c r="E40" s="116"/>
    </row>
    <row r="41" spans="2:5" ht="15.75">
      <c r="B41" s="325"/>
      <c r="C41" s="116"/>
      <c r="D41" s="116"/>
      <c r="E41" s="116"/>
    </row>
    <row r="42" spans="2:5" ht="15.75">
      <c r="B42" s="325"/>
      <c r="C42" s="116"/>
      <c r="D42" s="116"/>
      <c r="E42" s="116"/>
    </row>
    <row r="43" spans="2:5" ht="15.75">
      <c r="B43" s="316" t="s">
        <v>170</v>
      </c>
      <c r="C43" s="116"/>
      <c r="D43" s="116"/>
      <c r="E43" s="116"/>
    </row>
    <row r="44" spans="2:5" ht="15.75">
      <c r="B44" s="317" t="s">
        <v>76</v>
      </c>
      <c r="C44" s="116"/>
      <c r="D44" s="312"/>
      <c r="E44" s="312"/>
    </row>
    <row r="45" spans="2:5" ht="15.75">
      <c r="B45" s="317" t="s">
        <v>682</v>
      </c>
      <c r="C45" s="509">
        <f>IF(C46*0.1&lt;C44,"Exceed 10% Rule","")</f>
      </c>
      <c r="D45" s="318">
        <f>IF(D46*0.1&lt;D44,"Exceed 10% Rule","")</f>
      </c>
      <c r="E45" s="318">
        <f>IF(E46*0.1&lt;E44,"Exceed 10% Rule","")</f>
      </c>
    </row>
    <row r="46" spans="2:5" ht="15.75">
      <c r="B46" s="319" t="s">
        <v>171</v>
      </c>
      <c r="C46" s="358">
        <f>SUM(C40:C44)</f>
        <v>0</v>
      </c>
      <c r="D46" s="358">
        <f>SUM(D40:D44)</f>
        <v>0</v>
      </c>
      <c r="E46" s="358">
        <f>SUM(E40:E44)</f>
        <v>0</v>
      </c>
    </row>
    <row r="47" spans="2:5" ht="15.75">
      <c r="B47" s="319" t="s">
        <v>172</v>
      </c>
      <c r="C47" s="358">
        <f>C38+C46</f>
        <v>0</v>
      </c>
      <c r="D47" s="358">
        <f>D38+D46</f>
        <v>0</v>
      </c>
      <c r="E47" s="358">
        <f>E38+E46</f>
        <v>0</v>
      </c>
    </row>
    <row r="48" spans="2:5" ht="15.75">
      <c r="B48" s="151" t="s">
        <v>175</v>
      </c>
      <c r="C48" s="273"/>
      <c r="D48" s="273"/>
      <c r="E48" s="273"/>
    </row>
    <row r="49" spans="2:5" ht="15.75">
      <c r="B49" s="325"/>
      <c r="C49" s="116"/>
      <c r="D49" s="116"/>
      <c r="E49" s="116"/>
    </row>
    <row r="50" spans="2:5" ht="15.75">
      <c r="B50" s="325"/>
      <c r="C50" s="116"/>
      <c r="D50" s="116"/>
      <c r="E50" s="116"/>
    </row>
    <row r="51" spans="2:5" ht="15.75">
      <c r="B51" s="325"/>
      <c r="C51" s="116"/>
      <c r="D51" s="116"/>
      <c r="E51" s="116"/>
    </row>
    <row r="52" spans="2:5" ht="15.75">
      <c r="B52" s="325"/>
      <c r="C52" s="116"/>
      <c r="D52" s="116"/>
      <c r="E52" s="116"/>
    </row>
    <row r="53" spans="2:5" ht="15.75">
      <c r="B53" s="325"/>
      <c r="C53" s="116"/>
      <c r="D53" s="116"/>
      <c r="E53" s="116"/>
    </row>
    <row r="54" spans="2:5" ht="15.75">
      <c r="B54" s="325"/>
      <c r="C54" s="116"/>
      <c r="D54" s="116"/>
      <c r="E54" s="116"/>
    </row>
    <row r="55" spans="2:5" ht="15.75">
      <c r="B55" s="325"/>
      <c r="C55" s="116"/>
      <c r="D55" s="116"/>
      <c r="E55" s="116"/>
    </row>
    <row r="56" spans="2:5" ht="15.75">
      <c r="B56" s="325"/>
      <c r="C56" s="116"/>
      <c r="D56" s="116"/>
      <c r="E56" s="116"/>
    </row>
    <row r="57" spans="2:5" ht="15.75">
      <c r="B57" s="325"/>
      <c r="C57" s="116"/>
      <c r="D57" s="116"/>
      <c r="E57" s="116"/>
    </row>
    <row r="58" spans="2:5" ht="15.75">
      <c r="B58" s="317" t="s">
        <v>76</v>
      </c>
      <c r="C58" s="116"/>
      <c r="D58" s="312"/>
      <c r="E58" s="312"/>
    </row>
    <row r="59" spans="2:5" ht="15.75">
      <c r="B59" s="317" t="s">
        <v>681</v>
      </c>
      <c r="C59" s="509">
        <f>IF(C60*0.1&lt;C58,"Exceed 10% Rule","")</f>
      </c>
      <c r="D59" s="318">
        <f>IF(D60*0.1&lt;D58,"Exceed 10% Rule","")</f>
      </c>
      <c r="E59" s="318">
        <f>IF(E60*0.1&lt;E58,"Exceed 10% Rule","")</f>
      </c>
    </row>
    <row r="60" spans="2:5" ht="15.75">
      <c r="B60" s="319" t="s">
        <v>176</v>
      </c>
      <c r="C60" s="358">
        <f>SUM(C49:C58)</f>
        <v>0</v>
      </c>
      <c r="D60" s="358">
        <f>SUM(D49:D58)</f>
        <v>0</v>
      </c>
      <c r="E60" s="358">
        <f>SUM(E49:E58)</f>
        <v>0</v>
      </c>
    </row>
    <row r="61" spans="2:5" ht="15.75">
      <c r="B61" s="151" t="s">
        <v>282</v>
      </c>
      <c r="C61" s="123">
        <f>C47-C60</f>
        <v>0</v>
      </c>
      <c r="D61" s="123">
        <f>D47-D60</f>
        <v>0</v>
      </c>
      <c r="E61" s="123">
        <f>E47-E60</f>
        <v>0</v>
      </c>
    </row>
    <row r="62" spans="2:5" ht="15.75">
      <c r="B62" s="295" t="str">
        <f>CONCATENATE("",E$1-2,"/",E$1-1," Budget Authority Amount:")</f>
        <v>2010/2011 Budget Authority Amount:</v>
      </c>
      <c r="C62" s="287">
        <f>inputOth!B73</f>
        <v>0</v>
      </c>
      <c r="D62" s="287">
        <f>inputPrYr!D60</f>
        <v>0</v>
      </c>
      <c r="E62" s="507">
        <f>IF(E61&lt;0,"See Tab E","")</f>
      </c>
    </row>
    <row r="63" spans="2:5" ht="15.75">
      <c r="B63" s="295"/>
      <c r="C63" s="328">
        <f>IF(C60&gt;C62,"See Tab A","")</f>
      </c>
      <c r="D63" s="328">
        <f>IF(D60&gt;D62,"See Tab C","")</f>
      </c>
      <c r="E63" s="90"/>
    </row>
    <row r="64" spans="2:5" ht="15.75">
      <c r="B64" s="295"/>
      <c r="C64" s="328">
        <f>IF(C61&lt;0,"See Tab B","")</f>
      </c>
      <c r="D64" s="328">
        <f>IF(D61&lt;0,"See Tab D","")</f>
      </c>
      <c r="E64" s="90"/>
    </row>
    <row r="65" spans="2:5" ht="15.75">
      <c r="B65" s="90"/>
      <c r="C65" s="90"/>
      <c r="D65" s="90"/>
      <c r="E65" s="90"/>
    </row>
    <row r="66" spans="2:5" ht="15.75">
      <c r="B66" s="295" t="s">
        <v>190</v>
      </c>
      <c r="C66" s="356"/>
      <c r="D66" s="90"/>
      <c r="E66" s="90"/>
    </row>
  </sheetData>
  <sheetProtection sheet="1"/>
  <conditionalFormatting sqref="C27">
    <cfRule type="cellIs" priority="4" dxfId="426" operator="greaterThan" stopIfTrue="1">
      <formula>$C$29*0.1</formula>
    </cfRule>
  </conditionalFormatting>
  <conditionalFormatting sqref="D27">
    <cfRule type="cellIs" priority="5" dxfId="426" operator="greaterThan" stopIfTrue="1">
      <formula>$D$29*0.1</formula>
    </cfRule>
  </conditionalFormatting>
  <conditionalFormatting sqref="E27">
    <cfRule type="cellIs" priority="6" dxfId="426" operator="greaterThan" stopIfTrue="1">
      <formula>$E$29*0.1</formula>
    </cfRule>
  </conditionalFormatting>
  <conditionalFormatting sqref="C13">
    <cfRule type="cellIs" priority="7" dxfId="426" operator="greaterThan" stopIfTrue="1">
      <formula>$C$15*0.1</formula>
    </cfRule>
  </conditionalFormatting>
  <conditionalFormatting sqref="D13">
    <cfRule type="cellIs" priority="8" dxfId="426" operator="greaterThan" stopIfTrue="1">
      <formula>$D$15*0.1</formula>
    </cfRule>
  </conditionalFormatting>
  <conditionalFormatting sqref="E13">
    <cfRule type="cellIs" priority="9" dxfId="426" operator="greaterThan" stopIfTrue="1">
      <formula>$E$15*0.1</formula>
    </cfRule>
  </conditionalFormatting>
  <conditionalFormatting sqref="C44">
    <cfRule type="cellIs" priority="10" dxfId="426" operator="greaterThan" stopIfTrue="1">
      <formula>$C$46*0.1</formula>
    </cfRule>
  </conditionalFormatting>
  <conditionalFormatting sqref="D44">
    <cfRule type="cellIs" priority="11" dxfId="426" operator="greaterThan" stopIfTrue="1">
      <formula>$D$46*0.1</formula>
    </cfRule>
  </conditionalFormatting>
  <conditionalFormatting sqref="E44">
    <cfRule type="cellIs" priority="12" dxfId="426" operator="greaterThan" stopIfTrue="1">
      <formula>$E$46*0.1</formula>
    </cfRule>
  </conditionalFormatting>
  <conditionalFormatting sqref="C58">
    <cfRule type="cellIs" priority="13" dxfId="426" operator="greaterThan" stopIfTrue="1">
      <formula>$C$60*0.1</formula>
    </cfRule>
  </conditionalFormatting>
  <conditionalFormatting sqref="D58">
    <cfRule type="cellIs" priority="14" dxfId="426" operator="greaterThan" stopIfTrue="1">
      <formula>$D$60*0.1</formula>
    </cfRule>
  </conditionalFormatting>
  <conditionalFormatting sqref="E58">
    <cfRule type="cellIs" priority="15" dxfId="426" operator="greaterThan" stopIfTrue="1">
      <formula>$E$60*0.1</formula>
    </cfRule>
  </conditionalFormatting>
  <conditionalFormatting sqref="E30 E61 C61 C30">
    <cfRule type="cellIs" priority="16" dxfId="2" operator="lessThan" stopIfTrue="1">
      <formula>0</formula>
    </cfRule>
  </conditionalFormatting>
  <conditionalFormatting sqref="D60">
    <cfRule type="cellIs" priority="17" dxfId="2" operator="greaterThan" stopIfTrue="1">
      <formula>$D$62</formula>
    </cfRule>
  </conditionalFormatting>
  <conditionalFormatting sqref="C60">
    <cfRule type="cellIs" priority="18" dxfId="2" operator="greaterThan" stopIfTrue="1">
      <formula>$C$62</formula>
    </cfRule>
  </conditionalFormatting>
  <conditionalFormatting sqref="D29">
    <cfRule type="cellIs" priority="19" dxfId="2" operator="greaterThan" stopIfTrue="1">
      <formula>$D$31</formula>
    </cfRule>
  </conditionalFormatting>
  <conditionalFormatting sqref="C29">
    <cfRule type="cellIs" priority="20" dxfId="2" operator="greaterThan" stopIfTrue="1">
      <formula>$C$31</formula>
    </cfRule>
  </conditionalFormatting>
  <conditionalFormatting sqref="D30">
    <cfRule type="cellIs" priority="3" dxfId="0" operator="lessThan" stopIfTrue="1">
      <formula>0</formula>
    </cfRule>
  </conditionalFormatting>
  <conditionalFormatting sqref="D61">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62" r:id="rId1"/>
  <headerFooter alignWithMargins="0">
    <oddHeader>&amp;RState of Kansas
County</oddHeader>
  </headerFooter>
</worksheet>
</file>

<file path=xl/worksheets/sheet3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67" sqref="H67"/>
    </sheetView>
  </sheetViews>
  <sheetFormatPr defaultColWidth="8.796875" defaultRowHeight="15"/>
  <cols>
    <col min="1" max="1" width="12.796875" style="77" customWidth="1"/>
    <col min="2" max="2" width="7.3984375" style="77" customWidth="1"/>
    <col min="3" max="3" width="11.59765625" style="77" customWidth="1"/>
    <col min="4" max="4" width="7.3984375" style="77" customWidth="1"/>
    <col min="5" max="5" width="12.296875" style="77" customWidth="1"/>
    <col min="6" max="6" width="7.3984375" style="77" customWidth="1"/>
    <col min="7" max="7" width="13.3984375" style="77" customWidth="1"/>
    <col min="8" max="8" width="11.796875" style="77" customWidth="1"/>
    <col min="9" max="9" width="11.59765625" style="77" customWidth="1"/>
    <col min="10" max="16384" width="8.8984375" style="77" customWidth="1"/>
  </cols>
  <sheetData>
    <row r="1" spans="1:11" ht="15.75">
      <c r="A1" s="147" t="str">
        <f>inputPrYr!$C$2</f>
        <v>Geary County</v>
      </c>
      <c r="B1" s="361"/>
      <c r="C1" s="128"/>
      <c r="D1" s="128"/>
      <c r="E1" s="128"/>
      <c r="F1" s="362" t="s">
        <v>13</v>
      </c>
      <c r="G1" s="128"/>
      <c r="H1" s="128"/>
      <c r="I1" s="128"/>
      <c r="J1" s="128"/>
      <c r="K1" s="128">
        <f>inputPrYr!$C$4</f>
        <v>2012</v>
      </c>
    </row>
    <row r="2" spans="1:11" ht="15.75">
      <c r="A2" s="128"/>
      <c r="B2" s="128"/>
      <c r="C2" s="128"/>
      <c r="D2" s="128"/>
      <c r="E2" s="128"/>
      <c r="F2" s="363" t="str">
        <f>CONCATENATE("(Only the actual budget year for ",K1-2," is to be shown)")</f>
        <v>(Only the actual budget year for 2010 is to be shown)</v>
      </c>
      <c r="G2" s="128"/>
      <c r="H2" s="128"/>
      <c r="I2" s="128"/>
      <c r="J2" s="128"/>
      <c r="K2" s="128"/>
    </row>
    <row r="3" spans="1:11" ht="15.75">
      <c r="A3" s="128" t="s">
        <v>14</v>
      </c>
      <c r="B3" s="128"/>
      <c r="C3" s="128"/>
      <c r="D3" s="128"/>
      <c r="E3" s="128"/>
      <c r="F3" s="361"/>
      <c r="G3" s="128"/>
      <c r="H3" s="128"/>
      <c r="I3" s="128"/>
      <c r="J3" s="128"/>
      <c r="K3" s="128"/>
    </row>
    <row r="4" spans="1:11" ht="15.75">
      <c r="A4" s="128" t="s">
        <v>15</v>
      </c>
      <c r="B4" s="128"/>
      <c r="C4" s="128" t="s">
        <v>16</v>
      </c>
      <c r="D4" s="128"/>
      <c r="E4" s="128" t="s">
        <v>17</v>
      </c>
      <c r="F4" s="361"/>
      <c r="G4" s="128" t="s">
        <v>18</v>
      </c>
      <c r="H4" s="128"/>
      <c r="I4" s="128" t="s">
        <v>19</v>
      </c>
      <c r="J4" s="128"/>
      <c r="K4" s="128"/>
    </row>
    <row r="5" spans="1:11" ht="15.75">
      <c r="A5" s="787" t="str">
        <f>IF(inputPrYr!B64&gt;" ",(inputPrYr!B64)," ")</f>
        <v>Register of Deeds Tech (79)</v>
      </c>
      <c r="B5" s="788"/>
      <c r="C5" s="787" t="str">
        <f>IF(inputPrYr!B65&gt;" ",(inputPrYr!B65)," ")</f>
        <v>Equipment Reserve (41)</v>
      </c>
      <c r="D5" s="788"/>
      <c r="E5" s="787" t="str">
        <f>IF(inputPrYr!B66&gt;" ",(inputPrYr!B66)," ")</f>
        <v>Nox Weed Cap Outlay (9)</v>
      </c>
      <c r="F5" s="788"/>
      <c r="G5" s="787" t="str">
        <f>IF(inputPrYr!B67&gt;" ",(inputPrYr!B67)," ")</f>
        <v>Hospital GO Bond-Debt Reserve</v>
      </c>
      <c r="H5" s="788"/>
      <c r="I5" s="787" t="str">
        <f>IF(inputPrYr!B68&gt;" ",(inputPrYr!B68)," ")</f>
        <v> </v>
      </c>
      <c r="J5" s="788"/>
      <c r="K5" s="365"/>
    </row>
    <row r="6" spans="1:11" ht="15.75">
      <c r="A6" s="366" t="s">
        <v>20</v>
      </c>
      <c r="B6" s="367"/>
      <c r="C6" s="368" t="s">
        <v>20</v>
      </c>
      <c r="D6" s="369"/>
      <c r="E6" s="368" t="s">
        <v>20</v>
      </c>
      <c r="F6" s="364"/>
      <c r="G6" s="368" t="s">
        <v>20</v>
      </c>
      <c r="H6" s="370"/>
      <c r="I6" s="368" t="s">
        <v>20</v>
      </c>
      <c r="J6" s="128"/>
      <c r="K6" s="371" t="s">
        <v>133</v>
      </c>
    </row>
    <row r="7" spans="1:11" ht="15.75">
      <c r="A7" s="372" t="s">
        <v>87</v>
      </c>
      <c r="B7" s="373">
        <v>66705</v>
      </c>
      <c r="C7" s="374" t="s">
        <v>87</v>
      </c>
      <c r="D7" s="373">
        <v>55741</v>
      </c>
      <c r="E7" s="374" t="s">
        <v>87</v>
      </c>
      <c r="F7" s="373">
        <v>75807</v>
      </c>
      <c r="G7" s="374" t="s">
        <v>87</v>
      </c>
      <c r="H7" s="373">
        <v>1000000</v>
      </c>
      <c r="I7" s="374" t="s">
        <v>87</v>
      </c>
      <c r="J7" s="373"/>
      <c r="K7" s="375">
        <f>SUM(B7+D7+F7+H7+J7)</f>
        <v>1198253</v>
      </c>
    </row>
    <row r="8" spans="1:11" ht="15.75">
      <c r="A8" s="376" t="s">
        <v>283</v>
      </c>
      <c r="B8" s="377"/>
      <c r="C8" s="376" t="s">
        <v>283</v>
      </c>
      <c r="D8" s="378"/>
      <c r="E8" s="376" t="s">
        <v>283</v>
      </c>
      <c r="F8" s="361"/>
      <c r="G8" s="376" t="s">
        <v>283</v>
      </c>
      <c r="H8" s="128"/>
      <c r="I8" s="376" t="s">
        <v>283</v>
      </c>
      <c r="J8" s="128"/>
      <c r="K8" s="361"/>
    </row>
    <row r="9" spans="1:11" ht="15.75">
      <c r="A9" s="379" t="s">
        <v>1039</v>
      </c>
      <c r="B9" s="373">
        <v>38272</v>
      </c>
      <c r="C9" s="379" t="s">
        <v>1068</v>
      </c>
      <c r="D9" s="373">
        <v>150000</v>
      </c>
      <c r="E9" s="379" t="s">
        <v>1043</v>
      </c>
      <c r="F9" s="373">
        <v>15000</v>
      </c>
      <c r="G9" s="379"/>
      <c r="H9" s="373"/>
      <c r="I9" s="379"/>
      <c r="J9" s="373"/>
      <c r="K9" s="361"/>
    </row>
    <row r="10" spans="1:11" ht="15.75">
      <c r="A10" s="379"/>
      <c r="B10" s="373"/>
      <c r="C10" s="379"/>
      <c r="D10" s="373"/>
      <c r="E10" s="379"/>
      <c r="F10" s="373"/>
      <c r="G10" s="379"/>
      <c r="H10" s="373"/>
      <c r="I10" s="379"/>
      <c r="J10" s="373"/>
      <c r="K10" s="361"/>
    </row>
    <row r="11" spans="1:11" ht="15.75">
      <c r="A11" s="379"/>
      <c r="B11" s="373"/>
      <c r="C11" s="380"/>
      <c r="D11" s="373"/>
      <c r="E11" s="380"/>
      <c r="F11" s="373"/>
      <c r="G11" s="380"/>
      <c r="H11" s="373"/>
      <c r="I11" s="381"/>
      <c r="J11" s="373"/>
      <c r="K11" s="361"/>
    </row>
    <row r="12" spans="1:11" ht="15.75">
      <c r="A12" s="379"/>
      <c r="B12" s="373"/>
      <c r="C12" s="379"/>
      <c r="D12" s="373"/>
      <c r="E12" s="382"/>
      <c r="F12" s="373"/>
      <c r="G12" s="382"/>
      <c r="H12" s="373"/>
      <c r="I12" s="382"/>
      <c r="J12" s="373"/>
      <c r="K12" s="361"/>
    </row>
    <row r="13" spans="1:11" ht="15.75">
      <c r="A13" s="383"/>
      <c r="B13" s="373"/>
      <c r="C13" s="384"/>
      <c r="D13" s="373"/>
      <c r="E13" s="384"/>
      <c r="F13" s="373"/>
      <c r="G13" s="384"/>
      <c r="H13" s="373"/>
      <c r="I13" s="381"/>
      <c r="J13" s="373"/>
      <c r="K13" s="361"/>
    </row>
    <row r="14" spans="1:11" ht="15.75">
      <c r="A14" s="379"/>
      <c r="B14" s="373"/>
      <c r="C14" s="382"/>
      <c r="D14" s="373"/>
      <c r="E14" s="382"/>
      <c r="F14" s="373"/>
      <c r="G14" s="382"/>
      <c r="H14" s="373"/>
      <c r="I14" s="382"/>
      <c r="J14" s="373"/>
      <c r="K14" s="361"/>
    </row>
    <row r="15" spans="1:11" ht="15.75">
      <c r="A15" s="379"/>
      <c r="B15" s="373"/>
      <c r="C15" s="382"/>
      <c r="D15" s="373"/>
      <c r="E15" s="382"/>
      <c r="F15" s="373"/>
      <c r="G15" s="382"/>
      <c r="H15" s="373"/>
      <c r="I15" s="382"/>
      <c r="J15" s="373"/>
      <c r="K15" s="361"/>
    </row>
    <row r="16" spans="1:11" ht="15.75">
      <c r="A16" s="379"/>
      <c r="B16" s="373"/>
      <c r="C16" s="379"/>
      <c r="D16" s="373"/>
      <c r="E16" s="379"/>
      <c r="F16" s="373"/>
      <c r="G16" s="382"/>
      <c r="H16" s="373"/>
      <c r="I16" s="379"/>
      <c r="J16" s="373"/>
      <c r="K16" s="361"/>
    </row>
    <row r="17" spans="1:11" ht="15.75">
      <c r="A17" s="376" t="s">
        <v>171</v>
      </c>
      <c r="B17" s="385">
        <f>SUM(B9:B16)</f>
        <v>38272</v>
      </c>
      <c r="C17" s="376" t="s">
        <v>171</v>
      </c>
      <c r="D17" s="375">
        <f>SUM(D9:D16)</f>
        <v>150000</v>
      </c>
      <c r="E17" s="376" t="s">
        <v>171</v>
      </c>
      <c r="F17" s="452">
        <f>SUM(F9:F16)</f>
        <v>15000</v>
      </c>
      <c r="G17" s="376" t="s">
        <v>171</v>
      </c>
      <c r="H17" s="375">
        <f>SUM(H9:H16)</f>
        <v>0</v>
      </c>
      <c r="I17" s="376" t="s">
        <v>171</v>
      </c>
      <c r="J17" s="375">
        <f>SUM(J9:J16)</f>
        <v>0</v>
      </c>
      <c r="K17" s="375">
        <f>SUM(B17+D17+F17+H17+J17)</f>
        <v>203272</v>
      </c>
    </row>
    <row r="18" spans="1:11" ht="15.75">
      <c r="A18" s="376" t="s">
        <v>172</v>
      </c>
      <c r="B18" s="385">
        <f>SUM(B7+B17)</f>
        <v>104977</v>
      </c>
      <c r="C18" s="376" t="s">
        <v>172</v>
      </c>
      <c r="D18" s="375">
        <f>SUM(D7+D17)</f>
        <v>205741</v>
      </c>
      <c r="E18" s="376" t="s">
        <v>172</v>
      </c>
      <c r="F18" s="375">
        <f>SUM(F7+F17)</f>
        <v>90807</v>
      </c>
      <c r="G18" s="376" t="s">
        <v>172</v>
      </c>
      <c r="H18" s="375">
        <f>SUM(H7+H17)</f>
        <v>1000000</v>
      </c>
      <c r="I18" s="376" t="s">
        <v>172</v>
      </c>
      <c r="J18" s="375">
        <f>SUM(J7+J17)</f>
        <v>0</v>
      </c>
      <c r="K18" s="375">
        <f>SUM(B18+D18+F18+H18+J18)</f>
        <v>1401525</v>
      </c>
    </row>
    <row r="19" spans="1:11" ht="15.75">
      <c r="A19" s="376" t="s">
        <v>175</v>
      </c>
      <c r="B19" s="377"/>
      <c r="C19" s="376" t="s">
        <v>175</v>
      </c>
      <c r="D19" s="378"/>
      <c r="E19" s="376" t="s">
        <v>175</v>
      </c>
      <c r="F19" s="361"/>
      <c r="G19" s="376" t="s">
        <v>175</v>
      </c>
      <c r="H19" s="128"/>
      <c r="I19" s="376" t="s">
        <v>175</v>
      </c>
      <c r="J19" s="128"/>
      <c r="K19" s="361"/>
    </row>
    <row r="20" spans="1:11" ht="15.75">
      <c r="A20" s="379" t="s">
        <v>985</v>
      </c>
      <c r="B20" s="373">
        <v>36642</v>
      </c>
      <c r="C20" s="382"/>
      <c r="D20" s="373"/>
      <c r="E20" s="382" t="s">
        <v>1040</v>
      </c>
      <c r="F20" s="373">
        <v>3565</v>
      </c>
      <c r="G20" s="382"/>
      <c r="H20" s="373"/>
      <c r="I20" s="382"/>
      <c r="J20" s="373"/>
      <c r="K20" s="361"/>
    </row>
    <row r="21" spans="1:11" ht="15.75">
      <c r="A21" s="379" t="s">
        <v>978</v>
      </c>
      <c r="B21" s="373">
        <v>1617</v>
      </c>
      <c r="C21" s="382"/>
      <c r="D21" s="373"/>
      <c r="E21" s="382"/>
      <c r="F21" s="373"/>
      <c r="G21" s="382"/>
      <c r="H21" s="373"/>
      <c r="I21" s="382"/>
      <c r="J21" s="373"/>
      <c r="K21" s="361"/>
    </row>
    <row r="22" spans="1:11" ht="15.75">
      <c r="A22" s="379" t="s">
        <v>972</v>
      </c>
      <c r="B22" s="373">
        <v>11952</v>
      </c>
      <c r="C22" s="384"/>
      <c r="D22" s="373"/>
      <c r="E22" s="384"/>
      <c r="F22" s="373"/>
      <c r="G22" s="384"/>
      <c r="H22" s="373"/>
      <c r="I22" s="381"/>
      <c r="J22" s="373"/>
      <c r="K22" s="361"/>
    </row>
    <row r="23" spans="1:11" ht="15.75">
      <c r="A23" s="379"/>
      <c r="B23" s="373"/>
      <c r="C23" s="382"/>
      <c r="D23" s="373"/>
      <c r="E23" s="382"/>
      <c r="F23" s="373"/>
      <c r="G23" s="382"/>
      <c r="H23" s="373"/>
      <c r="I23" s="382"/>
      <c r="J23" s="373"/>
      <c r="K23" s="361"/>
    </row>
    <row r="24" spans="1:11" ht="15.75">
      <c r="A24" s="379"/>
      <c r="B24" s="373"/>
      <c r="C24" s="384"/>
      <c r="D24" s="373"/>
      <c r="E24" s="384"/>
      <c r="F24" s="373"/>
      <c r="G24" s="384"/>
      <c r="H24" s="373"/>
      <c r="I24" s="381"/>
      <c r="J24" s="373"/>
      <c r="K24" s="361"/>
    </row>
    <row r="25" spans="1:11" ht="15.75">
      <c r="A25" s="379"/>
      <c r="B25" s="373"/>
      <c r="C25" s="382"/>
      <c r="D25" s="373"/>
      <c r="E25" s="382"/>
      <c r="F25" s="373"/>
      <c r="G25" s="382"/>
      <c r="H25" s="373"/>
      <c r="I25" s="382"/>
      <c r="J25" s="373"/>
      <c r="K25" s="361"/>
    </row>
    <row r="26" spans="1:11" ht="15.75">
      <c r="A26" s="379"/>
      <c r="B26" s="373"/>
      <c r="C26" s="382"/>
      <c r="D26" s="373"/>
      <c r="E26" s="382"/>
      <c r="F26" s="373"/>
      <c r="G26" s="382"/>
      <c r="H26" s="373"/>
      <c r="I26" s="382"/>
      <c r="J26" s="373"/>
      <c r="K26" s="361"/>
    </row>
    <row r="27" spans="1:11" ht="15.75">
      <c r="A27" s="379"/>
      <c r="B27" s="373"/>
      <c r="C27" s="379"/>
      <c r="D27" s="373"/>
      <c r="E27" s="379"/>
      <c r="F27" s="373"/>
      <c r="G27" s="382"/>
      <c r="H27" s="373"/>
      <c r="I27" s="382"/>
      <c r="J27" s="373"/>
      <c r="K27" s="361"/>
    </row>
    <row r="28" spans="1:11" ht="15.75">
      <c r="A28" s="376" t="s">
        <v>176</v>
      </c>
      <c r="B28" s="375">
        <f>SUM(B20:B27)</f>
        <v>50211</v>
      </c>
      <c r="C28" s="376" t="s">
        <v>176</v>
      </c>
      <c r="D28" s="375">
        <f>SUM(D20:D27)</f>
        <v>0</v>
      </c>
      <c r="E28" s="376" t="s">
        <v>176</v>
      </c>
      <c r="F28" s="452">
        <f>SUM(F20:F27)</f>
        <v>3565</v>
      </c>
      <c r="G28" s="376" t="s">
        <v>176</v>
      </c>
      <c r="H28" s="452">
        <f>SUM(H20:H27)</f>
        <v>0</v>
      </c>
      <c r="I28" s="376" t="s">
        <v>176</v>
      </c>
      <c r="J28" s="375">
        <f>SUM(J20:J27)</f>
        <v>0</v>
      </c>
      <c r="K28" s="375">
        <f>SUM(B28+D28+F28+H28+J28)</f>
        <v>53776</v>
      </c>
    </row>
    <row r="29" spans="1:12" ht="15.75">
      <c r="A29" s="376" t="s">
        <v>21</v>
      </c>
      <c r="B29" s="375">
        <f>B18-B28</f>
        <v>54766</v>
      </c>
      <c r="C29" s="376" t="s">
        <v>21</v>
      </c>
      <c r="D29" s="375">
        <f>D18-D28</f>
        <v>205741</v>
      </c>
      <c r="E29" s="376" t="s">
        <v>21</v>
      </c>
      <c r="F29" s="375">
        <f>F18-F28</f>
        <v>87242</v>
      </c>
      <c r="G29" s="376" t="s">
        <v>21</v>
      </c>
      <c r="H29" s="375">
        <f>H18-H28</f>
        <v>1000000</v>
      </c>
      <c r="I29" s="376" t="s">
        <v>21</v>
      </c>
      <c r="J29" s="375">
        <f>J18-J28</f>
        <v>0</v>
      </c>
      <c r="K29" s="386">
        <f>SUM(B29+D29+F29+H29+J29)</f>
        <v>1347749</v>
      </c>
      <c r="L29" s="77" t="s">
        <v>60</v>
      </c>
    </row>
    <row r="30" spans="1:12" ht="15.75">
      <c r="A30" s="376"/>
      <c r="B30" s="417">
        <f>IF(B29&lt;0,"See Tab B","")</f>
      </c>
      <c r="C30" s="376"/>
      <c r="D30" s="417">
        <f>IF(D29&lt;0,"See Tab B","")</f>
      </c>
      <c r="E30" s="376"/>
      <c r="F30" s="417">
        <f>IF(F29&lt;0,"See Tab B","")</f>
      </c>
      <c r="G30" s="128"/>
      <c r="H30" s="417">
        <f>IF(H29&lt;0,"See Tab B","")</f>
      </c>
      <c r="I30" s="128"/>
      <c r="J30" s="417">
        <f>IF(J29&lt;0,"See Tab B","")</f>
      </c>
      <c r="K30" s="386">
        <f>SUM(K7+K17-K28)</f>
        <v>1347749</v>
      </c>
      <c r="L30" s="77" t="s">
        <v>60</v>
      </c>
    </row>
    <row r="31" spans="1:11" ht="15.75">
      <c r="A31" s="128"/>
      <c r="B31" s="387"/>
      <c r="C31" s="128"/>
      <c r="D31" s="361"/>
      <c r="E31" s="128"/>
      <c r="F31" s="128"/>
      <c r="G31" s="87" t="s">
        <v>61</v>
      </c>
      <c r="H31" s="87"/>
      <c r="I31" s="87"/>
      <c r="J31" s="87"/>
      <c r="K31" s="128"/>
    </row>
    <row r="32" spans="1:11" ht="15.75">
      <c r="A32" s="128"/>
      <c r="B32" s="387"/>
      <c r="C32" s="128"/>
      <c r="D32" s="128"/>
      <c r="E32" s="128"/>
      <c r="F32" s="128"/>
      <c r="G32" s="128"/>
      <c r="H32" s="128"/>
      <c r="I32" s="128"/>
      <c r="J32" s="128"/>
      <c r="K32" s="128"/>
    </row>
    <row r="33" spans="1:11" ht="15.75">
      <c r="A33" s="128"/>
      <c r="B33" s="387"/>
      <c r="C33" s="128"/>
      <c r="D33" s="128"/>
      <c r="E33" s="329" t="s">
        <v>190</v>
      </c>
      <c r="F33" s="356">
        <v>28</v>
      </c>
      <c r="G33" s="128"/>
      <c r="H33" s="128"/>
      <c r="I33" s="128"/>
      <c r="J33" s="128"/>
      <c r="K33" s="128"/>
    </row>
    <row r="34" ht="15.75">
      <c r="B34" s="388"/>
    </row>
    <row r="35" ht="15.75">
      <c r="B35" s="388"/>
    </row>
    <row r="36" ht="15.75">
      <c r="B36" s="388"/>
    </row>
    <row r="37" ht="15.75">
      <c r="B37" s="388"/>
    </row>
    <row r="38" ht="15.75">
      <c r="B38" s="388"/>
    </row>
    <row r="39" ht="15.75">
      <c r="B39" s="388"/>
    </row>
    <row r="40" ht="15.75">
      <c r="B40" s="388"/>
    </row>
    <row r="41" ht="15.75">
      <c r="B41" s="388"/>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County</oddHeader>
  </headerFooter>
</worksheet>
</file>

<file path=xl/worksheets/sheet38.xml><?xml version="1.0" encoding="utf-8"?>
<worksheet xmlns="http://schemas.openxmlformats.org/spreadsheetml/2006/main" xmlns:r="http://schemas.openxmlformats.org/officeDocument/2006/relationships">
  <sheetPr>
    <tabColor theme="9"/>
    <pageSetUpPr fitToPage="1"/>
  </sheetPr>
  <dimension ref="A1:L41"/>
  <sheetViews>
    <sheetView zoomScalePageLayoutView="0" workbookViewId="0" topLeftCell="A1">
      <selection activeCell="H67" sqref="H67"/>
    </sheetView>
  </sheetViews>
  <sheetFormatPr defaultColWidth="8.796875" defaultRowHeight="15"/>
  <cols>
    <col min="1" max="1" width="11.59765625" style="77" customWidth="1"/>
    <col min="2" max="2" width="7.3984375" style="77" customWidth="1"/>
    <col min="3" max="3" width="11.59765625" style="77" customWidth="1"/>
    <col min="4" max="4" width="7.3984375" style="77" customWidth="1"/>
    <col min="5" max="5" width="11.59765625" style="77" customWidth="1"/>
    <col min="6" max="6" width="7.3984375" style="77" customWidth="1"/>
    <col min="7" max="7" width="11.59765625" style="77" customWidth="1"/>
    <col min="8" max="8" width="7.3984375" style="77" customWidth="1"/>
    <col min="9" max="9" width="11.59765625" style="77" customWidth="1"/>
    <col min="10" max="16384" width="8.8984375" style="77" customWidth="1"/>
  </cols>
  <sheetData>
    <row r="1" spans="1:11" ht="15.75">
      <c r="A1" s="147" t="str">
        <f>inputPrYr!$C$2</f>
        <v>Geary County</v>
      </c>
      <c r="B1" s="361"/>
      <c r="C1" s="128"/>
      <c r="D1" s="128"/>
      <c r="E1" s="128"/>
      <c r="F1" s="362" t="s">
        <v>22</v>
      </c>
      <c r="G1" s="128"/>
      <c r="H1" s="128"/>
      <c r="I1" s="128"/>
      <c r="J1" s="128"/>
      <c r="K1" s="128">
        <f>inputPrYr!$C$4</f>
        <v>2012</v>
      </c>
    </row>
    <row r="2" spans="1:11" ht="15.75">
      <c r="A2" s="128"/>
      <c r="B2" s="128"/>
      <c r="C2" s="128"/>
      <c r="D2" s="128"/>
      <c r="E2" s="128"/>
      <c r="F2" s="363" t="str">
        <f>CONCATENATE("(Only the actual budget year for ",K1-2," is to be shown)")</f>
        <v>(Only the actual budget year for 2010 is to be shown)</v>
      </c>
      <c r="G2" s="128"/>
      <c r="H2" s="128"/>
      <c r="I2" s="128"/>
      <c r="J2" s="128"/>
      <c r="K2" s="128"/>
    </row>
    <row r="3" spans="1:11" ht="15.75">
      <c r="A3" s="128" t="s">
        <v>23</v>
      </c>
      <c r="B3" s="128"/>
      <c r="C3" s="128"/>
      <c r="D3" s="128"/>
      <c r="E3" s="128"/>
      <c r="F3" s="361"/>
      <c r="G3" s="128"/>
      <c r="H3" s="128"/>
      <c r="I3" s="128"/>
      <c r="J3" s="128"/>
      <c r="K3" s="128"/>
    </row>
    <row r="4" spans="1:11" ht="15.75">
      <c r="A4" s="128" t="s">
        <v>15</v>
      </c>
      <c r="B4" s="128"/>
      <c r="C4" s="128" t="s">
        <v>16</v>
      </c>
      <c r="D4" s="128"/>
      <c r="E4" s="128" t="s">
        <v>17</v>
      </c>
      <c r="F4" s="361"/>
      <c r="G4" s="128" t="s">
        <v>18</v>
      </c>
      <c r="H4" s="128"/>
      <c r="I4" s="128" t="s">
        <v>19</v>
      </c>
      <c r="J4" s="128"/>
      <c r="K4" s="128"/>
    </row>
    <row r="5" spans="1:11" ht="15.75">
      <c r="A5" s="787" t="str">
        <f>IF(inputPrYr!B70&gt;" ",(inputPrYr!B70)," ")</f>
        <v> </v>
      </c>
      <c r="B5" s="788"/>
      <c r="C5" s="787" t="str">
        <f>IF(inputPrYr!B71&gt;" ",(inputPrYr!B71)," ")</f>
        <v> </v>
      </c>
      <c r="D5" s="788"/>
      <c r="E5" s="787" t="str">
        <f>IF(inputPrYr!B72&gt;" ",(inputPrYr!B72)," ")</f>
        <v> </v>
      </c>
      <c r="F5" s="788"/>
      <c r="G5" s="787" t="str">
        <f>IF(inputPrYr!B73&gt;" ",(inputPrYr!B73)," ")</f>
        <v> </v>
      </c>
      <c r="H5" s="788"/>
      <c r="I5" s="787" t="str">
        <f>IF(inputPrYr!B74&gt;" ",(inputPrYr!B74)," ")</f>
        <v> </v>
      </c>
      <c r="J5" s="788"/>
      <c r="K5" s="365"/>
    </row>
    <row r="6" spans="1:11" ht="15.75">
      <c r="A6" s="366" t="s">
        <v>20</v>
      </c>
      <c r="B6" s="367"/>
      <c r="C6" s="368" t="s">
        <v>20</v>
      </c>
      <c r="D6" s="369"/>
      <c r="E6" s="368" t="s">
        <v>20</v>
      </c>
      <c r="F6" s="364"/>
      <c r="G6" s="368" t="s">
        <v>20</v>
      </c>
      <c r="H6" s="370"/>
      <c r="I6" s="368" t="s">
        <v>20</v>
      </c>
      <c r="J6" s="128"/>
      <c r="K6" s="371" t="s">
        <v>133</v>
      </c>
    </row>
    <row r="7" spans="1:11" ht="15.75">
      <c r="A7" s="372" t="s">
        <v>87</v>
      </c>
      <c r="B7" s="373"/>
      <c r="C7" s="374" t="s">
        <v>87</v>
      </c>
      <c r="D7" s="373"/>
      <c r="E7" s="374" t="s">
        <v>87</v>
      </c>
      <c r="F7" s="373"/>
      <c r="G7" s="374" t="s">
        <v>87</v>
      </c>
      <c r="H7" s="373"/>
      <c r="I7" s="374" t="s">
        <v>87</v>
      </c>
      <c r="J7" s="373"/>
      <c r="K7" s="375">
        <f>SUM(B7+D7+F7+H7+J7)</f>
        <v>0</v>
      </c>
    </row>
    <row r="8" spans="1:11" ht="15.75">
      <c r="A8" s="376" t="s">
        <v>283</v>
      </c>
      <c r="B8" s="377"/>
      <c r="C8" s="376" t="s">
        <v>283</v>
      </c>
      <c r="D8" s="378"/>
      <c r="E8" s="376" t="s">
        <v>283</v>
      </c>
      <c r="F8" s="361"/>
      <c r="G8" s="376" t="s">
        <v>283</v>
      </c>
      <c r="H8" s="128"/>
      <c r="I8" s="376" t="s">
        <v>283</v>
      </c>
      <c r="J8" s="128"/>
      <c r="K8" s="361"/>
    </row>
    <row r="9" spans="1:11" ht="15.75">
      <c r="A9" s="379"/>
      <c r="B9" s="373"/>
      <c r="C9" s="379"/>
      <c r="D9" s="373"/>
      <c r="E9" s="379"/>
      <c r="F9" s="373"/>
      <c r="G9" s="379"/>
      <c r="H9" s="373"/>
      <c r="I9" s="379"/>
      <c r="J9" s="373"/>
      <c r="K9" s="361"/>
    </row>
    <row r="10" spans="1:11" ht="15.75">
      <c r="A10" s="379"/>
      <c r="B10" s="373"/>
      <c r="C10" s="379"/>
      <c r="D10" s="373"/>
      <c r="E10" s="379"/>
      <c r="F10" s="373"/>
      <c r="G10" s="379"/>
      <c r="H10" s="373"/>
      <c r="I10" s="379"/>
      <c r="J10" s="373"/>
      <c r="K10" s="361"/>
    </row>
    <row r="11" spans="1:11" ht="15.75">
      <c r="A11" s="379"/>
      <c r="B11" s="373"/>
      <c r="C11" s="380"/>
      <c r="D11" s="373"/>
      <c r="E11" s="380"/>
      <c r="F11" s="373"/>
      <c r="G11" s="380"/>
      <c r="H11" s="373"/>
      <c r="I11" s="381"/>
      <c r="J11" s="373"/>
      <c r="K11" s="361"/>
    </row>
    <row r="12" spans="1:11" ht="15.75">
      <c r="A12" s="379"/>
      <c r="B12" s="373"/>
      <c r="C12" s="379"/>
      <c r="D12" s="373"/>
      <c r="E12" s="382"/>
      <c r="F12" s="373"/>
      <c r="G12" s="382"/>
      <c r="H12" s="373"/>
      <c r="I12" s="382"/>
      <c r="J12" s="373"/>
      <c r="K12" s="361"/>
    </row>
    <row r="13" spans="1:11" ht="15.75">
      <c r="A13" s="383"/>
      <c r="B13" s="373"/>
      <c r="C13" s="384"/>
      <c r="D13" s="373"/>
      <c r="E13" s="384"/>
      <c r="F13" s="373"/>
      <c r="G13" s="384"/>
      <c r="H13" s="373"/>
      <c r="I13" s="381"/>
      <c r="J13" s="373"/>
      <c r="K13" s="361"/>
    </row>
    <row r="14" spans="1:11" ht="15.75">
      <c r="A14" s="379"/>
      <c r="B14" s="373"/>
      <c r="C14" s="382"/>
      <c r="D14" s="373"/>
      <c r="E14" s="382"/>
      <c r="F14" s="373"/>
      <c r="G14" s="382"/>
      <c r="H14" s="373"/>
      <c r="I14" s="382"/>
      <c r="J14" s="373"/>
      <c r="K14" s="361"/>
    </row>
    <row r="15" spans="1:11" ht="15.75">
      <c r="A15" s="379"/>
      <c r="B15" s="373"/>
      <c r="C15" s="382"/>
      <c r="D15" s="373"/>
      <c r="E15" s="382"/>
      <c r="F15" s="373"/>
      <c r="G15" s="382"/>
      <c r="H15" s="373"/>
      <c r="I15" s="382"/>
      <c r="J15" s="373"/>
      <c r="K15" s="361"/>
    </row>
    <row r="16" spans="1:11" ht="15.75">
      <c r="A16" s="379"/>
      <c r="B16" s="373"/>
      <c r="C16" s="379"/>
      <c r="D16" s="373"/>
      <c r="E16" s="379"/>
      <c r="F16" s="373"/>
      <c r="G16" s="382"/>
      <c r="H16" s="373"/>
      <c r="I16" s="379"/>
      <c r="J16" s="373"/>
      <c r="K16" s="361"/>
    </row>
    <row r="17" spans="1:11" ht="15.75">
      <c r="A17" s="376" t="s">
        <v>171</v>
      </c>
      <c r="B17" s="375">
        <f>SUM(B9:B16)</f>
        <v>0</v>
      </c>
      <c r="C17" s="376" t="s">
        <v>171</v>
      </c>
      <c r="D17" s="375">
        <f>SUM(D9:D16)</f>
        <v>0</v>
      </c>
      <c r="E17" s="376" t="s">
        <v>171</v>
      </c>
      <c r="F17" s="452">
        <f>SUM(F9:F16)</f>
        <v>0</v>
      </c>
      <c r="G17" s="376" t="s">
        <v>171</v>
      </c>
      <c r="H17" s="375">
        <f>SUM(H9:H16)</f>
        <v>0</v>
      </c>
      <c r="I17" s="376" t="s">
        <v>171</v>
      </c>
      <c r="J17" s="375">
        <f>SUM(J9:J16)</f>
        <v>0</v>
      </c>
      <c r="K17" s="375">
        <f>SUM(B17+D17+F17+H17+J17)</f>
        <v>0</v>
      </c>
    </row>
    <row r="18" spans="1:11" ht="15.75">
      <c r="A18" s="376" t="s">
        <v>172</v>
      </c>
      <c r="B18" s="375">
        <f>SUM(B7+B17)</f>
        <v>0</v>
      </c>
      <c r="C18" s="376" t="s">
        <v>172</v>
      </c>
      <c r="D18" s="375">
        <f>SUM(D7+D17)</f>
        <v>0</v>
      </c>
      <c r="E18" s="376" t="s">
        <v>172</v>
      </c>
      <c r="F18" s="375">
        <f>SUM(F7+F17)</f>
        <v>0</v>
      </c>
      <c r="G18" s="376" t="s">
        <v>172</v>
      </c>
      <c r="H18" s="375">
        <f>SUM(H7+H17)</f>
        <v>0</v>
      </c>
      <c r="I18" s="376" t="s">
        <v>172</v>
      </c>
      <c r="J18" s="375">
        <f>SUM(J7+J17)</f>
        <v>0</v>
      </c>
      <c r="K18" s="375">
        <f>SUM(B18+D18+F18+H18+J18)</f>
        <v>0</v>
      </c>
    </row>
    <row r="19" spans="1:11" ht="15.75">
      <c r="A19" s="376" t="s">
        <v>175</v>
      </c>
      <c r="B19" s="377"/>
      <c r="C19" s="376" t="s">
        <v>175</v>
      </c>
      <c r="D19" s="378"/>
      <c r="E19" s="376" t="s">
        <v>175</v>
      </c>
      <c r="F19" s="361"/>
      <c r="G19" s="376" t="s">
        <v>175</v>
      </c>
      <c r="H19" s="128"/>
      <c r="I19" s="376" t="s">
        <v>175</v>
      </c>
      <c r="J19" s="128"/>
      <c r="K19" s="361"/>
    </row>
    <row r="20" spans="1:11" ht="15.75">
      <c r="A20" s="379"/>
      <c r="B20" s="373"/>
      <c r="C20" s="382"/>
      <c r="D20" s="373"/>
      <c r="E20" s="382"/>
      <c r="F20" s="373"/>
      <c r="G20" s="382"/>
      <c r="H20" s="373"/>
      <c r="I20" s="382"/>
      <c r="J20" s="373"/>
      <c r="K20" s="361"/>
    </row>
    <row r="21" spans="1:11" ht="15.75">
      <c r="A21" s="379"/>
      <c r="B21" s="373"/>
      <c r="C21" s="382"/>
      <c r="D21" s="373"/>
      <c r="E21" s="382"/>
      <c r="F21" s="373"/>
      <c r="G21" s="382"/>
      <c r="H21" s="373"/>
      <c r="I21" s="382"/>
      <c r="J21" s="373"/>
      <c r="K21" s="361"/>
    </row>
    <row r="22" spans="1:11" ht="15.75">
      <c r="A22" s="379"/>
      <c r="B22" s="373"/>
      <c r="C22" s="384"/>
      <c r="D22" s="373"/>
      <c r="E22" s="384"/>
      <c r="F22" s="373"/>
      <c r="G22" s="384"/>
      <c r="H22" s="373"/>
      <c r="I22" s="381"/>
      <c r="J22" s="373"/>
      <c r="K22" s="361"/>
    </row>
    <row r="23" spans="1:11" ht="15.75">
      <c r="A23" s="379"/>
      <c r="B23" s="373"/>
      <c r="C23" s="382"/>
      <c r="D23" s="373"/>
      <c r="E23" s="382"/>
      <c r="F23" s="373"/>
      <c r="G23" s="382"/>
      <c r="H23" s="373"/>
      <c r="I23" s="382"/>
      <c r="J23" s="373"/>
      <c r="K23" s="361"/>
    </row>
    <row r="24" spans="1:11" ht="15.75">
      <c r="A24" s="379"/>
      <c r="B24" s="373"/>
      <c r="C24" s="384"/>
      <c r="D24" s="373"/>
      <c r="E24" s="384"/>
      <c r="F24" s="373"/>
      <c r="G24" s="384"/>
      <c r="H24" s="373"/>
      <c r="I24" s="381"/>
      <c r="J24" s="373"/>
      <c r="K24" s="361"/>
    </row>
    <row r="25" spans="1:11" ht="15.75">
      <c r="A25" s="379"/>
      <c r="B25" s="373"/>
      <c r="C25" s="382"/>
      <c r="D25" s="373"/>
      <c r="E25" s="382"/>
      <c r="F25" s="373"/>
      <c r="G25" s="382"/>
      <c r="H25" s="373"/>
      <c r="I25" s="382"/>
      <c r="J25" s="373"/>
      <c r="K25" s="361"/>
    </row>
    <row r="26" spans="1:11" ht="15.75">
      <c r="A26" s="379"/>
      <c r="B26" s="373"/>
      <c r="C26" s="382"/>
      <c r="D26" s="373"/>
      <c r="E26" s="382"/>
      <c r="F26" s="373"/>
      <c r="G26" s="382"/>
      <c r="H26" s="373"/>
      <c r="I26" s="382"/>
      <c r="J26" s="373"/>
      <c r="K26" s="361"/>
    </row>
    <row r="27" spans="1:11" ht="15.75">
      <c r="A27" s="379"/>
      <c r="B27" s="373"/>
      <c r="C27" s="379"/>
      <c r="D27" s="373"/>
      <c r="E27" s="379"/>
      <c r="F27" s="373"/>
      <c r="G27" s="382"/>
      <c r="H27" s="373"/>
      <c r="I27" s="382"/>
      <c r="J27" s="373"/>
      <c r="K27" s="361"/>
    </row>
    <row r="28" spans="1:11" ht="15.75">
      <c r="A28" s="376" t="s">
        <v>176</v>
      </c>
      <c r="B28" s="375">
        <f>SUM(B20:B27)</f>
        <v>0</v>
      </c>
      <c r="C28" s="376" t="s">
        <v>176</v>
      </c>
      <c r="D28" s="375">
        <f>SUM(D20:D27)</f>
        <v>0</v>
      </c>
      <c r="E28" s="376" t="s">
        <v>176</v>
      </c>
      <c r="F28" s="452">
        <f>SUM(F20:F27)</f>
        <v>0</v>
      </c>
      <c r="G28" s="376" t="s">
        <v>176</v>
      </c>
      <c r="H28" s="452">
        <f>SUM(H20:H27)</f>
        <v>0</v>
      </c>
      <c r="I28" s="376" t="s">
        <v>176</v>
      </c>
      <c r="J28" s="375">
        <f>SUM(J20:J27)</f>
        <v>0</v>
      </c>
      <c r="K28" s="375">
        <f>SUM(B28+D28+F28+H28+J28)</f>
        <v>0</v>
      </c>
    </row>
    <row r="29" spans="1:12" ht="15.75">
      <c r="A29" s="376" t="s">
        <v>21</v>
      </c>
      <c r="B29" s="375">
        <f>B18-B28</f>
        <v>0</v>
      </c>
      <c r="C29" s="376" t="s">
        <v>21</v>
      </c>
      <c r="D29" s="375">
        <f>D18-D28</f>
        <v>0</v>
      </c>
      <c r="E29" s="376" t="s">
        <v>21</v>
      </c>
      <c r="F29" s="375">
        <f>F18-F28</f>
        <v>0</v>
      </c>
      <c r="G29" s="376" t="s">
        <v>21</v>
      </c>
      <c r="H29" s="375">
        <f>H18-H28</f>
        <v>0</v>
      </c>
      <c r="I29" s="376" t="s">
        <v>21</v>
      </c>
      <c r="J29" s="375">
        <f>J18-J28</f>
        <v>0</v>
      </c>
      <c r="K29" s="386">
        <f>SUM(B29+D29+F29+H29+J29)</f>
        <v>0</v>
      </c>
      <c r="L29" s="77" t="s">
        <v>60</v>
      </c>
    </row>
    <row r="30" spans="1:12" ht="15.75">
      <c r="A30" s="376"/>
      <c r="B30" s="417">
        <f>IF(B29&lt;0,"See Tab B","")</f>
      </c>
      <c r="C30" s="376"/>
      <c r="D30" s="417">
        <f>IF(D29&lt;0,"See Tab B","")</f>
      </c>
      <c r="E30" s="376"/>
      <c r="F30" s="417">
        <f>IF(F29&lt;0,"See Tab B","")</f>
      </c>
      <c r="G30" s="128"/>
      <c r="H30" s="417">
        <f>IF(H29&lt;0,"See Tab B","")</f>
      </c>
      <c r="I30" s="128"/>
      <c r="J30" s="417">
        <f>IF(J29&lt;0,"See Tab B","")</f>
      </c>
      <c r="K30" s="386">
        <f>SUM(K7+K17-K28)</f>
        <v>0</v>
      </c>
      <c r="L30" s="77" t="s">
        <v>60</v>
      </c>
    </row>
    <row r="31" spans="1:11" ht="15.75">
      <c r="A31" s="128"/>
      <c r="B31" s="387"/>
      <c r="C31" s="128"/>
      <c r="D31" s="361"/>
      <c r="E31" s="128"/>
      <c r="F31" s="128"/>
      <c r="G31" s="87" t="s">
        <v>61</v>
      </c>
      <c r="H31" s="87"/>
      <c r="I31" s="87"/>
      <c r="J31" s="87"/>
      <c r="K31" s="128"/>
    </row>
    <row r="32" spans="1:11" ht="15.75">
      <c r="A32" s="128"/>
      <c r="B32" s="387"/>
      <c r="C32" s="128"/>
      <c r="D32" s="128"/>
      <c r="E32" s="128"/>
      <c r="F32" s="128"/>
      <c r="G32" s="128"/>
      <c r="H32" s="128"/>
      <c r="I32" s="128"/>
      <c r="J32" s="128"/>
      <c r="K32" s="128"/>
    </row>
    <row r="33" spans="1:11" ht="15.75">
      <c r="A33" s="128"/>
      <c r="B33" s="387"/>
      <c r="C33" s="128"/>
      <c r="D33" s="128"/>
      <c r="E33" s="329" t="s">
        <v>190</v>
      </c>
      <c r="F33" s="356"/>
      <c r="G33" s="128"/>
      <c r="H33" s="128"/>
      <c r="I33" s="128"/>
      <c r="J33" s="128"/>
      <c r="K33" s="128"/>
    </row>
    <row r="34" ht="15.75">
      <c r="B34" s="388"/>
    </row>
    <row r="35" ht="15.75">
      <c r="B35" s="388"/>
    </row>
    <row r="36" ht="15.75">
      <c r="B36" s="388"/>
    </row>
    <row r="37" ht="15.75">
      <c r="B37" s="388"/>
    </row>
    <row r="38" ht="15.75">
      <c r="B38" s="388"/>
    </row>
    <row r="39" ht="15.75">
      <c r="B39" s="388"/>
    </row>
    <row r="40" ht="15.75">
      <c r="B40" s="388"/>
    </row>
    <row r="41" ht="15.75">
      <c r="B41" s="3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9" r:id="rId1"/>
  <headerFooter alignWithMargins="0">
    <oddHeader>&amp;RState of Kansas
County</oddHeader>
  </headerFooter>
</worksheet>
</file>

<file path=xl/worksheets/sheet39.xml><?xml version="1.0" encoding="utf-8"?>
<worksheet xmlns="http://schemas.openxmlformats.org/spreadsheetml/2006/main" xmlns:r="http://schemas.openxmlformats.org/officeDocument/2006/relationships">
  <sheetPr>
    <tabColor theme="9"/>
    <pageSetUpPr fitToPage="1"/>
  </sheetPr>
  <dimension ref="A1:L41"/>
  <sheetViews>
    <sheetView zoomScalePageLayoutView="0" workbookViewId="0" topLeftCell="A1">
      <selection activeCell="H67" sqref="H67"/>
    </sheetView>
  </sheetViews>
  <sheetFormatPr defaultColWidth="8.796875" defaultRowHeight="15"/>
  <cols>
    <col min="1" max="1" width="11.59765625" style="77" customWidth="1"/>
    <col min="2" max="2" width="7.3984375" style="77" customWidth="1"/>
    <col min="3" max="3" width="11.59765625" style="77" customWidth="1"/>
    <col min="4" max="4" width="7.3984375" style="77" customWidth="1"/>
    <col min="5" max="5" width="11.59765625" style="77" customWidth="1"/>
    <col min="6" max="6" width="7.3984375" style="77" customWidth="1"/>
    <col min="7" max="7" width="11.59765625" style="77" customWidth="1"/>
    <col min="8" max="8" width="7.3984375" style="77" customWidth="1"/>
    <col min="9" max="9" width="11.59765625" style="77" customWidth="1"/>
    <col min="10" max="16384" width="8.8984375" style="77" customWidth="1"/>
  </cols>
  <sheetData>
    <row r="1" spans="1:11" ht="15.75">
      <c r="A1" s="147" t="str">
        <f>inputPrYr!$C$2</f>
        <v>Geary County</v>
      </c>
      <c r="B1" s="361"/>
      <c r="C1" s="128"/>
      <c r="D1" s="128"/>
      <c r="E1" s="128"/>
      <c r="F1" s="362" t="s">
        <v>24</v>
      </c>
      <c r="G1" s="128"/>
      <c r="H1" s="128"/>
      <c r="I1" s="128"/>
      <c r="J1" s="128"/>
      <c r="K1" s="128">
        <f>inputPrYr!$C$4</f>
        <v>2012</v>
      </c>
    </row>
    <row r="2" spans="1:11" ht="15.75">
      <c r="A2" s="128"/>
      <c r="B2" s="128"/>
      <c r="C2" s="128"/>
      <c r="D2" s="128"/>
      <c r="E2" s="128"/>
      <c r="F2" s="363" t="str">
        <f>CONCATENATE("(Only the actual budget year for ",K1-2," is to be shown)")</f>
        <v>(Only the actual budget year for 2010 is to be shown)</v>
      </c>
      <c r="G2" s="128"/>
      <c r="H2" s="128"/>
      <c r="I2" s="128"/>
      <c r="J2" s="128"/>
      <c r="K2" s="128"/>
    </row>
    <row r="3" spans="1:11" ht="15.75">
      <c r="A3" s="128" t="s">
        <v>25</v>
      </c>
      <c r="B3" s="128"/>
      <c r="C3" s="128"/>
      <c r="D3" s="128"/>
      <c r="E3" s="128"/>
      <c r="F3" s="361"/>
      <c r="G3" s="128"/>
      <c r="H3" s="128"/>
      <c r="I3" s="128"/>
      <c r="J3" s="128"/>
      <c r="K3" s="128"/>
    </row>
    <row r="4" spans="1:11" ht="15.75">
      <c r="A4" s="128" t="s">
        <v>15</v>
      </c>
      <c r="B4" s="128"/>
      <c r="C4" s="128" t="s">
        <v>16</v>
      </c>
      <c r="D4" s="128"/>
      <c r="E4" s="128" t="s">
        <v>17</v>
      </c>
      <c r="F4" s="361"/>
      <c r="G4" s="128" t="s">
        <v>18</v>
      </c>
      <c r="H4" s="128"/>
      <c r="I4" s="128" t="s">
        <v>19</v>
      </c>
      <c r="J4" s="128"/>
      <c r="K4" s="128"/>
    </row>
    <row r="5" spans="1:11" ht="15.75">
      <c r="A5" s="787" t="str">
        <f>IF(inputPrYr!B76&gt;" ",(inputPrYr!B76)," ")</f>
        <v> </v>
      </c>
      <c r="B5" s="788"/>
      <c r="C5" s="787" t="str">
        <f>IF(inputPrYr!B77&gt;" ",(inputPrYr!B77)," ")</f>
        <v> </v>
      </c>
      <c r="D5" s="788"/>
      <c r="E5" s="787" t="str">
        <f>IF(inputPrYr!B78&gt;" ",(inputPrYr!B78)," ")</f>
        <v> </v>
      </c>
      <c r="F5" s="788"/>
      <c r="G5" s="787" t="str">
        <f>IF(inputPrYr!B79&gt;" ",(inputPrYr!B79)," ")</f>
        <v> </v>
      </c>
      <c r="H5" s="788"/>
      <c r="I5" s="787" t="str">
        <f>IF(inputPrYr!B80&gt;" ",(inputPrYr!B80)," ")</f>
        <v> </v>
      </c>
      <c r="J5" s="788"/>
      <c r="K5" s="365"/>
    </row>
    <row r="6" spans="1:11" ht="15.75">
      <c r="A6" s="366" t="s">
        <v>20</v>
      </c>
      <c r="B6" s="367"/>
      <c r="C6" s="368" t="s">
        <v>20</v>
      </c>
      <c r="D6" s="369"/>
      <c r="E6" s="368" t="s">
        <v>20</v>
      </c>
      <c r="F6" s="364"/>
      <c r="G6" s="368" t="s">
        <v>20</v>
      </c>
      <c r="H6" s="370"/>
      <c r="I6" s="368" t="s">
        <v>20</v>
      </c>
      <c r="J6" s="128"/>
      <c r="K6" s="371" t="s">
        <v>133</v>
      </c>
    </row>
    <row r="7" spans="1:11" ht="15.75">
      <c r="A7" s="372" t="s">
        <v>87</v>
      </c>
      <c r="B7" s="373"/>
      <c r="C7" s="374" t="s">
        <v>87</v>
      </c>
      <c r="D7" s="373"/>
      <c r="E7" s="374" t="s">
        <v>87</v>
      </c>
      <c r="F7" s="373"/>
      <c r="G7" s="374" t="s">
        <v>87</v>
      </c>
      <c r="H7" s="373"/>
      <c r="I7" s="374" t="s">
        <v>87</v>
      </c>
      <c r="J7" s="373"/>
      <c r="K7" s="375">
        <f>SUM(B7+D7+F7+H7+J7)</f>
        <v>0</v>
      </c>
    </row>
    <row r="8" spans="1:11" ht="15.75">
      <c r="A8" s="376" t="s">
        <v>283</v>
      </c>
      <c r="B8" s="377"/>
      <c r="C8" s="376" t="s">
        <v>283</v>
      </c>
      <c r="D8" s="378"/>
      <c r="E8" s="376" t="s">
        <v>283</v>
      </c>
      <c r="F8" s="361"/>
      <c r="G8" s="376" t="s">
        <v>283</v>
      </c>
      <c r="H8" s="128"/>
      <c r="I8" s="376" t="s">
        <v>283</v>
      </c>
      <c r="J8" s="128"/>
      <c r="K8" s="361"/>
    </row>
    <row r="9" spans="1:11" ht="15.75">
      <c r="A9" s="379"/>
      <c r="B9" s="373"/>
      <c r="C9" s="379"/>
      <c r="D9" s="373"/>
      <c r="E9" s="379"/>
      <c r="F9" s="373"/>
      <c r="G9" s="379"/>
      <c r="H9" s="373"/>
      <c r="I9" s="379"/>
      <c r="J9" s="373"/>
      <c r="K9" s="361"/>
    </row>
    <row r="10" spans="1:11" ht="15.75">
      <c r="A10" s="379"/>
      <c r="B10" s="373"/>
      <c r="C10" s="379"/>
      <c r="D10" s="373"/>
      <c r="E10" s="379"/>
      <c r="F10" s="373"/>
      <c r="G10" s="379"/>
      <c r="H10" s="373"/>
      <c r="I10" s="379"/>
      <c r="J10" s="373"/>
      <c r="K10" s="361"/>
    </row>
    <row r="11" spans="1:11" ht="15.75">
      <c r="A11" s="379"/>
      <c r="B11" s="373"/>
      <c r="C11" s="380"/>
      <c r="D11" s="373"/>
      <c r="E11" s="380"/>
      <c r="F11" s="373"/>
      <c r="G11" s="380"/>
      <c r="H11" s="373"/>
      <c r="I11" s="381"/>
      <c r="J11" s="373"/>
      <c r="K11" s="361"/>
    </row>
    <row r="12" spans="1:11" ht="15.75">
      <c r="A12" s="379"/>
      <c r="B12" s="373"/>
      <c r="C12" s="379"/>
      <c r="D12" s="373"/>
      <c r="E12" s="382"/>
      <c r="F12" s="373"/>
      <c r="G12" s="382"/>
      <c r="H12" s="373"/>
      <c r="I12" s="382"/>
      <c r="J12" s="373"/>
      <c r="K12" s="361"/>
    </row>
    <row r="13" spans="1:11" ht="15.75">
      <c r="A13" s="383"/>
      <c r="B13" s="373"/>
      <c r="C13" s="384"/>
      <c r="D13" s="373"/>
      <c r="E13" s="384"/>
      <c r="F13" s="373"/>
      <c r="G13" s="384"/>
      <c r="H13" s="373"/>
      <c r="I13" s="381"/>
      <c r="J13" s="373"/>
      <c r="K13" s="361"/>
    </row>
    <row r="14" spans="1:11" ht="15.75">
      <c r="A14" s="379"/>
      <c r="B14" s="373"/>
      <c r="C14" s="382"/>
      <c r="D14" s="373"/>
      <c r="E14" s="382"/>
      <c r="F14" s="373"/>
      <c r="G14" s="382"/>
      <c r="H14" s="373"/>
      <c r="I14" s="382"/>
      <c r="J14" s="373"/>
      <c r="K14" s="361"/>
    </row>
    <row r="15" spans="1:11" ht="15.75">
      <c r="A15" s="379"/>
      <c r="B15" s="373"/>
      <c r="C15" s="382"/>
      <c r="D15" s="373"/>
      <c r="E15" s="382"/>
      <c r="F15" s="373"/>
      <c r="G15" s="382"/>
      <c r="H15" s="373"/>
      <c r="I15" s="382"/>
      <c r="J15" s="373"/>
      <c r="K15" s="361"/>
    </row>
    <row r="16" spans="1:11" ht="15.75">
      <c r="A16" s="379"/>
      <c r="B16" s="373"/>
      <c r="C16" s="379"/>
      <c r="D16" s="373"/>
      <c r="E16" s="379"/>
      <c r="F16" s="373"/>
      <c r="G16" s="382"/>
      <c r="H16" s="373"/>
      <c r="I16" s="379"/>
      <c r="J16" s="373"/>
      <c r="K16" s="361"/>
    </row>
    <row r="17" spans="1:11" ht="15.75">
      <c r="A17" s="376" t="s">
        <v>171</v>
      </c>
      <c r="B17" s="375">
        <f>SUM(B9:B16)</f>
        <v>0</v>
      </c>
      <c r="C17" s="376" t="s">
        <v>171</v>
      </c>
      <c r="D17" s="375">
        <f>SUM(D9:D16)</f>
        <v>0</v>
      </c>
      <c r="E17" s="376" t="s">
        <v>171</v>
      </c>
      <c r="F17" s="452">
        <f>SUM(F9:F16)</f>
        <v>0</v>
      </c>
      <c r="G17" s="376" t="s">
        <v>171</v>
      </c>
      <c r="H17" s="375">
        <f>SUM(H9:H16)</f>
        <v>0</v>
      </c>
      <c r="I17" s="376" t="s">
        <v>171</v>
      </c>
      <c r="J17" s="375">
        <f>SUM(J9:J16)</f>
        <v>0</v>
      </c>
      <c r="K17" s="375">
        <f>SUM(B17+D17+F17+H17+J17)</f>
        <v>0</v>
      </c>
    </row>
    <row r="18" spans="1:11" ht="15.75">
      <c r="A18" s="376" t="s">
        <v>172</v>
      </c>
      <c r="B18" s="375">
        <f>SUM(B7+B17)</f>
        <v>0</v>
      </c>
      <c r="C18" s="376" t="s">
        <v>172</v>
      </c>
      <c r="D18" s="375">
        <f>SUM(D7+D17)</f>
        <v>0</v>
      </c>
      <c r="E18" s="376" t="s">
        <v>172</v>
      </c>
      <c r="F18" s="375">
        <f>SUM(F7+F17)</f>
        <v>0</v>
      </c>
      <c r="G18" s="376" t="s">
        <v>172</v>
      </c>
      <c r="H18" s="375">
        <f>SUM(H7+H17)</f>
        <v>0</v>
      </c>
      <c r="I18" s="376" t="s">
        <v>172</v>
      </c>
      <c r="J18" s="375">
        <f>SUM(J7+J17)</f>
        <v>0</v>
      </c>
      <c r="K18" s="375">
        <f>SUM(B18+D18+F18+H18+J18)</f>
        <v>0</v>
      </c>
    </row>
    <row r="19" spans="1:11" ht="15.75">
      <c r="A19" s="376" t="s">
        <v>175</v>
      </c>
      <c r="B19" s="377"/>
      <c r="C19" s="376" t="s">
        <v>175</v>
      </c>
      <c r="D19" s="378"/>
      <c r="E19" s="376" t="s">
        <v>175</v>
      </c>
      <c r="F19" s="361"/>
      <c r="G19" s="376" t="s">
        <v>175</v>
      </c>
      <c r="H19" s="128"/>
      <c r="I19" s="376" t="s">
        <v>175</v>
      </c>
      <c r="J19" s="128"/>
      <c r="K19" s="361"/>
    </row>
    <row r="20" spans="1:11" ht="15.75">
      <c r="A20" s="379"/>
      <c r="B20" s="373"/>
      <c r="C20" s="382"/>
      <c r="D20" s="373"/>
      <c r="E20" s="382"/>
      <c r="F20" s="373"/>
      <c r="G20" s="382"/>
      <c r="H20" s="373"/>
      <c r="I20" s="382"/>
      <c r="J20" s="373"/>
      <c r="K20" s="361"/>
    </row>
    <row r="21" spans="1:11" ht="15.75">
      <c r="A21" s="379"/>
      <c r="B21" s="373"/>
      <c r="C21" s="382"/>
      <c r="D21" s="373"/>
      <c r="E21" s="382"/>
      <c r="F21" s="373"/>
      <c r="G21" s="382"/>
      <c r="H21" s="373"/>
      <c r="I21" s="382"/>
      <c r="J21" s="373"/>
      <c r="K21" s="361"/>
    </row>
    <row r="22" spans="1:11" ht="15.75">
      <c r="A22" s="379"/>
      <c r="B22" s="373"/>
      <c r="C22" s="384"/>
      <c r="D22" s="373"/>
      <c r="E22" s="384"/>
      <c r="F22" s="373"/>
      <c r="G22" s="384"/>
      <c r="H22" s="373"/>
      <c r="I22" s="381"/>
      <c r="J22" s="373"/>
      <c r="K22" s="361"/>
    </row>
    <row r="23" spans="1:11" ht="15.75">
      <c r="A23" s="379"/>
      <c r="B23" s="373"/>
      <c r="C23" s="382"/>
      <c r="D23" s="373"/>
      <c r="E23" s="382"/>
      <c r="F23" s="373"/>
      <c r="G23" s="382"/>
      <c r="H23" s="373"/>
      <c r="I23" s="382"/>
      <c r="J23" s="373"/>
      <c r="K23" s="361"/>
    </row>
    <row r="24" spans="1:11" ht="15.75">
      <c r="A24" s="379"/>
      <c r="B24" s="373"/>
      <c r="C24" s="384"/>
      <c r="D24" s="373"/>
      <c r="E24" s="384"/>
      <c r="F24" s="373"/>
      <c r="G24" s="384"/>
      <c r="H24" s="373"/>
      <c r="I24" s="381"/>
      <c r="J24" s="373"/>
      <c r="K24" s="361"/>
    </row>
    <row r="25" spans="1:11" ht="15.75">
      <c r="A25" s="379"/>
      <c r="B25" s="373"/>
      <c r="C25" s="382"/>
      <c r="D25" s="373"/>
      <c r="E25" s="382"/>
      <c r="F25" s="373"/>
      <c r="G25" s="382"/>
      <c r="H25" s="373"/>
      <c r="I25" s="382"/>
      <c r="J25" s="373"/>
      <c r="K25" s="361"/>
    </row>
    <row r="26" spans="1:11" ht="15.75">
      <c r="A26" s="379"/>
      <c r="B26" s="373"/>
      <c r="C26" s="382"/>
      <c r="D26" s="373"/>
      <c r="E26" s="382"/>
      <c r="F26" s="373"/>
      <c r="G26" s="382"/>
      <c r="H26" s="373"/>
      <c r="I26" s="382"/>
      <c r="J26" s="373"/>
      <c r="K26" s="361"/>
    </row>
    <row r="27" spans="1:11" ht="15.75">
      <c r="A27" s="379"/>
      <c r="B27" s="373"/>
      <c r="C27" s="379"/>
      <c r="D27" s="373"/>
      <c r="E27" s="379"/>
      <c r="F27" s="373"/>
      <c r="G27" s="382"/>
      <c r="H27" s="373"/>
      <c r="I27" s="382"/>
      <c r="J27" s="373"/>
      <c r="K27" s="361"/>
    </row>
    <row r="28" spans="1:11" ht="15.75">
      <c r="A28" s="376" t="s">
        <v>176</v>
      </c>
      <c r="B28" s="375">
        <f>SUM(B20:B27)</f>
        <v>0</v>
      </c>
      <c r="C28" s="376" t="s">
        <v>176</v>
      </c>
      <c r="D28" s="375">
        <f>SUM(D20:D27)</f>
        <v>0</v>
      </c>
      <c r="E28" s="376" t="s">
        <v>176</v>
      </c>
      <c r="F28" s="452">
        <f>SUM(F20:F27)</f>
        <v>0</v>
      </c>
      <c r="G28" s="376" t="s">
        <v>176</v>
      </c>
      <c r="H28" s="452">
        <f>SUM(H20:H27)</f>
        <v>0</v>
      </c>
      <c r="I28" s="376" t="s">
        <v>176</v>
      </c>
      <c r="J28" s="375">
        <f>SUM(J20:J27)</f>
        <v>0</v>
      </c>
      <c r="K28" s="375">
        <f>SUM(B28+D28+F28+H28+J28)</f>
        <v>0</v>
      </c>
    </row>
    <row r="29" spans="1:12" ht="15.75">
      <c r="A29" s="376" t="s">
        <v>21</v>
      </c>
      <c r="B29" s="375">
        <f>B18-B28</f>
        <v>0</v>
      </c>
      <c r="C29" s="376" t="s">
        <v>21</v>
      </c>
      <c r="D29" s="375">
        <f>D18-D28</f>
        <v>0</v>
      </c>
      <c r="E29" s="376" t="s">
        <v>21</v>
      </c>
      <c r="F29" s="375">
        <f>F18-F28</f>
        <v>0</v>
      </c>
      <c r="G29" s="376" t="s">
        <v>21</v>
      </c>
      <c r="H29" s="375">
        <f>H18-H28</f>
        <v>0</v>
      </c>
      <c r="I29" s="376" t="s">
        <v>21</v>
      </c>
      <c r="J29" s="375">
        <f>J18-J28</f>
        <v>0</v>
      </c>
      <c r="K29" s="386">
        <f>SUM(B29+D29+F29+H29+J29)</f>
        <v>0</v>
      </c>
      <c r="L29" s="77" t="s">
        <v>60</v>
      </c>
    </row>
    <row r="30" spans="1:12" ht="15.75">
      <c r="A30" s="376"/>
      <c r="B30" s="417">
        <f>IF(B29&lt;0,"See Tab B","")</f>
      </c>
      <c r="C30" s="376"/>
      <c r="D30" s="417">
        <f>IF(D29&lt;0,"See Tab B","")</f>
      </c>
      <c r="E30" s="376"/>
      <c r="F30" s="417">
        <f>IF(F29&lt;0,"See Tab B","")</f>
      </c>
      <c r="G30" s="128"/>
      <c r="H30" s="417">
        <f>IF(H29&lt;0,"See Tab B","")</f>
      </c>
      <c r="I30" s="128"/>
      <c r="J30" s="417">
        <f>IF(J29&lt;0,"See Tab B","")</f>
      </c>
      <c r="K30" s="386">
        <f>SUM(K7+K17-K28)</f>
        <v>0</v>
      </c>
      <c r="L30" s="77" t="s">
        <v>60</v>
      </c>
    </row>
    <row r="31" spans="1:11" ht="15.75">
      <c r="A31" s="128"/>
      <c r="B31" s="387"/>
      <c r="C31" s="128"/>
      <c r="D31" s="361"/>
      <c r="E31" s="128"/>
      <c r="F31" s="128"/>
      <c r="G31" s="87" t="s">
        <v>61</v>
      </c>
      <c r="H31" s="87"/>
      <c r="I31" s="87"/>
      <c r="J31" s="87"/>
      <c r="K31" s="128"/>
    </row>
    <row r="32" spans="1:11" ht="15.75">
      <c r="A32" s="128"/>
      <c r="B32" s="387"/>
      <c r="C32" s="128"/>
      <c r="D32" s="128"/>
      <c r="E32" s="128"/>
      <c r="F32" s="128"/>
      <c r="G32" s="128"/>
      <c r="H32" s="128"/>
      <c r="I32" s="128"/>
      <c r="J32" s="128"/>
      <c r="K32" s="128"/>
    </row>
    <row r="33" spans="1:11" ht="15.75">
      <c r="A33" s="128"/>
      <c r="B33" s="387"/>
      <c r="C33" s="128"/>
      <c r="D33" s="128"/>
      <c r="E33" s="329" t="s">
        <v>190</v>
      </c>
      <c r="F33" s="356"/>
      <c r="G33" s="128"/>
      <c r="H33" s="128"/>
      <c r="I33" s="128"/>
      <c r="J33" s="128"/>
      <c r="K33" s="128"/>
    </row>
    <row r="34" ht="15.75">
      <c r="B34" s="388"/>
    </row>
    <row r="35" ht="15.75">
      <c r="B35" s="388"/>
    </row>
    <row r="36" ht="15.75">
      <c r="B36" s="388"/>
    </row>
    <row r="37" ht="15.75">
      <c r="B37" s="388"/>
    </row>
    <row r="38" ht="15.75">
      <c r="B38" s="388"/>
    </row>
    <row r="39" ht="15.75">
      <c r="B39" s="388"/>
    </row>
    <row r="40" ht="15.75">
      <c r="B40" s="388"/>
    </row>
    <row r="41" ht="15.75">
      <c r="B41" s="3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9" r:id="rId1"/>
  <headerFooter alignWithMargins="0">
    <oddHeader>&amp;RState of Kansas
County</oddHeader>
  </headerFooter>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H67" sqref="H67"/>
    </sheetView>
  </sheetViews>
  <sheetFormatPr defaultColWidth="8.796875" defaultRowHeight="15"/>
  <cols>
    <col min="1" max="1" width="13.796875" style="0" customWidth="1"/>
    <col min="2" max="2" width="16.09765625" style="0" customWidth="1"/>
  </cols>
  <sheetData>
    <row r="2" spans="1:6" ht="54" customHeight="1">
      <c r="A2" s="741" t="s">
        <v>411</v>
      </c>
      <c r="B2" s="742"/>
      <c r="C2" s="742"/>
      <c r="D2" s="742"/>
      <c r="E2" s="742"/>
      <c r="F2" s="742"/>
    </row>
    <row r="4" spans="1:6" ht="15.75">
      <c r="A4" s="426"/>
      <c r="B4" s="426"/>
      <c r="C4" s="426"/>
      <c r="D4" s="427"/>
      <c r="E4" s="426"/>
      <c r="F4" s="426"/>
    </row>
    <row r="5" spans="1:6" ht="15.75">
      <c r="A5" s="428" t="s">
        <v>412</v>
      </c>
      <c r="B5" s="429" t="s">
        <v>1093</v>
      </c>
      <c r="C5" s="430"/>
      <c r="D5" s="428" t="s">
        <v>832</v>
      </c>
      <c r="E5" s="426"/>
      <c r="F5" s="426"/>
    </row>
    <row r="6" spans="1:6" ht="15.75">
      <c r="A6" s="428"/>
      <c r="B6" s="431"/>
      <c r="C6" s="432"/>
      <c r="D6" s="428" t="s">
        <v>831</v>
      </c>
      <c r="E6" s="426"/>
      <c r="F6" s="426"/>
    </row>
    <row r="7" spans="1:6" ht="15.75">
      <c r="A7" s="428" t="s">
        <v>413</v>
      </c>
      <c r="B7" s="429" t="s">
        <v>1094</v>
      </c>
      <c r="C7" s="433"/>
      <c r="D7" s="428"/>
      <c r="E7" s="426"/>
      <c r="F7" s="426"/>
    </row>
    <row r="8" spans="1:6" ht="15.75">
      <c r="A8" s="428"/>
      <c r="B8" s="428"/>
      <c r="C8" s="428"/>
      <c r="D8" s="428"/>
      <c r="E8" s="426"/>
      <c r="F8" s="426"/>
    </row>
    <row r="9" spans="1:6" ht="15.75">
      <c r="A9" s="428" t="s">
        <v>414</v>
      </c>
      <c r="B9" s="434" t="s">
        <v>892</v>
      </c>
      <c r="C9" s="434"/>
      <c r="D9" s="434"/>
      <c r="E9" s="435"/>
      <c r="F9" s="426"/>
    </row>
    <row r="10" spans="1:6" ht="15.75">
      <c r="A10" s="428"/>
      <c r="B10" s="428"/>
      <c r="C10" s="428"/>
      <c r="D10" s="428"/>
      <c r="E10" s="426"/>
      <c r="F10" s="426"/>
    </row>
    <row r="11" spans="1:6" ht="15.75">
      <c r="A11" s="428"/>
      <c r="B11" s="428"/>
      <c r="C11" s="428"/>
      <c r="D11" s="428"/>
      <c r="E11" s="426"/>
      <c r="F11" s="426"/>
    </row>
    <row r="12" spans="1:6" ht="15.75">
      <c r="A12" s="428" t="s">
        <v>416</v>
      </c>
      <c r="B12" s="434" t="s">
        <v>892</v>
      </c>
      <c r="C12" s="434"/>
      <c r="D12" s="434"/>
      <c r="E12" s="435"/>
      <c r="F12" s="426"/>
    </row>
    <row r="15" spans="1:6" ht="15.75">
      <c r="A15" s="743" t="s">
        <v>417</v>
      </c>
      <c r="B15" s="743"/>
      <c r="C15" s="428"/>
      <c r="D15" s="428"/>
      <c r="E15" s="428"/>
      <c r="F15" s="426"/>
    </row>
    <row r="16" spans="1:6" ht="15.75">
      <c r="A16" s="428"/>
      <c r="B16" s="428"/>
      <c r="C16" s="428"/>
      <c r="D16" s="428"/>
      <c r="E16" s="428"/>
      <c r="F16" s="426"/>
    </row>
    <row r="17" spans="1:5" ht="15.75">
      <c r="A17" s="428" t="s">
        <v>412</v>
      </c>
      <c r="B17" s="431" t="s">
        <v>418</v>
      </c>
      <c r="C17" s="428"/>
      <c r="D17" s="428"/>
      <c r="E17" s="428"/>
    </row>
    <row r="18" spans="1:5" ht="15.75">
      <c r="A18" s="428"/>
      <c r="B18" s="428"/>
      <c r="C18" s="428"/>
      <c r="D18" s="428"/>
      <c r="E18" s="428"/>
    </row>
    <row r="19" spans="1:5" ht="15.75">
      <c r="A19" s="428" t="s">
        <v>413</v>
      </c>
      <c r="B19" s="428" t="s">
        <v>419</v>
      </c>
      <c r="C19" s="428"/>
      <c r="D19" s="428"/>
      <c r="E19" s="428"/>
    </row>
    <row r="20" spans="1:5" ht="15.75">
      <c r="A20" s="428"/>
      <c r="B20" s="428"/>
      <c r="C20" s="428"/>
      <c r="D20" s="428"/>
      <c r="E20" s="428"/>
    </row>
    <row r="21" spans="1:5" ht="15.75">
      <c r="A21" s="428" t="s">
        <v>414</v>
      </c>
      <c r="B21" s="428" t="s">
        <v>415</v>
      </c>
      <c r="C21" s="428"/>
      <c r="D21" s="428"/>
      <c r="E21" s="428"/>
    </row>
    <row r="22" spans="1:5" ht="15.75">
      <c r="A22" s="428"/>
      <c r="B22" s="428"/>
      <c r="C22" s="428"/>
      <c r="D22" s="428"/>
      <c r="E22" s="428"/>
    </row>
    <row r="23" spans="1:5" ht="15.75">
      <c r="A23" s="428" t="s">
        <v>416</v>
      </c>
      <c r="B23" s="428" t="s">
        <v>415</v>
      </c>
      <c r="C23" s="428"/>
      <c r="D23" s="428"/>
      <c r="E23" s="42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sheetPr>
    <tabColor theme="9"/>
    <pageSetUpPr fitToPage="1"/>
  </sheetPr>
  <dimension ref="A1:L41"/>
  <sheetViews>
    <sheetView zoomScalePageLayoutView="0" workbookViewId="0" topLeftCell="A1">
      <selection activeCell="H67" sqref="H67"/>
    </sheetView>
  </sheetViews>
  <sheetFormatPr defaultColWidth="8.796875" defaultRowHeight="15"/>
  <cols>
    <col min="1" max="1" width="11.59765625" style="77" customWidth="1"/>
    <col min="2" max="2" width="7.3984375" style="77" customWidth="1"/>
    <col min="3" max="3" width="11.59765625" style="77" customWidth="1"/>
    <col min="4" max="4" width="7.3984375" style="77" customWidth="1"/>
    <col min="5" max="5" width="11.59765625" style="77" customWidth="1"/>
    <col min="6" max="6" width="7.3984375" style="77" customWidth="1"/>
    <col min="7" max="7" width="11.59765625" style="77" customWidth="1"/>
    <col min="8" max="8" width="7.3984375" style="77" customWidth="1"/>
    <col min="9" max="9" width="11.59765625" style="77" customWidth="1"/>
    <col min="10" max="16384" width="8.8984375" style="77" customWidth="1"/>
  </cols>
  <sheetData>
    <row r="1" spans="1:11" ht="15.75">
      <c r="A1" s="147" t="str">
        <f>inputPrYr!$C$2</f>
        <v>Geary County</v>
      </c>
      <c r="B1" s="361"/>
      <c r="C1" s="128"/>
      <c r="D1" s="128"/>
      <c r="E1" s="128"/>
      <c r="F1" s="362" t="s">
        <v>26</v>
      </c>
      <c r="G1" s="128"/>
      <c r="H1" s="128"/>
      <c r="I1" s="128"/>
      <c r="J1" s="128"/>
      <c r="K1" s="128">
        <f>inputPrYr!$C$4</f>
        <v>2012</v>
      </c>
    </row>
    <row r="2" spans="1:11" ht="15.75">
      <c r="A2" s="128"/>
      <c r="B2" s="128"/>
      <c r="C2" s="128"/>
      <c r="D2" s="128"/>
      <c r="E2" s="128"/>
      <c r="F2" s="363" t="str">
        <f>CONCATENATE("(Only the actual budget year for ",K1-2," is to be shown)")</f>
        <v>(Only the actual budget year for 2010 is to be shown)</v>
      </c>
      <c r="G2" s="128"/>
      <c r="H2" s="128"/>
      <c r="I2" s="128"/>
      <c r="J2" s="128"/>
      <c r="K2" s="128"/>
    </row>
    <row r="3" spans="1:11" ht="15.75">
      <c r="A3" s="128" t="s">
        <v>27</v>
      </c>
      <c r="B3" s="128"/>
      <c r="C3" s="128"/>
      <c r="D3" s="128"/>
      <c r="E3" s="128"/>
      <c r="F3" s="361"/>
      <c r="G3" s="128"/>
      <c r="H3" s="128"/>
      <c r="I3" s="128"/>
      <c r="J3" s="128"/>
      <c r="K3" s="128"/>
    </row>
    <row r="4" spans="1:11" ht="15.75">
      <c r="A4" s="128" t="s">
        <v>15</v>
      </c>
      <c r="B4" s="128"/>
      <c r="C4" s="128" t="s">
        <v>16</v>
      </c>
      <c r="D4" s="128"/>
      <c r="E4" s="128" t="s">
        <v>17</v>
      </c>
      <c r="F4" s="361"/>
      <c r="G4" s="128" t="s">
        <v>18</v>
      </c>
      <c r="H4" s="128"/>
      <c r="I4" s="128" t="s">
        <v>19</v>
      </c>
      <c r="J4" s="128"/>
      <c r="K4" s="128"/>
    </row>
    <row r="5" spans="1:11" ht="15.75">
      <c r="A5" s="787" t="str">
        <f>IF(inputPrYr!B82&gt;" ",(inputPrYr!B82)," ")</f>
        <v> </v>
      </c>
      <c r="B5" s="788"/>
      <c r="C5" s="787" t="str">
        <f>IF(inputPrYr!B83&gt;" ",(inputPrYr!B83)," ")</f>
        <v> </v>
      </c>
      <c r="D5" s="788"/>
      <c r="E5" s="787" t="str">
        <f>IF(inputPrYr!B84&gt;" ",(inputPrYr!B84)," ")</f>
        <v> </v>
      </c>
      <c r="F5" s="788"/>
      <c r="G5" s="787" t="str">
        <f>IF(inputPrYr!B85&gt;" ",(inputPrYr!B85)," ")</f>
        <v> </v>
      </c>
      <c r="H5" s="788"/>
      <c r="I5" s="787" t="str">
        <f>IF(inputPrYr!B86&gt;" ",(inputPrYr!B86)," ")</f>
        <v> </v>
      </c>
      <c r="J5" s="788"/>
      <c r="K5" s="365"/>
    </row>
    <row r="6" spans="1:11" ht="15.75">
      <c r="A6" s="366" t="s">
        <v>20</v>
      </c>
      <c r="B6" s="367"/>
      <c r="C6" s="368" t="s">
        <v>20</v>
      </c>
      <c r="D6" s="369"/>
      <c r="E6" s="368" t="s">
        <v>20</v>
      </c>
      <c r="F6" s="364"/>
      <c r="G6" s="368" t="s">
        <v>20</v>
      </c>
      <c r="H6" s="370"/>
      <c r="I6" s="368" t="s">
        <v>20</v>
      </c>
      <c r="J6" s="128"/>
      <c r="K6" s="371" t="s">
        <v>133</v>
      </c>
    </row>
    <row r="7" spans="1:11" ht="15.75">
      <c r="A7" s="372" t="s">
        <v>87</v>
      </c>
      <c r="B7" s="373"/>
      <c r="C7" s="374" t="s">
        <v>87</v>
      </c>
      <c r="D7" s="373"/>
      <c r="E7" s="374" t="s">
        <v>87</v>
      </c>
      <c r="F7" s="373"/>
      <c r="G7" s="374" t="s">
        <v>87</v>
      </c>
      <c r="H7" s="373"/>
      <c r="I7" s="374" t="s">
        <v>87</v>
      </c>
      <c r="J7" s="373"/>
      <c r="K7" s="375">
        <f>SUM(B7+D7+F7+H7+J7)</f>
        <v>0</v>
      </c>
    </row>
    <row r="8" spans="1:11" ht="15.75">
      <c r="A8" s="376" t="s">
        <v>283</v>
      </c>
      <c r="B8" s="377"/>
      <c r="C8" s="376" t="s">
        <v>283</v>
      </c>
      <c r="D8" s="378"/>
      <c r="E8" s="376" t="s">
        <v>283</v>
      </c>
      <c r="F8" s="361"/>
      <c r="G8" s="376" t="s">
        <v>283</v>
      </c>
      <c r="H8" s="128"/>
      <c r="I8" s="376" t="s">
        <v>283</v>
      </c>
      <c r="J8" s="128"/>
      <c r="K8" s="361"/>
    </row>
    <row r="9" spans="1:11" ht="15.75">
      <c r="A9" s="379"/>
      <c r="B9" s="373"/>
      <c r="C9" s="379"/>
      <c r="D9" s="373"/>
      <c r="E9" s="379"/>
      <c r="F9" s="373"/>
      <c r="G9" s="379"/>
      <c r="H9" s="373"/>
      <c r="I9" s="379"/>
      <c r="J9" s="373"/>
      <c r="K9" s="361"/>
    </row>
    <row r="10" spans="1:11" ht="15.75">
      <c r="A10" s="379"/>
      <c r="B10" s="373"/>
      <c r="C10" s="379"/>
      <c r="D10" s="373"/>
      <c r="E10" s="379"/>
      <c r="F10" s="373"/>
      <c r="G10" s="379"/>
      <c r="H10" s="373"/>
      <c r="I10" s="379"/>
      <c r="J10" s="373"/>
      <c r="K10" s="361"/>
    </row>
    <row r="11" spans="1:11" ht="15.75">
      <c r="A11" s="379"/>
      <c r="B11" s="373"/>
      <c r="C11" s="380"/>
      <c r="D11" s="373"/>
      <c r="E11" s="380"/>
      <c r="F11" s="373"/>
      <c r="G11" s="380"/>
      <c r="H11" s="373"/>
      <c r="I11" s="381"/>
      <c r="J11" s="373"/>
      <c r="K11" s="361"/>
    </row>
    <row r="12" spans="1:11" ht="15.75">
      <c r="A12" s="379"/>
      <c r="B12" s="373"/>
      <c r="C12" s="379"/>
      <c r="D12" s="373"/>
      <c r="E12" s="382"/>
      <c r="F12" s="373"/>
      <c r="G12" s="382"/>
      <c r="H12" s="373"/>
      <c r="I12" s="382"/>
      <c r="J12" s="373"/>
      <c r="K12" s="361"/>
    </row>
    <row r="13" spans="1:11" ht="15.75">
      <c r="A13" s="383"/>
      <c r="B13" s="373"/>
      <c r="C13" s="384"/>
      <c r="D13" s="373"/>
      <c r="E13" s="384"/>
      <c r="F13" s="373"/>
      <c r="G13" s="384"/>
      <c r="H13" s="373"/>
      <c r="I13" s="381"/>
      <c r="J13" s="373"/>
      <c r="K13" s="361"/>
    </row>
    <row r="14" spans="1:11" ht="15.75">
      <c r="A14" s="379"/>
      <c r="B14" s="373"/>
      <c r="C14" s="382"/>
      <c r="D14" s="373"/>
      <c r="E14" s="382"/>
      <c r="F14" s="373"/>
      <c r="G14" s="382"/>
      <c r="H14" s="373"/>
      <c r="I14" s="382"/>
      <c r="J14" s="373"/>
      <c r="K14" s="361"/>
    </row>
    <row r="15" spans="1:11" ht="15.75">
      <c r="A15" s="379"/>
      <c r="B15" s="373"/>
      <c r="C15" s="382"/>
      <c r="D15" s="373"/>
      <c r="E15" s="382"/>
      <c r="F15" s="373"/>
      <c r="G15" s="382"/>
      <c r="H15" s="373"/>
      <c r="I15" s="382"/>
      <c r="J15" s="373"/>
      <c r="K15" s="361"/>
    </row>
    <row r="16" spans="1:11" ht="15.75">
      <c r="A16" s="379"/>
      <c r="B16" s="373"/>
      <c r="C16" s="379"/>
      <c r="D16" s="373"/>
      <c r="E16" s="379"/>
      <c r="F16" s="373"/>
      <c r="G16" s="382"/>
      <c r="H16" s="373"/>
      <c r="I16" s="379"/>
      <c r="J16" s="373"/>
      <c r="K16" s="361"/>
    </row>
    <row r="17" spans="1:11" ht="15.75">
      <c r="A17" s="376" t="s">
        <v>171</v>
      </c>
      <c r="B17" s="375">
        <f>SUM(B9:B16)</f>
        <v>0</v>
      </c>
      <c r="C17" s="376" t="s">
        <v>171</v>
      </c>
      <c r="D17" s="375">
        <f>SUM(D9:D16)</f>
        <v>0</v>
      </c>
      <c r="E17" s="376" t="s">
        <v>171</v>
      </c>
      <c r="F17" s="452">
        <f>SUM(F9:F16)</f>
        <v>0</v>
      </c>
      <c r="G17" s="376" t="s">
        <v>171</v>
      </c>
      <c r="H17" s="375">
        <f>SUM(H9:H16)</f>
        <v>0</v>
      </c>
      <c r="I17" s="376" t="s">
        <v>171</v>
      </c>
      <c r="J17" s="375">
        <f>SUM(J9:J16)</f>
        <v>0</v>
      </c>
      <c r="K17" s="375">
        <f>SUM(B17+D17+F17+H17+J17)</f>
        <v>0</v>
      </c>
    </row>
    <row r="18" spans="1:11" ht="15.75">
      <c r="A18" s="376" t="s">
        <v>172</v>
      </c>
      <c r="B18" s="375">
        <f>SUM(B7+B17)</f>
        <v>0</v>
      </c>
      <c r="C18" s="376" t="s">
        <v>172</v>
      </c>
      <c r="D18" s="375">
        <f>SUM(D7+D17)</f>
        <v>0</v>
      </c>
      <c r="E18" s="376" t="s">
        <v>172</v>
      </c>
      <c r="F18" s="375">
        <f>SUM(F7+F17)</f>
        <v>0</v>
      </c>
      <c r="G18" s="376" t="s">
        <v>172</v>
      </c>
      <c r="H18" s="375">
        <f>SUM(H7+H17)</f>
        <v>0</v>
      </c>
      <c r="I18" s="376" t="s">
        <v>172</v>
      </c>
      <c r="J18" s="375">
        <f>SUM(J7+J17)</f>
        <v>0</v>
      </c>
      <c r="K18" s="375">
        <f>SUM(B18+D18+F18+H18+J18)</f>
        <v>0</v>
      </c>
    </row>
    <row r="19" spans="1:11" ht="15.75">
      <c r="A19" s="376" t="s">
        <v>175</v>
      </c>
      <c r="B19" s="377"/>
      <c r="C19" s="376" t="s">
        <v>175</v>
      </c>
      <c r="D19" s="378"/>
      <c r="E19" s="376" t="s">
        <v>175</v>
      </c>
      <c r="F19" s="361"/>
      <c r="G19" s="376" t="s">
        <v>175</v>
      </c>
      <c r="H19" s="128"/>
      <c r="I19" s="376" t="s">
        <v>175</v>
      </c>
      <c r="J19" s="128"/>
      <c r="K19" s="361"/>
    </row>
    <row r="20" spans="1:11" ht="15.75">
      <c r="A20" s="379"/>
      <c r="B20" s="373"/>
      <c r="C20" s="382"/>
      <c r="D20" s="373"/>
      <c r="E20" s="382"/>
      <c r="F20" s="373"/>
      <c r="G20" s="382"/>
      <c r="H20" s="373"/>
      <c r="I20" s="382"/>
      <c r="J20" s="373"/>
      <c r="K20" s="361"/>
    </row>
    <row r="21" spans="1:11" ht="15.75">
      <c r="A21" s="379"/>
      <c r="B21" s="373"/>
      <c r="C21" s="382"/>
      <c r="D21" s="373"/>
      <c r="E21" s="382"/>
      <c r="F21" s="373"/>
      <c r="G21" s="382"/>
      <c r="H21" s="373"/>
      <c r="I21" s="382"/>
      <c r="J21" s="373"/>
      <c r="K21" s="361"/>
    </row>
    <row r="22" spans="1:11" ht="15.75">
      <c r="A22" s="379"/>
      <c r="B22" s="373"/>
      <c r="C22" s="384"/>
      <c r="D22" s="373"/>
      <c r="E22" s="384"/>
      <c r="F22" s="373"/>
      <c r="G22" s="384"/>
      <c r="H22" s="373"/>
      <c r="I22" s="381"/>
      <c r="J22" s="373"/>
      <c r="K22" s="361"/>
    </row>
    <row r="23" spans="1:11" ht="15.75">
      <c r="A23" s="379"/>
      <c r="B23" s="373"/>
      <c r="C23" s="382"/>
      <c r="D23" s="373"/>
      <c r="E23" s="382"/>
      <c r="F23" s="373"/>
      <c r="G23" s="382"/>
      <c r="H23" s="373"/>
      <c r="I23" s="382"/>
      <c r="J23" s="373"/>
      <c r="K23" s="361"/>
    </row>
    <row r="24" spans="1:11" ht="15.75">
      <c r="A24" s="379"/>
      <c r="B24" s="373"/>
      <c r="C24" s="384"/>
      <c r="D24" s="373"/>
      <c r="E24" s="384"/>
      <c r="F24" s="373"/>
      <c r="G24" s="384"/>
      <c r="H24" s="373"/>
      <c r="I24" s="381"/>
      <c r="J24" s="373"/>
      <c r="K24" s="361"/>
    </row>
    <row r="25" spans="1:11" ht="15.75">
      <c r="A25" s="379"/>
      <c r="B25" s="373"/>
      <c r="C25" s="382"/>
      <c r="D25" s="373"/>
      <c r="E25" s="382"/>
      <c r="F25" s="373"/>
      <c r="G25" s="382"/>
      <c r="H25" s="373"/>
      <c r="I25" s="382"/>
      <c r="J25" s="373"/>
      <c r="K25" s="361"/>
    </row>
    <row r="26" spans="1:11" ht="15.75">
      <c r="A26" s="379"/>
      <c r="B26" s="373"/>
      <c r="C26" s="382"/>
      <c r="D26" s="373"/>
      <c r="E26" s="382"/>
      <c r="F26" s="373"/>
      <c r="G26" s="382"/>
      <c r="H26" s="373"/>
      <c r="I26" s="382"/>
      <c r="J26" s="373"/>
      <c r="K26" s="361"/>
    </row>
    <row r="27" spans="1:11" ht="15.75">
      <c r="A27" s="379"/>
      <c r="B27" s="373"/>
      <c r="C27" s="379"/>
      <c r="D27" s="373"/>
      <c r="E27" s="379"/>
      <c r="F27" s="373"/>
      <c r="G27" s="382"/>
      <c r="H27" s="373"/>
      <c r="I27" s="382"/>
      <c r="J27" s="373"/>
      <c r="K27" s="361"/>
    </row>
    <row r="28" spans="1:11" ht="15.75">
      <c r="A28" s="376" t="s">
        <v>176</v>
      </c>
      <c r="B28" s="375">
        <f>SUM(B20:B27)</f>
        <v>0</v>
      </c>
      <c r="C28" s="376" t="s">
        <v>176</v>
      </c>
      <c r="D28" s="375">
        <f>SUM(D20:D27)</f>
        <v>0</v>
      </c>
      <c r="E28" s="376" t="s">
        <v>176</v>
      </c>
      <c r="F28" s="452">
        <f>SUM(F20:F27)</f>
        <v>0</v>
      </c>
      <c r="G28" s="376" t="s">
        <v>176</v>
      </c>
      <c r="H28" s="452">
        <f>SUM(H20:H27)</f>
        <v>0</v>
      </c>
      <c r="I28" s="376" t="s">
        <v>176</v>
      </c>
      <c r="J28" s="375">
        <f>SUM(J20:J27)</f>
        <v>0</v>
      </c>
      <c r="K28" s="375">
        <f>SUM(B28+D28+F28+H28+J28)</f>
        <v>0</v>
      </c>
    </row>
    <row r="29" spans="1:12" ht="15.75">
      <c r="A29" s="376" t="s">
        <v>21</v>
      </c>
      <c r="B29" s="375">
        <f>B18-B28</f>
        <v>0</v>
      </c>
      <c r="C29" s="376" t="s">
        <v>21</v>
      </c>
      <c r="D29" s="375">
        <f>D18-D28</f>
        <v>0</v>
      </c>
      <c r="E29" s="376" t="s">
        <v>21</v>
      </c>
      <c r="F29" s="375">
        <f>F18-F28</f>
        <v>0</v>
      </c>
      <c r="G29" s="376" t="s">
        <v>21</v>
      </c>
      <c r="H29" s="375">
        <f>H18-H28</f>
        <v>0</v>
      </c>
      <c r="I29" s="376" t="s">
        <v>21</v>
      </c>
      <c r="J29" s="375">
        <f>J18-J28</f>
        <v>0</v>
      </c>
      <c r="K29" s="389">
        <f>SUM(B29+D29+F29+H29+J29)</f>
        <v>0</v>
      </c>
      <c r="L29" s="77" t="s">
        <v>60</v>
      </c>
    </row>
    <row r="30" spans="1:12" ht="15.75">
      <c r="A30" s="376"/>
      <c r="B30" s="417">
        <f>IF(B29&lt;0,"See Tab B","")</f>
      </c>
      <c r="C30" s="376"/>
      <c r="D30" s="417">
        <f>IF(D29&lt;0,"See Tab B","")</f>
      </c>
      <c r="E30" s="376"/>
      <c r="F30" s="417">
        <f>IF(F29&lt;0,"See Tab B","")</f>
      </c>
      <c r="G30" s="128"/>
      <c r="H30" s="417">
        <f>IF(H29&lt;0,"See Tab B","")</f>
      </c>
      <c r="I30" s="128"/>
      <c r="J30" s="417">
        <f>IF(J29&lt;0,"See Tab B","")</f>
      </c>
      <c r="K30" s="386">
        <f>SUM(K7+K17-K28)</f>
        <v>0</v>
      </c>
      <c r="L30" s="77" t="s">
        <v>60</v>
      </c>
    </row>
    <row r="31" spans="1:11" ht="15.75">
      <c r="A31" s="128"/>
      <c r="B31" s="387"/>
      <c r="C31" s="128"/>
      <c r="D31" s="361"/>
      <c r="E31" s="128"/>
      <c r="F31" s="128"/>
      <c r="G31" s="87" t="s">
        <v>61</v>
      </c>
      <c r="H31" s="87"/>
      <c r="I31" s="87"/>
      <c r="J31" s="87"/>
      <c r="K31" s="128"/>
    </row>
    <row r="32" spans="1:11" ht="15.75">
      <c r="A32" s="128"/>
      <c r="B32" s="387"/>
      <c r="C32" s="128"/>
      <c r="D32" s="128"/>
      <c r="E32" s="128"/>
      <c r="F32" s="128"/>
      <c r="G32" s="128"/>
      <c r="H32" s="128"/>
      <c r="I32" s="128"/>
      <c r="J32" s="128"/>
      <c r="K32" s="128"/>
    </row>
    <row r="33" spans="1:11" ht="15.75">
      <c r="A33" s="128"/>
      <c r="B33" s="387"/>
      <c r="C33" s="128"/>
      <c r="D33" s="128"/>
      <c r="E33" s="329" t="s">
        <v>190</v>
      </c>
      <c r="F33" s="356"/>
      <c r="G33" s="128"/>
      <c r="H33" s="128"/>
      <c r="I33" s="128"/>
      <c r="J33" s="128"/>
      <c r="K33" s="128"/>
    </row>
    <row r="34" ht="15.75">
      <c r="B34" s="388"/>
    </row>
    <row r="35" ht="15.75">
      <c r="B35" s="388"/>
    </row>
    <row r="36" ht="15.75">
      <c r="B36" s="388"/>
    </row>
    <row r="37" ht="15.75">
      <c r="B37" s="388"/>
    </row>
    <row r="38" ht="15.75">
      <c r="B38" s="388"/>
    </row>
    <row r="39" ht="15.75">
      <c r="B39" s="388"/>
    </row>
    <row r="40" ht="15.75">
      <c r="B40" s="388"/>
    </row>
    <row r="41" ht="15.75">
      <c r="B41" s="3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9" r:id="rId1"/>
  <headerFooter alignWithMargins="0">
    <oddHeader>&amp;RState of Kansas
County</oddHeader>
  </headerFooter>
</worksheet>
</file>

<file path=xl/worksheets/sheet41.xml><?xml version="1.0" encoding="utf-8"?>
<worksheet xmlns="http://schemas.openxmlformats.org/spreadsheetml/2006/main" xmlns:r="http://schemas.openxmlformats.org/officeDocument/2006/relationships">
  <dimension ref="A1:A48"/>
  <sheetViews>
    <sheetView zoomScalePageLayoutView="0" workbookViewId="0" topLeftCell="A1">
      <selection activeCell="H67" sqref="H67"/>
    </sheetView>
  </sheetViews>
  <sheetFormatPr defaultColWidth="8.796875" defaultRowHeight="15"/>
  <cols>
    <col min="1" max="1" width="62.3984375" style="168" customWidth="1"/>
    <col min="2" max="16384" width="8.8984375" style="168" customWidth="1"/>
  </cols>
  <sheetData>
    <row r="1" ht="18.75">
      <c r="A1" s="415" t="s">
        <v>367</v>
      </c>
    </row>
    <row r="2" ht="15.75">
      <c r="A2" s="77"/>
    </row>
    <row r="3" ht="54.75" customHeight="1">
      <c r="A3" s="416" t="s">
        <v>368</v>
      </c>
    </row>
    <row r="4" ht="15.75">
      <c r="A4" s="566"/>
    </row>
    <row r="5" ht="51" customHeight="1">
      <c r="A5" s="416" t="s">
        <v>369</v>
      </c>
    </row>
    <row r="6" ht="15.75">
      <c r="A6" s="77"/>
    </row>
    <row r="7" ht="51.75" customHeight="1">
      <c r="A7" s="416" t="s">
        <v>370</v>
      </c>
    </row>
    <row r="8" ht="13.5" customHeight="1">
      <c r="A8" s="416"/>
    </row>
    <row r="9" ht="51.75" customHeight="1">
      <c r="A9" s="515" t="s">
        <v>796</v>
      </c>
    </row>
    <row r="10" ht="15.75">
      <c r="A10" s="566"/>
    </row>
    <row r="11" ht="36" customHeight="1">
      <c r="A11" s="416" t="s">
        <v>371</v>
      </c>
    </row>
    <row r="12" ht="15.75">
      <c r="A12" s="77"/>
    </row>
    <row r="13" ht="51.75" customHeight="1">
      <c r="A13" s="416" t="s">
        <v>372</v>
      </c>
    </row>
    <row r="14" ht="15.75">
      <c r="A14" s="566"/>
    </row>
    <row r="15" ht="33" customHeight="1">
      <c r="A15" s="416" t="s">
        <v>373</v>
      </c>
    </row>
    <row r="16" ht="15.75">
      <c r="A16" s="566"/>
    </row>
    <row r="17" ht="32.25" customHeight="1">
      <c r="A17" s="416" t="s">
        <v>374</v>
      </c>
    </row>
    <row r="18" ht="15.75">
      <c r="A18" s="566"/>
    </row>
    <row r="19" ht="53.25" customHeight="1">
      <c r="A19" s="416" t="s">
        <v>375</v>
      </c>
    </row>
    <row r="20" ht="15.75">
      <c r="A20" s="77"/>
    </row>
    <row r="21" ht="50.25" customHeight="1">
      <c r="A21" s="416" t="s">
        <v>376</v>
      </c>
    </row>
    <row r="22" ht="15.75">
      <c r="A22" s="77"/>
    </row>
    <row r="23" ht="15.75">
      <c r="A23" s="77"/>
    </row>
    <row r="24" ht="96" customHeight="1">
      <c r="A24" s="416" t="s">
        <v>377</v>
      </c>
    </row>
    <row r="25" ht="15.75">
      <c r="A25" s="77"/>
    </row>
    <row r="26" ht="30.75" customHeight="1">
      <c r="A26" s="80" t="s">
        <v>378</v>
      </c>
    </row>
    <row r="27" ht="15.75">
      <c r="A27" s="77"/>
    </row>
    <row r="28" ht="95.25" customHeight="1">
      <c r="A28" s="517" t="s">
        <v>797</v>
      </c>
    </row>
    <row r="29" ht="15.75">
      <c r="A29" s="77"/>
    </row>
    <row r="30" ht="34.5" customHeight="1">
      <c r="A30" s="416" t="s">
        <v>379</v>
      </c>
    </row>
    <row r="31" ht="15.75">
      <c r="A31" s="77"/>
    </row>
    <row r="32" ht="66" customHeight="1">
      <c r="A32" s="416" t="s">
        <v>380</v>
      </c>
    </row>
    <row r="33" ht="15.75">
      <c r="A33" s="566"/>
    </row>
    <row r="34" ht="57" customHeight="1">
      <c r="A34" s="416" t="s">
        <v>381</v>
      </c>
    </row>
    <row r="35" ht="15.75">
      <c r="A35" s="77"/>
    </row>
    <row r="36" ht="49.5" customHeight="1">
      <c r="A36" s="416" t="s">
        <v>382</v>
      </c>
    </row>
    <row r="37" ht="15.75">
      <c r="A37" s="77"/>
    </row>
    <row r="38" ht="74.25" customHeight="1">
      <c r="A38" s="517" t="s">
        <v>798</v>
      </c>
    </row>
    <row r="39" ht="15.75">
      <c r="A39" s="77"/>
    </row>
    <row r="40" ht="55.5" customHeight="1">
      <c r="A40" s="416" t="s">
        <v>383</v>
      </c>
    </row>
    <row r="41" ht="15.75">
      <c r="A41" s="77"/>
    </row>
    <row r="42" ht="53.25" customHeight="1">
      <c r="A42" s="416" t="s">
        <v>384</v>
      </c>
    </row>
    <row r="43" ht="15.75">
      <c r="A43" s="566"/>
    </row>
    <row r="44" ht="47.25" customHeight="1">
      <c r="A44" s="416" t="s">
        <v>385</v>
      </c>
    </row>
    <row r="45" ht="15.75">
      <c r="A45" s="566"/>
    </row>
    <row r="46" ht="49.5" customHeight="1">
      <c r="A46" s="416" t="s">
        <v>386</v>
      </c>
    </row>
    <row r="47" ht="15.75">
      <c r="A47" s="566"/>
    </row>
    <row r="48" ht="36" customHeight="1">
      <c r="A48" s="416" t="s">
        <v>387</v>
      </c>
    </row>
  </sheetData>
  <sheetProtection sheet="1"/>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sheetPr>
    <pageSetUpPr fitToPage="1"/>
  </sheetPr>
  <dimension ref="A1:M81"/>
  <sheetViews>
    <sheetView tabSelected="1" zoomScale="85" zoomScaleNormal="85" zoomScalePageLayoutView="0" workbookViewId="0" topLeftCell="A1">
      <selection activeCell="A1" sqref="A1"/>
    </sheetView>
  </sheetViews>
  <sheetFormatPr defaultColWidth="8.796875" defaultRowHeight="15"/>
  <cols>
    <col min="1" max="1" width="24.8984375" style="77" customWidth="1"/>
    <col min="2" max="2" width="15.69921875" style="77" customWidth="1"/>
    <col min="3" max="3" width="9.3984375" style="77" customWidth="1"/>
    <col min="4" max="4" width="16.796875" style="77" customWidth="1"/>
    <col min="5" max="5" width="9.796875" style="77" customWidth="1"/>
    <col min="6" max="6" width="15.796875" style="77" customWidth="1"/>
    <col min="7" max="7" width="13.69921875" style="77" customWidth="1"/>
    <col min="8" max="8" width="9.796875" style="77" customWidth="1"/>
    <col min="9" max="9" width="8.8984375" style="77" customWidth="1"/>
    <col min="10" max="10" width="12.3984375" style="77" customWidth="1"/>
    <col min="11" max="11" width="12.296875" style="77" customWidth="1"/>
    <col min="12" max="12" width="10.59765625" style="77" customWidth="1"/>
    <col min="13" max="13" width="12.09765625" style="77" customWidth="1"/>
    <col min="14" max="16384" width="8.8984375" style="77" customWidth="1"/>
  </cols>
  <sheetData>
    <row r="1" spans="1:8" ht="15.75">
      <c r="A1" s="90"/>
      <c r="B1" s="90"/>
      <c r="C1" s="90"/>
      <c r="D1" s="90"/>
      <c r="E1" s="90"/>
      <c r="F1" s="90"/>
      <c r="G1" s="90"/>
      <c r="H1" s="294">
        <f>inputPrYr!C4</f>
        <v>2012</v>
      </c>
    </row>
    <row r="2" spans="1:9" ht="15.75">
      <c r="A2" s="732" t="s">
        <v>235</v>
      </c>
      <c r="B2" s="732"/>
      <c r="C2" s="732"/>
      <c r="D2" s="732"/>
      <c r="E2" s="732"/>
      <c r="F2" s="732"/>
      <c r="G2" s="732"/>
      <c r="H2" s="732"/>
      <c r="I2" s="390"/>
    </row>
    <row r="3" spans="1:8" ht="15.75">
      <c r="A3" s="90"/>
      <c r="B3" s="90"/>
      <c r="C3" s="90"/>
      <c r="D3" s="90"/>
      <c r="E3" s="90"/>
      <c r="F3" s="90"/>
      <c r="G3" s="90"/>
      <c r="H3" s="90"/>
    </row>
    <row r="4" spans="1:8" ht="15.75">
      <c r="A4" s="783" t="s">
        <v>264</v>
      </c>
      <c r="B4" s="783"/>
      <c r="C4" s="783"/>
      <c r="D4" s="783"/>
      <c r="E4" s="783"/>
      <c r="F4" s="783"/>
      <c r="G4" s="783"/>
      <c r="H4" s="783"/>
    </row>
    <row r="5" spans="1:8" ht="15.75">
      <c r="A5" s="789" t="str">
        <f>inputPrYr!C2</f>
        <v>Geary County</v>
      </c>
      <c r="B5" s="789"/>
      <c r="C5" s="789"/>
      <c r="D5" s="789"/>
      <c r="E5" s="789"/>
      <c r="F5" s="789"/>
      <c r="G5" s="789"/>
      <c r="H5" s="789"/>
    </row>
    <row r="6" spans="1:8" ht="15.75">
      <c r="A6" s="790" t="str">
        <f>CONCATENATE("will meet on ",inputBudSum!B5," at ",inputBudSum!B7," at ",inputBudSum!B9," for the purpose of hearing and")</f>
        <v>will meet on August 22, 2011 at 11:30 a.m. at the Geary County Office Building for the purpose of hearing and</v>
      </c>
      <c r="B6" s="790"/>
      <c r="C6" s="790"/>
      <c r="D6" s="790"/>
      <c r="E6" s="790"/>
      <c r="F6" s="790"/>
      <c r="G6" s="790"/>
      <c r="H6" s="790"/>
    </row>
    <row r="7" spans="1:8" ht="15.75">
      <c r="A7" s="783" t="s">
        <v>654</v>
      </c>
      <c r="B7" s="783"/>
      <c r="C7" s="783"/>
      <c r="D7" s="783"/>
      <c r="E7" s="783"/>
      <c r="F7" s="783"/>
      <c r="G7" s="783"/>
      <c r="H7" s="783"/>
    </row>
    <row r="8" spans="1:8" ht="15.75">
      <c r="A8" s="790" t="str">
        <f>CONCATENATE("Detailed budget information is available at ",inputBudSum!B12," and will be available at this hearing.")</f>
        <v>Detailed budget information is available at the Geary County Office Building and will be available at this hearing.</v>
      </c>
      <c r="B8" s="790"/>
      <c r="C8" s="790"/>
      <c r="D8" s="790"/>
      <c r="E8" s="790"/>
      <c r="F8" s="790"/>
      <c r="G8" s="790"/>
      <c r="H8" s="790"/>
    </row>
    <row r="9" spans="1:8" ht="15.75">
      <c r="A9" s="97" t="s">
        <v>236</v>
      </c>
      <c r="B9" s="98"/>
      <c r="C9" s="98"/>
      <c r="D9" s="221"/>
      <c r="E9" s="98"/>
      <c r="F9" s="98"/>
      <c r="G9" s="98"/>
      <c r="H9" s="98"/>
    </row>
    <row r="10" spans="1:8" ht="15.75">
      <c r="A10" s="783" t="str">
        <f>CONCATENATE("Proposed Budget ",H1," Expenditures and Amount of ",H1-1," Ad Valorem Tax establish the maximum limits of the ",H1," budget.")</f>
        <v>Proposed Budget 2012 Expenditures and Amount of 2011 Ad Valorem Tax establish the maximum limits of the 2012 budget.</v>
      </c>
      <c r="B10" s="783"/>
      <c r="C10" s="783"/>
      <c r="D10" s="783"/>
      <c r="E10" s="783"/>
      <c r="F10" s="783"/>
      <c r="G10" s="783"/>
      <c r="H10" s="783"/>
    </row>
    <row r="11" spans="1:8" ht="15.75">
      <c r="A11" s="783" t="s">
        <v>289</v>
      </c>
      <c r="B11" s="783"/>
      <c r="C11" s="783"/>
      <c r="D11" s="783"/>
      <c r="E11" s="783"/>
      <c r="F11" s="783"/>
      <c r="G11" s="783"/>
      <c r="H11" s="783"/>
    </row>
    <row r="12" spans="1:9" ht="15.75">
      <c r="A12" s="90"/>
      <c r="B12" s="90"/>
      <c r="C12" s="90"/>
      <c r="D12" s="90"/>
      <c r="E12" s="90"/>
      <c r="F12" s="90"/>
      <c r="G12" s="90"/>
      <c r="H12" s="90"/>
      <c r="I12" s="146"/>
    </row>
    <row r="13" spans="1:8" ht="15.75">
      <c r="A13" s="90"/>
      <c r="B13" s="391" t="str">
        <f>CONCATENATE("Prior Year Actual for ",H1-2,"")</f>
        <v>Prior Year Actual for 2010</v>
      </c>
      <c r="C13" s="224"/>
      <c r="D13" s="392" t="str">
        <f>CONCATENATE("Current Year Estimate for ",H1-1,"")</f>
        <v>Current Year Estimate for 2011</v>
      </c>
      <c r="E13" s="224"/>
      <c r="F13" s="222" t="str">
        <f>CONCATENATE("Proposed Budget Year for ",H1,"")</f>
        <v>Proposed Budget Year for 2012</v>
      </c>
      <c r="G13" s="223"/>
      <c r="H13" s="224"/>
    </row>
    <row r="14" spans="1:8" ht="18.75" customHeight="1">
      <c r="A14" s="89"/>
      <c r="B14" s="330"/>
      <c r="C14" s="225" t="s">
        <v>193</v>
      </c>
      <c r="D14" s="225"/>
      <c r="E14" s="225" t="s">
        <v>193</v>
      </c>
      <c r="F14" s="542" t="s">
        <v>675</v>
      </c>
      <c r="G14" s="758" t="str">
        <f>CONCATENATE("Amount of ",H1-1,"       Ad Valorem Tax")</f>
        <v>Amount of 2011       Ad Valorem Tax</v>
      </c>
      <c r="H14" s="225" t="s">
        <v>194</v>
      </c>
    </row>
    <row r="15" spans="1:8" ht="15.75">
      <c r="A15" s="117" t="s">
        <v>195</v>
      </c>
      <c r="B15" s="271" t="s">
        <v>142</v>
      </c>
      <c r="C15" s="271" t="s">
        <v>196</v>
      </c>
      <c r="D15" s="271" t="s">
        <v>142</v>
      </c>
      <c r="E15" s="271" t="s">
        <v>196</v>
      </c>
      <c r="F15" s="543" t="s">
        <v>676</v>
      </c>
      <c r="G15" s="738"/>
      <c r="H15" s="271" t="s">
        <v>196</v>
      </c>
    </row>
    <row r="16" spans="1:8" ht="15.75">
      <c r="A16" s="130" t="str">
        <f>inputPrYr!B16</f>
        <v>General</v>
      </c>
      <c r="B16" s="130">
        <f>IF(general!$C$113&lt;&gt;0,general!$C$113,"  ")</f>
        <v>8979503</v>
      </c>
      <c r="C16" s="393">
        <f>IF(inputPrYr!D92&lt;&gt;0,inputPrYr!D92,"  ")</f>
        <v>20.917</v>
      </c>
      <c r="D16" s="130">
        <f>IF(general!$D$113&lt;&gt;0,general!$D$113,"  ")</f>
        <v>9986078</v>
      </c>
      <c r="E16" s="393">
        <f>IF(inputPrYr!F16&lt;&gt;0,inputPrYr!F16,"  ")</f>
        <v>22.6</v>
      </c>
      <c r="F16" s="130">
        <f>IF(general!$E$113&lt;&gt;0,general!$E$113,"  ")</f>
        <v>10000927</v>
      </c>
      <c r="G16" s="130">
        <f>IF(general!$E$120&lt;&gt;0,general!$E$120,"  ")</f>
        <v>5009863.305</v>
      </c>
      <c r="H16" s="393">
        <f>IF(general!E120&lt;&gt;0,ROUND(G16/$F$67*1000,3),"  ")</f>
        <v>22.753</v>
      </c>
    </row>
    <row r="17" spans="1:8" ht="15.75">
      <c r="A17" s="130" t="str">
        <f>inputPrYr!B17</f>
        <v>Debt Service (14)</v>
      </c>
      <c r="B17" s="130">
        <f>IF(DebtService!$C$46&lt;&gt;0,DebtService!$C$46,"  ")</f>
        <v>104636</v>
      </c>
      <c r="C17" s="393" t="str">
        <f>IF(inputPrYr!D93&lt;&gt;0,inputPrYr!D93,"  ")</f>
        <v>  </v>
      </c>
      <c r="D17" s="130">
        <f>IF(DebtService!$D$46&lt;&gt;0,DebtService!$D$46,"  ")</f>
        <v>351</v>
      </c>
      <c r="E17" s="393" t="str">
        <f>IF(inputPrYr!F17&lt;&gt;0,inputPrYr!F17,"  ")</f>
        <v>  </v>
      </c>
      <c r="F17" s="130">
        <f>IF(DebtService!$E$46&lt;&gt;0,DebtService!$E$46,"  ")</f>
        <v>222</v>
      </c>
      <c r="G17" s="130" t="str">
        <f>IF(DebtService!$E$53&lt;&gt;0,DebtService!$E$53,"  ")</f>
        <v>  </v>
      </c>
      <c r="H17" s="393" t="str">
        <f>IF(DebtService!E53&lt;&gt;0,ROUND(G17/$F$67*1000,3),"  ")</f>
        <v>  </v>
      </c>
    </row>
    <row r="18" spans="1:8" ht="15.75">
      <c r="A18" s="130" t="str">
        <f>inputPrYr!B18</f>
        <v>Road &amp; Bridge</v>
      </c>
      <c r="B18" s="130">
        <f>IF(road!$C$52&lt;&gt;0,road!$C$52,"  ")</f>
        <v>2557976</v>
      </c>
      <c r="C18" s="393">
        <f>IF(inputPrYr!D94&lt;&gt;0,inputPrYr!D94,"  ")</f>
        <v>5.464</v>
      </c>
      <c r="D18" s="130">
        <f>IF(road!$D$52&lt;&gt;0,road!$D$52,"  ")</f>
        <v>2910278</v>
      </c>
      <c r="E18" s="393">
        <f>IF(inputPrYr!F18&lt;&gt;0,inputPrYr!F18,"  ")</f>
        <v>5.551</v>
      </c>
      <c r="F18" s="130">
        <f>IF(road!$E$52&lt;&gt;0,road!$E$52,"  ")</f>
        <v>2945939</v>
      </c>
      <c r="G18" s="130">
        <f>IF(road!$E$59&lt;&gt;0,road!$E$59,"  ")</f>
        <v>1148278.74</v>
      </c>
      <c r="H18" s="393">
        <f>IF(road!E59&lt;&gt;0,ROUND(G18/$F$67*1000,3),"  ")</f>
        <v>5.215</v>
      </c>
    </row>
    <row r="19" spans="1:8" ht="15.75">
      <c r="A19" s="130" t="str">
        <f>IF((inputPrYr!$B19&gt;" "),(inputPrYr!$B19),"  ")</f>
        <v>Noxious Weed (5)</v>
      </c>
      <c r="B19" s="130">
        <f>IF('levy page10'!$C$35&lt;&gt;0,'levy page10'!$C$35,"  ")</f>
        <v>153798</v>
      </c>
      <c r="C19" s="393">
        <f>IF(inputPrYr!D95&lt;&gt;0,inputPrYr!D95,"  ")</f>
        <v>0.74</v>
      </c>
      <c r="D19" s="130">
        <f>IF('levy page10'!$D$35&lt;&gt;0,'levy page10'!$D$35,"  ")</f>
        <v>186829</v>
      </c>
      <c r="E19" s="393">
        <f>IF(inputPrYr!F19&lt;&gt;0,inputPrYr!F19,"  ")</f>
        <v>0.495</v>
      </c>
      <c r="F19" s="130">
        <f>IF('levy page10'!$E$35&lt;&gt;0,'levy page10'!$E$35,"  ")</f>
        <v>190337</v>
      </c>
      <c r="G19" s="130">
        <f>IF('levy page10'!$E$42&lt;&gt;0,'levy page10'!$E$42,"  ")</f>
        <v>83606</v>
      </c>
      <c r="H19" s="393">
        <f>IF('levy page10'!E42&lt;&gt;0,ROUND(G19/$F$67*1000,3),"  ")</f>
        <v>0.38</v>
      </c>
    </row>
    <row r="20" spans="1:8" ht="15.75">
      <c r="A20" s="130" t="str">
        <f>IF((inputPrYr!$B20&gt;" "),(inputPrYr!$B20),"  ")</f>
        <v>Health Fund (6)</v>
      </c>
      <c r="B20" s="130">
        <f>IF('levy page10'!$C$69&lt;&gt;0,'levy page10'!$C$69,"  ")</f>
        <v>329218</v>
      </c>
      <c r="C20" s="393">
        <f>IF(inputPrYr!D96&lt;&gt;0,inputPrYr!D96,"  ")</f>
        <v>1.434</v>
      </c>
      <c r="D20" s="130">
        <f>IF('levy page10'!$D$69&lt;&gt;0,'levy page10'!$D$69,"  ")</f>
        <v>322365</v>
      </c>
      <c r="E20" s="393">
        <f>IF(inputPrYr!F20&lt;&gt;0,inputPrYr!F20,"  ")</f>
        <v>1.333</v>
      </c>
      <c r="F20" s="130">
        <f>IF('levy page10'!$E$69&lt;&gt;0,'levy page10'!$E$69,"  ")</f>
        <v>329218</v>
      </c>
      <c r="G20" s="130">
        <f>IF('levy page10'!$E$76&lt;&gt;0,'levy page10'!$E$76,"  ")</f>
        <v>311984</v>
      </c>
      <c r="H20" s="393">
        <f>IF('levy page10'!E76&lt;&gt;0,ROUND(G20/$F$67*1000,3),"  ")</f>
        <v>1.417</v>
      </c>
    </row>
    <row r="21" spans="1:8" ht="15.75">
      <c r="A21" s="130" t="str">
        <f>IF((inputPrYr!$B21&gt;" "),(inputPrYr!$B21),"  ")</f>
        <v>Special Bridge (4)</v>
      </c>
      <c r="B21" s="130">
        <f>IF('levy page11'!$C$31&lt;&gt;0,'levy page11'!$C$31,"  ")</f>
        <v>2435</v>
      </c>
      <c r="C21" s="393">
        <f>IF(inputPrYr!D97&lt;&gt;0,inputPrYr!D97,"  ")</f>
        <v>0.499</v>
      </c>
      <c r="D21" s="130">
        <f>IF('levy page11'!$D$31&lt;&gt;0,'levy page11'!$D$31,"  ")</f>
        <v>64000</v>
      </c>
      <c r="E21" s="393" t="str">
        <f>IF(inputPrYr!F21&lt;&gt;0,inputPrYr!F21,"  ")</f>
        <v>  </v>
      </c>
      <c r="F21" s="130">
        <f>IF('levy page11'!$E$31&lt;&gt;0,'levy page11'!$E$31,"  ")</f>
        <v>383325</v>
      </c>
      <c r="G21" s="130" t="str">
        <f>IF('levy page11'!$E$38&lt;&gt;0,'levy page11'!$E$38,"  ")</f>
        <v>  </v>
      </c>
      <c r="H21" s="393" t="str">
        <f>IF('levy page11'!$E$38&lt;&gt;0,ROUND(G21/$F$67*1000,3),"  ")</f>
        <v>  </v>
      </c>
    </row>
    <row r="22" spans="1:8" ht="15.75">
      <c r="A22" s="130" t="str">
        <f>IF((inputPrYr!$B22&gt;" "),(inputPrYr!$B22),"  ")</f>
        <v>Extension Council (7)</v>
      </c>
      <c r="B22" s="130">
        <f>IF('levy page11'!$C$65&lt;&gt;0,'levy page11'!$C$65,"  ")</f>
        <v>270000</v>
      </c>
      <c r="C22" s="393">
        <f>IF(inputPrYr!D98&lt;&gt;0,inputPrYr!D98,"  ")</f>
        <v>1.235</v>
      </c>
      <c r="D22" s="130">
        <f>IF('levy page11'!$D$65&lt;&gt;0,'levy page11'!$D$65,"  ")</f>
        <v>273682</v>
      </c>
      <c r="E22" s="393">
        <f>IF(inputPrYr!F22&lt;&gt;0,inputPrYr!F22,"  ")</f>
        <v>1.129</v>
      </c>
      <c r="F22" s="130">
        <f>IF('levy page11'!$E$65&lt;&gt;0,'levy page11'!$E$65,"  ")</f>
        <v>284424</v>
      </c>
      <c r="G22" s="130">
        <f>IF('levy page11'!$E$72&lt;&gt;0,'levy page11'!$E$72,"  ")</f>
        <v>262280</v>
      </c>
      <c r="H22" s="393">
        <f>IF('levy page11'!$E$72&lt;&gt;0,ROUND(G22/$F$67*1000,3),"  ")</f>
        <v>1.191</v>
      </c>
    </row>
    <row r="23" spans="1:8" ht="15.75">
      <c r="A23" s="130" t="str">
        <f>IF((inputPrYr!$B23&gt;" "),(inputPrYr!$B23),"  ")</f>
        <v>Free Fair (60)</v>
      </c>
      <c r="B23" s="130">
        <f>IF('levy page12'!$C$29&lt;&gt;0,'levy page12'!$C$29,"  ")</f>
        <v>14000</v>
      </c>
      <c r="C23" s="393">
        <f>IF(inputPrYr!D99&lt;&gt;0,inputPrYr!D99,"  ")</f>
        <v>0.071</v>
      </c>
      <c r="D23" s="130">
        <f>IF('levy page12'!$D$29&lt;&gt;0,'levy page12'!$D$29,"  ")</f>
        <v>14250</v>
      </c>
      <c r="E23" s="393">
        <f>IF(inputPrYr!F23&lt;&gt;0,inputPrYr!F23,"  ")</f>
        <v>0.058</v>
      </c>
      <c r="F23" s="130">
        <f>IF('levy page12'!$E$29&lt;&gt;0,'levy page12'!$E$29,"  ")</f>
        <v>14250</v>
      </c>
      <c r="G23" s="130">
        <f>IF('levy page12'!$E$36&lt;&gt;0,'levy page12'!$E$36,"  ")</f>
        <v>11443</v>
      </c>
      <c r="H23" s="393">
        <f>IF('levy page12'!$E$36&lt;&gt;0,ROUND(G23/$F$67*1000,3),"  ")</f>
        <v>0.052</v>
      </c>
    </row>
    <row r="24" spans="1:8" ht="15.75">
      <c r="A24" s="130" t="str">
        <f>IF((inputPrYr!$B24&gt;" "),(inputPrYr!$B24),"  ")</f>
        <v>Animal Shelter (29)</v>
      </c>
      <c r="B24" s="130">
        <f>IF('levy page12'!$C$67&lt;&gt;0,'levy page12'!$C$67,"  ")</f>
        <v>152138</v>
      </c>
      <c r="C24" s="393" t="str">
        <f>IF(inputPrYr!D100&lt;&gt;0,inputPrYr!D100,"  ")</f>
        <v>  </v>
      </c>
      <c r="D24" s="130">
        <f>IF('levy page12'!$D$67&lt;&gt;0,'levy page12'!$D$67,"  ")</f>
        <v>174680</v>
      </c>
      <c r="E24" s="393">
        <f>IF(inputPrYr!F24&lt;&gt;0,inputPrYr!F24,"  ")</f>
        <v>0.244</v>
      </c>
      <c r="F24" s="130">
        <f>IF('levy page12'!$E$67&lt;&gt;0,'levy page12'!$E$67,"  ")</f>
        <v>193530</v>
      </c>
      <c r="G24" s="130">
        <f>IF('levy page12'!$E$74&lt;&gt;0,'levy page12'!$E$74,"  ")</f>
        <v>75409</v>
      </c>
      <c r="H24" s="393">
        <f>IF('levy page12'!$E$74&lt;&gt;0,ROUND(G24/$F$67*1000,3),"  ")</f>
        <v>0.342</v>
      </c>
    </row>
    <row r="25" spans="1:8" ht="15.75">
      <c r="A25" s="130" t="str">
        <f>IF((inputPrYr!$B25&gt;" "),(inputPrYr!$B25),"  ")</f>
        <v>Mental Health (10)</v>
      </c>
      <c r="B25" s="130">
        <f>IF('levy page13'!$C$30&lt;&gt;0,'levy page13'!$C$30,"  ")</f>
        <v>126737</v>
      </c>
      <c r="C25" s="393">
        <f>IF(inputPrYr!D101&lt;&gt;0,inputPrYr!D101,"  ")</f>
        <v>0.554</v>
      </c>
      <c r="D25" s="130">
        <f>IF('levy page13'!$D$30&lt;&gt;0,'levy page13'!$D$30,"  ")</f>
        <v>124339</v>
      </c>
      <c r="E25" s="393">
        <f>IF(inputPrYr!F25&lt;&gt;0,inputPrYr!F25,"  ")</f>
        <v>0.513</v>
      </c>
      <c r="F25" s="130">
        <f>IF('levy page13'!$E$30&lt;&gt;0,'levy page13'!$E$30,"  ")</f>
        <v>126737</v>
      </c>
      <c r="G25" s="130">
        <f>IF('levy page13'!$E$37&lt;&gt;0,'levy page13'!$E$37,"  ")</f>
        <v>120544</v>
      </c>
      <c r="H25" s="393">
        <f>IF('levy page13'!$E$37&lt;&gt;0,ROUND(G25/$F$67*1000,3),"  ")</f>
        <v>0.547</v>
      </c>
    </row>
    <row r="26" spans="1:8" ht="15.75">
      <c r="A26" s="130" t="str">
        <f>IF((inputPrYr!$B26&gt;" "),(inputPrYr!$B26),"  ")</f>
        <v>Election (11)</v>
      </c>
      <c r="B26" s="130">
        <f>IF('levy page13'!$C$67&lt;&gt;0,'levy page13'!$C$67,"  ")</f>
        <v>93796</v>
      </c>
      <c r="C26" s="393">
        <f>IF(inputPrYr!D102&lt;&gt;0,inputPrYr!D102,"  ")</f>
        <v>0.71</v>
      </c>
      <c r="D26" s="130">
        <f>IF('levy page13'!$D$67&lt;&gt;0,'levy page13'!$D$67,"  ")</f>
        <v>94849</v>
      </c>
      <c r="E26" s="393">
        <f>IF(inputPrYr!F26&lt;&gt;0,inputPrYr!F26,"  ")</f>
        <v>0.098</v>
      </c>
      <c r="F26" s="130">
        <f>IF('levy page13'!$E$67&lt;&gt;0,'levy page13'!$E$67,"  ")</f>
        <v>212556</v>
      </c>
      <c r="G26" s="130" t="str">
        <f>IF('levy page13'!$E$74&lt;&gt;0,'levy page13'!$E$74,"  ")</f>
        <v>  </v>
      </c>
      <c r="H26" s="393" t="str">
        <f>IF('levy page13'!$E$74&lt;&gt;0,ROUND(G26/$F$67*1000,3),"  ")</f>
        <v>  </v>
      </c>
    </row>
    <row r="27" spans="1:8" ht="15.75">
      <c r="A27" s="130" t="str">
        <f>IF((inputPrYr!$B27&gt;" "),(inputPrYr!$B27),"  ")</f>
        <v>Special Assessments (20)</v>
      </c>
      <c r="B27" s="130">
        <f>IF('levy page14'!$C$31&lt;&gt;0,'levy page14'!$C$31,"  ")</f>
        <v>2</v>
      </c>
      <c r="C27" s="393" t="str">
        <f>IF(inputPrYr!D103&lt;&gt;0,inputPrYr!D103,"  ")</f>
        <v>  </v>
      </c>
      <c r="D27" s="130" t="str">
        <f>IF('levy page14'!$D$31&lt;&gt;0,'levy page14'!$D$31,"  ")</f>
        <v>  </v>
      </c>
      <c r="E27" s="393" t="str">
        <f>IF(inputPrYr!F27&lt;&gt;0,inputPrYr!F27,"  ")</f>
        <v>  </v>
      </c>
      <c r="F27" s="130">
        <f>IF('levy page14'!$E$31&lt;&gt;0,'levy page14'!$E$31,"  ")</f>
        <v>4</v>
      </c>
      <c r="G27" s="130" t="str">
        <f>IF('levy page14'!$E$38&lt;&gt;0,'levy page14'!$E$38,"  ")</f>
        <v>  </v>
      </c>
      <c r="H27" s="393" t="str">
        <f>IF('levy page14'!$E$38&lt;&gt;0,ROUND(G27/$F$67*1000,3),"  ")</f>
        <v>  </v>
      </c>
    </row>
    <row r="28" spans="1:8" ht="15.75">
      <c r="A28" s="130" t="str">
        <f>IF((inputPrYr!$B28&gt;" "),(inputPrYr!$B28),"  ")</f>
        <v>Senior Citizens (22)</v>
      </c>
      <c r="B28" s="130">
        <f>IF('levy page14'!$C$65&lt;&gt;0,'levy page14'!$C$65,"  ")</f>
        <v>103000</v>
      </c>
      <c r="C28" s="393">
        <f>IF(inputPrYr!D104&lt;&gt;0,inputPrYr!D104,"  ")</f>
        <v>0.449</v>
      </c>
      <c r="D28" s="130">
        <f>IF('levy page14'!$D$65&lt;&gt;0,'levy page14'!$D$65,"  ")</f>
        <v>100682</v>
      </c>
      <c r="E28" s="393">
        <f>IF(inputPrYr!F28&lt;&gt;0,inputPrYr!F28,"  ")</f>
        <v>0.417</v>
      </c>
      <c r="F28" s="130">
        <f>IF('levy page14'!$E$65&lt;&gt;0,'levy page14'!$E$65,"  ")</f>
        <v>113000</v>
      </c>
      <c r="G28" s="130">
        <f>IF('levy page14'!$E$72&lt;&gt;0,'levy page14'!$E$72,"  ")</f>
        <v>108330</v>
      </c>
      <c r="H28" s="393">
        <f>IF('levy page14'!$E$72&lt;&gt;0,ROUND(G28/$F$67*1000,3),"  ")</f>
        <v>0.492</v>
      </c>
    </row>
    <row r="29" spans="1:8" ht="15.75">
      <c r="A29" s="130" t="str">
        <f>IF((inputPrYr!$B29&gt;" "),(inputPrYr!$B29),"  ")</f>
        <v>Community College (15)</v>
      </c>
      <c r="B29" s="130">
        <f>IF('levy page15'!$C$30&lt;&gt;0,'levy page15'!$C$30,"  ")</f>
        <v>22457</v>
      </c>
      <c r="C29" s="393" t="str">
        <f>IF(inputPrYr!D105&lt;&gt;0,inputPrYr!D105,"  ")</f>
        <v>  </v>
      </c>
      <c r="D29" s="130">
        <f>IF('levy page15'!$D$30&lt;&gt;0,'levy page15'!$D$30,"  ")</f>
        <v>600</v>
      </c>
      <c r="E29" s="393" t="str">
        <f>IF(inputPrYr!F29&lt;&gt;0,inputPrYr!F29,"  ")</f>
        <v>  </v>
      </c>
      <c r="F29" s="130">
        <f>IF('levy page15'!$E$30&lt;&gt;0,'levy page15'!$E$30,"  ")</f>
        <v>500</v>
      </c>
      <c r="G29" s="130" t="str">
        <f>IF('levy page15'!$E$37&lt;&gt;0,'levy page15'!$E$37,"  ")</f>
        <v>  </v>
      </c>
      <c r="H29" s="393" t="str">
        <f>IF('levy page15'!$E$37&lt;&gt;0,ROUND(G29/$F$67*1000,3),"  ")</f>
        <v>  </v>
      </c>
    </row>
    <row r="30" spans="1:8" ht="15.75">
      <c r="A30" s="130" t="str">
        <f>IF((inputPrYr!$B30&gt;" "),(inputPrYr!$B30),"  ")</f>
        <v>Mental Retardation (19)</v>
      </c>
      <c r="B30" s="130">
        <f>IF('levy page15'!$C$64&lt;&gt;0,'levy page15'!$C$64,"  ")</f>
        <v>81907</v>
      </c>
      <c r="C30" s="393">
        <f>IF(inputPrYr!D106&lt;&gt;0,inputPrYr!D106,"  ")</f>
        <v>0.358</v>
      </c>
      <c r="D30" s="130">
        <f>IF('levy page15'!$D$64&lt;&gt;0,'levy page15'!$D$64,"  ")</f>
        <v>80560</v>
      </c>
      <c r="E30" s="393">
        <f>IF(inputPrYr!F30&lt;&gt;0,inputPrYr!F30,"  ")</f>
        <v>0.332</v>
      </c>
      <c r="F30" s="130">
        <f>IF('levy page15'!$E$64&lt;&gt;0,'levy page15'!$E$64,"  ")</f>
        <v>84364</v>
      </c>
      <c r="G30" s="130">
        <f>IF('levy page15'!$E$71&lt;&gt;0,'levy page15'!$E$71,"  ")</f>
        <v>80156</v>
      </c>
      <c r="H30" s="393">
        <f>IF('levy page15'!$E$71&lt;&gt;0,ROUND(G30/$F$67*1000,3),"  ")</f>
        <v>0.364</v>
      </c>
    </row>
    <row r="31" spans="1:8" ht="15.75">
      <c r="A31" s="130" t="str">
        <f>IF((inputPrYr!$B31&gt;" "),(inputPrYr!$B31),"  ")</f>
        <v>Economic Development (18)</v>
      </c>
      <c r="B31" s="130">
        <f>IF('levy page16'!$C$32&lt;&gt;0,'levy page16'!$C$32,"  ")</f>
        <v>236000</v>
      </c>
      <c r="C31" s="393">
        <f>IF(inputPrYr!D107&lt;&gt;0,inputPrYr!D107,"  ")</f>
        <v>1.116</v>
      </c>
      <c r="D31" s="130">
        <f>IF('levy page16'!$D$32&lt;&gt;0,'levy page16'!$D$32,"  ")</f>
        <v>217256</v>
      </c>
      <c r="E31" s="393">
        <f>IF(inputPrYr!F31&lt;&gt;0,inputPrYr!F31,"  ")</f>
        <v>0.831</v>
      </c>
      <c r="F31" s="130">
        <f>IF('levy page16'!$E$32&lt;&gt;0,'levy page16'!$E$32,"  ")</f>
        <v>207000</v>
      </c>
      <c r="G31" s="130">
        <f>IF('levy page16'!$E$39&lt;&gt;0,'levy page16'!$E$39,"  ")</f>
        <v>181567</v>
      </c>
      <c r="H31" s="393">
        <f>IF('levy page16'!$E$39&lt;&gt;0,ROUND(G31/$F$67*1000,3),"  ")</f>
        <v>0.825</v>
      </c>
    </row>
    <row r="32" spans="1:8" ht="15.75">
      <c r="A32" s="130" t="str">
        <f>IF((inputPrYr!$B32&gt;" "),(inputPrYr!$B32),"  ")</f>
        <v>Law Enforcement (17)</v>
      </c>
      <c r="B32" s="130">
        <f>IF('levy page16'!$C$68&lt;&gt;0,'levy page16'!$C$68,"  ")</f>
        <v>22759</v>
      </c>
      <c r="C32" s="393" t="str">
        <f>IF(inputPrYr!D108&lt;&gt;0,inputPrYr!D108,"  ")</f>
        <v>  </v>
      </c>
      <c r="D32" s="130">
        <f>IF('levy page16'!$D$68&lt;&gt;0,'levy page16'!$D$68,"  ")</f>
        <v>100000</v>
      </c>
      <c r="E32" s="393" t="str">
        <f>IF(inputPrYr!F32&lt;&gt;0,inputPrYr!F32,"  ")</f>
        <v>  </v>
      </c>
      <c r="F32" s="130">
        <f>IF('levy page16'!$E$68&lt;&gt;0,'levy page16'!$E$68,"  ")</f>
        <v>407438</v>
      </c>
      <c r="G32" s="130" t="str">
        <f>IF('levy page16'!$E$75&lt;&gt;0,'levy page16'!$E$75,"  ")</f>
        <v>  </v>
      </c>
      <c r="H32" s="393" t="str">
        <f>IF('levy page16'!$E$75&lt;&gt;0,ROUND(G32/$F$67*1000,3),"  ")</f>
        <v>  </v>
      </c>
    </row>
    <row r="33" spans="1:8" ht="15.75">
      <c r="A33" s="130" t="str">
        <f>IF((inputPrYr!$B33&gt;" "),(inputPrYr!$B33),"  ")</f>
        <v>Appraisers Cost (2)</v>
      </c>
      <c r="B33" s="130">
        <f>IF('levy page17'!$C$31&lt;&gt;0,'levy page17'!$C$31,"  ")</f>
        <v>327450</v>
      </c>
      <c r="C33" s="393">
        <f>IF(inputPrYr!D109&lt;&gt;0,inputPrYr!D109,"  ")</f>
        <v>1.431</v>
      </c>
      <c r="D33" s="130">
        <f>IF('levy page17'!$D$31&lt;&gt;0,'levy page17'!$D$31,"  ")</f>
        <v>345206</v>
      </c>
      <c r="E33" s="393">
        <f>IF(inputPrYr!F33&lt;&gt;0,inputPrYr!F33,"  ")</f>
        <v>1.274</v>
      </c>
      <c r="F33" s="130">
        <f>IF('levy page17'!$E$31&lt;&gt;0,'levy page17'!$E$31,"  ")</f>
        <v>341202</v>
      </c>
      <c r="G33" s="130">
        <f>IF('levy page17'!$E$38&lt;&gt;0,'levy page17'!$E$38,"  ")</f>
        <v>301897</v>
      </c>
      <c r="H33" s="393">
        <f>IF('levy page17'!$E$38&lt;&gt;0,ROUND(G33/$F$67*1000,3),"  ")</f>
        <v>1.371</v>
      </c>
    </row>
    <row r="34" spans="1:8" ht="15.75">
      <c r="A34" s="130" t="str">
        <f>IF((inputPrYr!$B34&gt;" "),(inputPrYr!$B34),"  ")</f>
        <v>Employee Benefits (12)</v>
      </c>
      <c r="B34" s="130">
        <f>IF('levy page17'!$C$76&lt;&gt;0,'levy page17'!$C$76,"  ")</f>
        <v>2652386</v>
      </c>
      <c r="C34" s="393">
        <f>IF(inputPrYr!D110&lt;&gt;0,inputPrYr!D110,"  ")</f>
        <v>5.504</v>
      </c>
      <c r="D34" s="130">
        <f>IF('levy page17'!$D$76&lt;&gt;0,'levy page17'!$D$76,"  ")</f>
        <v>3062000</v>
      </c>
      <c r="E34" s="393">
        <f>IF(inputPrYr!F34&lt;&gt;0,inputPrYr!F34,"  ")</f>
        <v>9.236</v>
      </c>
      <c r="F34" s="130">
        <f>IF('levy page17'!$E$76&lt;&gt;0,'levy page17'!$E$76,"  ")</f>
        <v>3211300</v>
      </c>
      <c r="G34" s="130">
        <f>IF('levy page17'!$E$83&lt;&gt;0,'levy page17'!$E$83,"  ")</f>
        <v>1927936</v>
      </c>
      <c r="H34" s="393">
        <f>IF('levy page17'!$E$83&lt;&gt;0,ROUND(G34/$F$67*1000,3),"  ")</f>
        <v>8.756</v>
      </c>
    </row>
    <row r="35" spans="1:8" ht="15.75">
      <c r="A35" s="130" t="str">
        <f>IF((inputPrYr!$B35&gt;" "),(inputPrYr!$B35),"  ")</f>
        <v>Historical (65)</v>
      </c>
      <c r="B35" s="130">
        <f>IF('levy page18'!$C$30&lt;&gt;0,'levy page18'!$C$30,"  ")</f>
        <v>82155</v>
      </c>
      <c r="C35" s="393">
        <f>IF(inputPrYr!D111&lt;&gt;0,inputPrYr!D111,"  ")</f>
        <v>0.363</v>
      </c>
      <c r="D35" s="130">
        <f>IF('levy page18'!$D$30&lt;&gt;0,'levy page18'!$D$30,"  ")</f>
        <v>104659</v>
      </c>
      <c r="E35" s="393">
        <f>IF(inputPrYr!F35&lt;&gt;0,inputPrYr!F35,"  ")</f>
        <v>0.453</v>
      </c>
      <c r="F35" s="130">
        <f>IF('levy page18'!$E$30&lt;&gt;0,'levy page18'!$E$30,"  ")</f>
        <v>110000</v>
      </c>
      <c r="G35" s="130">
        <f>IF('levy page18'!$E$37&lt;&gt;0,'levy page18'!$E$37,"  ")</f>
        <v>104757</v>
      </c>
      <c r="H35" s="393">
        <f>IF('levy page18'!$E$37&lt;&gt;0,ROUND(G35/$F$67*1000,3),"  ")</f>
        <v>0.476</v>
      </c>
    </row>
    <row r="36" spans="1:8" ht="15.75">
      <c r="A36" s="130" t="str">
        <f>IF((inputPrYr!$B36&gt;" "),(inputPrYr!$B36),"  ")</f>
        <v>Hospital (33)</v>
      </c>
      <c r="B36" s="130">
        <f>IF('levy page18'!$C$65&lt;&gt;0,'levy page18'!$C$65,"  ")</f>
        <v>200000</v>
      </c>
      <c r="C36" s="393">
        <f>IF(inputPrYr!D112&lt;&gt;0,inputPrYr!D112,"  ")</f>
        <v>0.913</v>
      </c>
      <c r="D36" s="130">
        <f>IF('levy page18'!$D$65&lt;&gt;0,'levy page18'!$D$65,"  ")</f>
        <v>145746</v>
      </c>
      <c r="E36" s="393">
        <f>IF(inputPrYr!F36&lt;&gt;0,inputPrYr!F36,"  ")</f>
        <v>0.585</v>
      </c>
      <c r="F36" s="130">
        <f>IF('levy page18'!$E$65&lt;&gt;0,'levy page18'!$E$65,"  ")</f>
        <v>175000</v>
      </c>
      <c r="G36" s="130">
        <f>IF('levy page18'!$E$72&lt;&gt;0,'levy page18'!$E$72,"  ")</f>
        <v>169611</v>
      </c>
      <c r="H36" s="393">
        <f>IF('levy page18'!$E$72&lt;&gt;0,ROUND(G36/$F$67*1000,3),"  ")</f>
        <v>0.77</v>
      </c>
    </row>
    <row r="37" spans="1:8" ht="15.75">
      <c r="A37" s="130" t="str">
        <f>IF((inputPrYr!$B37&gt;" "),(inputPrYr!$B37),"  ")</f>
        <v>Juvenile Detention (68)</v>
      </c>
      <c r="B37" s="130">
        <f>IF('levy page19'!$C$30&lt;&gt;0,'levy page19'!$C$30,"  ")</f>
        <v>150000</v>
      </c>
      <c r="C37" s="393">
        <f>IF(inputPrYr!D113&lt;&gt;0,inputPrYr!D113,"  ")</f>
        <v>0.33</v>
      </c>
      <c r="D37" s="130">
        <f>IF('levy page19'!$D$30&lt;&gt;0,'levy page19'!$D$30,"  ")</f>
        <v>207681</v>
      </c>
      <c r="E37" s="393">
        <f>IF(inputPrYr!F37&lt;&gt;0,inputPrYr!F37,"  ")</f>
        <v>0.63</v>
      </c>
      <c r="F37" s="130">
        <f>IF('levy page19'!$E$30&lt;&gt;0,'levy page19'!$E$30,"  ")</f>
        <v>179000</v>
      </c>
      <c r="G37" s="130">
        <f>IF('levy page19'!$E$37&lt;&gt;0,'levy page19'!$E$37,"  ")</f>
        <v>172233</v>
      </c>
      <c r="H37" s="393">
        <f>IF('levy page19'!$E$37&lt;&gt;0,ROUND(G37/$F$67*1000,3),"  ")</f>
        <v>0.782</v>
      </c>
    </row>
    <row r="38" spans="1:8" ht="15.75">
      <c r="A38" s="130" t="str">
        <f>IF((inputPrYr!$B38&gt;" "),(inputPrYr!$B38),"  ")</f>
        <v>PBC - Cloud Co CC (25)</v>
      </c>
      <c r="B38" s="130">
        <f>IF('levy page19'!$C$65&lt;&gt;0,'levy page19'!$C$65,"  ")</f>
        <v>5957</v>
      </c>
      <c r="C38" s="393" t="str">
        <f>IF(inputPrYr!D114&lt;&gt;0,inputPrYr!D114,"  ")</f>
        <v>  </v>
      </c>
      <c r="D38" s="130">
        <f>IF('levy page19'!$D$65&lt;&gt;0,'levy page19'!$D$65,"  ")</f>
        <v>70000</v>
      </c>
      <c r="E38" s="393" t="str">
        <f>IF(inputPrYr!F38&lt;&gt;0,inputPrYr!F38,"  ")</f>
        <v>  </v>
      </c>
      <c r="F38" s="130">
        <f>IF('levy page19'!$E$65&lt;&gt;0,'levy page19'!$E$65,"  ")</f>
        <v>272516</v>
      </c>
      <c r="G38" s="130" t="str">
        <f>IF('levy page19'!$E$72&lt;&gt;0,'levy page19'!$E$72,"  ")</f>
        <v>  </v>
      </c>
      <c r="H38" s="393" t="str">
        <f>IF('levy page19'!$E$72&lt;&gt;0,ROUND(G38/$F$67*1000,3),"  ")</f>
        <v>  </v>
      </c>
    </row>
    <row r="39" spans="1:8" ht="15.75">
      <c r="A39" s="130" t="str">
        <f>IF((inputPrYr!$B39&gt;" "),(inputPrYr!$B39),"  ")</f>
        <v>Capital Improvements (44)</v>
      </c>
      <c r="B39" s="130">
        <f>IF('levy page20'!$C$33&lt;&gt;0,'levy page20'!$C$33,"  ")</f>
        <v>69707</v>
      </c>
      <c r="C39" s="393" t="str">
        <f>IF(inputPrYr!D115&lt;&gt;0,inputPrYr!D115,"  ")</f>
        <v>  </v>
      </c>
      <c r="D39" s="130">
        <f>IF('levy page20'!$D$33&lt;&gt;0,'levy page20'!$D$33,"  ")</f>
        <v>163349</v>
      </c>
      <c r="E39" s="393" t="str">
        <f>IF(inputPrYr!F39&lt;&gt;0,inputPrYr!F39,"  ")</f>
        <v>  </v>
      </c>
      <c r="F39" s="130">
        <f>IF('levy page20'!$E$33&lt;&gt;0,'levy page20'!$E$33,"  ")</f>
        <v>355985</v>
      </c>
      <c r="G39" s="130">
        <f>IF('levy page20'!$E$40&lt;&gt;0,'levy page20'!$E$40,"  ")</f>
        <v>216179</v>
      </c>
      <c r="H39" s="393">
        <f>IF('levy page20'!$E$40&lt;&gt;0,ROUND(G39/$F$67*1000,3),"  ")</f>
        <v>0.982</v>
      </c>
    </row>
    <row r="40" spans="1:8" ht="15.75">
      <c r="A40" s="130" t="str">
        <f>IF((inputPrYr!$B40&gt;" "),(inputPrYr!$B40),"  ")</f>
        <v>Geary Comm Hosp B&amp;I (27)</v>
      </c>
      <c r="B40" s="130">
        <f>IF('levy page20'!$C$69&lt;&gt;0,'levy page20'!$C$69,"  ")</f>
        <v>2033856</v>
      </c>
      <c r="C40" s="393">
        <f>IF(inputPrYr!D116&lt;&gt;0,inputPrYr!D116,"  ")</f>
        <v>3.99</v>
      </c>
      <c r="D40" s="130">
        <f>IF('levy page20'!$D$69&lt;&gt;0,'levy page20'!$D$69,"  ")</f>
        <v>2080000</v>
      </c>
      <c r="E40" s="393">
        <f>IF(inputPrYr!F40&lt;&gt;0,inputPrYr!F40,"  ")</f>
        <v>4.024</v>
      </c>
      <c r="F40" s="130">
        <f>IF('levy page20'!$E$69&lt;&gt;0,'levy page20'!$E$69,"  ")</f>
        <v>2412700</v>
      </c>
      <c r="G40" s="130">
        <f>IF('levy page20'!$E$76&lt;&gt;0,'levy page20'!$E$76,"  ")</f>
        <v>880770</v>
      </c>
      <c r="H40" s="393">
        <f>IF('levy page20'!$E$76&lt;&gt;0,ROUND(G40/$F$67*1000,3),"  ")</f>
        <v>4</v>
      </c>
    </row>
    <row r="41" spans="1:8" ht="15.75">
      <c r="A41" s="130" t="str">
        <f>IF((inputPrYr!$B41&gt;" "),(inputPrYr!$B41),"  ")</f>
        <v>Co. Neighborhood Revital (35)</v>
      </c>
      <c r="B41" s="130">
        <f>IF('levy page21'!$C$30&lt;&gt;0,'levy page21'!$C$30,"  ")</f>
        <v>604439</v>
      </c>
      <c r="C41" s="393">
        <f>IF(inputPrYr!D117&lt;&gt;0,inputPrYr!D117,"  ")</f>
        <v>2.905</v>
      </c>
      <c r="D41" s="130">
        <f>IF('levy page21'!$D$30&lt;&gt;0,'levy page21'!$D$30,"  ")</f>
        <v>670000</v>
      </c>
      <c r="E41" s="393">
        <f>IF(inputPrYr!F41&lt;&gt;0,inputPrYr!F41,"  ")</f>
        <v>2.743</v>
      </c>
      <c r="F41" s="130">
        <f>IF('levy page21'!$E$30&lt;&gt;0,'levy page21'!$E$30,"  ")</f>
        <v>710000</v>
      </c>
      <c r="G41" s="130">
        <f>IF('levy page21'!$E$37&lt;&gt;0,'levy page21'!$E$37,"  ")</f>
        <v>613091</v>
      </c>
      <c r="H41" s="393">
        <f>IF('levy page21'!$E$37&lt;&gt;0,ROUND(G41/$F$67*1000,3),"  ")</f>
        <v>2.784</v>
      </c>
    </row>
    <row r="42" spans="1:8" ht="15.75">
      <c r="A42" s="130" t="str">
        <f>IF((inputPrYr!$B42&gt;" "),(inputPrYr!$B42),"  ")</f>
        <v>Co. The Bluffs TIF District (36)</v>
      </c>
      <c r="B42" s="130">
        <f>IF('levy page21'!$C$64&lt;&gt;0,'levy page21'!$C$64,"  ")</f>
        <v>117334</v>
      </c>
      <c r="C42" s="393">
        <f>IF(inputPrYr!D118&lt;&gt;0,inputPrYr!D118,"  ")</f>
        <v>0.615</v>
      </c>
      <c r="D42" s="130">
        <f>IF('levy page21'!$D$64&lt;&gt;0,'levy page21'!$D$64,"  ")</f>
        <v>138000</v>
      </c>
      <c r="E42" s="393">
        <f>IF(inputPrYr!F42&lt;&gt;0,inputPrYr!F42,"  ")</f>
        <v>0.58</v>
      </c>
      <c r="F42" s="130">
        <f>IF('levy page21'!$E$64&lt;&gt;0,'levy page21'!$E$64,"  ")</f>
        <v>27084</v>
      </c>
      <c r="G42" s="130" t="str">
        <f>IF('levy page21'!$E$71&lt;&gt;0,'levy page21'!$E$71,"  ")</f>
        <v>  </v>
      </c>
      <c r="H42" s="393" t="str">
        <f>IF('levy page21'!$E$71&lt;&gt;0,ROUND(G42/$F$67*1000,3),"  ")</f>
        <v>  </v>
      </c>
    </row>
    <row r="43" spans="1:8" ht="15.75">
      <c r="A43" s="130" t="str">
        <f>IF((inputPrYr!$B45&gt;" "),(inputPrYr!$B45),"  ")</f>
        <v>Waste Disposal (21)</v>
      </c>
      <c r="B43" s="130">
        <f>IF('no levy page22'!$C$29&lt;&gt;0,'no levy page22'!$C$29,"  ")</f>
        <v>1633134</v>
      </c>
      <c r="C43" s="112"/>
      <c r="D43" s="130">
        <f>IF('no levy page22'!$D$29&lt;&gt;0,'no levy page22'!$D$29,"  ")</f>
        <v>1677000</v>
      </c>
      <c r="E43" s="112"/>
      <c r="F43" s="130">
        <f>IF('no levy page22'!$E$29&lt;&gt;0,'no levy page22'!$E$29,"  ")</f>
        <v>1699905</v>
      </c>
      <c r="G43" s="130"/>
      <c r="H43" s="109"/>
    </row>
    <row r="44" spans="1:8" ht="15.75">
      <c r="A44" s="130" t="str">
        <f>IF((inputPrYr!$B46&gt;" "),(inputPrYr!$B46),"  ")</f>
        <v>Alcohol Program (16)</v>
      </c>
      <c r="B44" s="130">
        <f>IF('no levy page22'!$C$57&lt;&gt;0,'no levy page22'!$C$57,"  ")</f>
        <v>1522</v>
      </c>
      <c r="C44" s="112"/>
      <c r="D44" s="130">
        <f>IF('no levy page22'!$D$57&lt;&gt;0,'no levy page22'!$D$57,"  ")</f>
        <v>4466</v>
      </c>
      <c r="E44" s="112"/>
      <c r="F44" s="130">
        <f>IF('no levy page22'!$E$57&lt;&gt;0,'no levy page22'!$E$57,"  ")</f>
        <v>130225</v>
      </c>
      <c r="G44" s="130"/>
      <c r="H44" s="109"/>
    </row>
    <row r="45" spans="1:8" ht="15.75">
      <c r="A45" s="130" t="str">
        <f>IF((inputPrYr!$B47&gt;" "),(inputPrYr!$B47),"  ")</f>
        <v>Convention &amp; Tourism (32)</v>
      </c>
      <c r="B45" s="130">
        <f>IF('no levy page23'!$C$29&lt;&gt;0,'no levy page23'!$C$29,"  ")</f>
        <v>559597</v>
      </c>
      <c r="C45" s="112"/>
      <c r="D45" s="130">
        <f>IF('no levy page23'!$D$29&lt;&gt;0,'no levy page23'!$D$29,"  ")</f>
        <v>691790</v>
      </c>
      <c r="E45" s="112"/>
      <c r="F45" s="130">
        <f>IF('no levy page23'!$E$29&lt;&gt;0,'no levy page23'!$E$29,"  ")</f>
        <v>927633</v>
      </c>
      <c r="G45" s="130"/>
      <c r="H45" s="109"/>
    </row>
    <row r="46" spans="1:8" ht="15.75">
      <c r="A46" s="130" t="str">
        <f>IF((inputPrYr!$B48&gt;" "),(inputPrYr!$B48),"  ")</f>
        <v>Parks &amp; Recreation (24)</v>
      </c>
      <c r="B46" s="130">
        <f>IF('no levy page23'!$C$56&lt;&gt;0,'no levy page23'!$C$56,"  ")</f>
        <v>87</v>
      </c>
      <c r="C46" s="112"/>
      <c r="D46" s="130" t="str">
        <f>IF('no levy page23'!$D$56&lt;&gt;0,'no levy page23'!$D$56,"  ")</f>
        <v>  </v>
      </c>
      <c r="E46" s="112"/>
      <c r="F46" s="130">
        <f>IF('no levy page23'!$E$56&lt;&gt;0,'no levy page23'!$E$56,"  ")</f>
        <v>4864</v>
      </c>
      <c r="G46" s="130"/>
      <c r="H46" s="109"/>
    </row>
    <row r="47" spans="1:8" ht="15.75">
      <c r="A47" s="130" t="str">
        <f>IF((inputPrYr!$B49&gt;" "),(inputPrYr!$B49),"  ")</f>
        <v>911 System (56)</v>
      </c>
      <c r="B47" s="130">
        <f>IF('no levy page24'!$C$26&lt;&gt;0,'no levy page24'!$C$26,"  ")</f>
        <v>71727</v>
      </c>
      <c r="C47" s="112"/>
      <c r="D47" s="130">
        <f>IF('no levy page24'!$D$26&lt;&gt;0,'no levy page24'!$D$26,"  ")</f>
        <v>100000</v>
      </c>
      <c r="E47" s="112"/>
      <c r="F47" s="130">
        <f>IF('no levy page24'!$E$26&lt;&gt;0,'no levy page24'!$E$26,"  ")</f>
        <v>195771</v>
      </c>
      <c r="G47" s="130"/>
      <c r="H47" s="109"/>
    </row>
    <row r="48" spans="1:8" ht="15.75">
      <c r="A48" s="130" t="str">
        <f>IF((inputPrYr!$B50&gt;" "),(inputPrYr!$B50),"  ")</f>
        <v>Court Trustee (57)</v>
      </c>
      <c r="B48" s="130">
        <f>IF('no levy page24'!$C$56&lt;&gt;0,'no levy page24'!$C$56,"  ")</f>
        <v>1027594</v>
      </c>
      <c r="C48" s="112"/>
      <c r="D48" s="130">
        <f>IF('no levy page24'!$D$56&lt;&gt;0,'no levy page24'!$D$56,"  ")</f>
        <v>1136385</v>
      </c>
      <c r="E48" s="112"/>
      <c r="F48" s="130">
        <f>IF('no levy page24'!$E$56&lt;&gt;0,'no levy page24'!$E$56,"  ")</f>
        <v>1164948</v>
      </c>
      <c r="G48" s="130"/>
      <c r="H48" s="109"/>
    </row>
    <row r="49" spans="1:8" ht="15.75">
      <c r="A49" s="130" t="str">
        <f>IF((inputPrYr!$B51&gt;" "),(inputPrYr!$B51),"  ")</f>
        <v>Hospital Improv-Old (13)</v>
      </c>
      <c r="B49" s="130">
        <f>IF('no levy page25'!$C$26&lt;&gt;0,'no levy page25'!$C$26,"  ")</f>
        <v>10000</v>
      </c>
      <c r="C49" s="112"/>
      <c r="D49" s="130" t="str">
        <f>IF('no levy page25'!$D$26&lt;&gt;0,'no levy page25'!$D$26,"  ")</f>
        <v>  </v>
      </c>
      <c r="E49" s="112"/>
      <c r="F49" s="130" t="str">
        <f>IF('no levy page25'!$E$26&lt;&gt;0,'no levy page25'!$E$26,"  ")</f>
        <v>  </v>
      </c>
      <c r="G49" s="130"/>
      <c r="H49" s="109"/>
    </row>
    <row r="50" spans="1:8" ht="15.75">
      <c r="A50" s="130" t="str">
        <f>IF((inputPrYr!$B52&gt;" "),(inputPrYr!$B52),"  ")</f>
        <v>PBC - Pennell/Court (485)</v>
      </c>
      <c r="B50" s="130">
        <f>IF('no levy page25'!$C$56&lt;&gt;0,'no levy page25'!$C$56,"  ")</f>
        <v>438400</v>
      </c>
      <c r="C50" s="112"/>
      <c r="D50" s="130">
        <f>IF('no levy page25'!$D$56&lt;&gt;0,'no levy page25'!$D$56,"  ")</f>
        <v>438400</v>
      </c>
      <c r="E50" s="112"/>
      <c r="F50" s="130">
        <f>IF('no levy page25'!$E$56&lt;&gt;0,'no levy page25'!$E$56,"  ")</f>
        <v>438400</v>
      </c>
      <c r="G50" s="130"/>
      <c r="H50" s="109"/>
    </row>
    <row r="51" spans="1:8" ht="15.75">
      <c r="A51" s="130" t="str">
        <f>IF((inputPrYr!$B53&gt;" "),(inputPrYr!$B53),"  ")</f>
        <v>Riley/Geary Mtg Bds (493)</v>
      </c>
      <c r="B51" s="130">
        <f>IF('no levy page26'!$C$25&lt;&gt;0,'no levy page26'!$C$25,"  ")</f>
        <v>17000</v>
      </c>
      <c r="C51" s="112"/>
      <c r="D51" s="130">
        <f>IF('no levy page26'!$D$25&lt;&gt;0,'no levy page26'!$D$25,"  ")</f>
        <v>8900</v>
      </c>
      <c r="E51" s="112"/>
      <c r="F51" s="130">
        <f>IF('no levy page26'!$E$25&lt;&gt;0,'no levy page26'!$E$25,"  ")</f>
        <v>9281</v>
      </c>
      <c r="G51" s="130"/>
      <c r="H51" s="109"/>
    </row>
    <row r="52" spans="1:13" ht="15.75">
      <c r="A52" s="130" t="str">
        <f>IF((inputPrYr!$B54&gt;" "),(inputPrYr!$B54),"  ")</f>
        <v>E911 Cell Phone (49)</v>
      </c>
      <c r="B52" s="130" t="str">
        <f>IF('no levy page26'!$C$52&lt;&gt;0,'no levy page26'!$C$52,"  ")</f>
        <v>  </v>
      </c>
      <c r="C52" s="112"/>
      <c r="D52" s="130">
        <f>IF('no levy page26'!$D$52&lt;&gt;0,'no levy page26'!$D$52,"  ")</f>
        <v>225000</v>
      </c>
      <c r="E52" s="112"/>
      <c r="F52" s="130">
        <f>IF('no levy page26'!$E$52&lt;&gt;0,'no levy page26'!$E$52,"  ")</f>
        <v>361215</v>
      </c>
      <c r="G52" s="130"/>
      <c r="H52" s="109"/>
      <c r="J52" s="791" t="str">
        <f>CONCATENATE("Estimated Value Of One Mill For ",H1,"")</f>
        <v>Estimated Value Of One Mill For 2012</v>
      </c>
      <c r="K52" s="797"/>
      <c r="L52" s="797"/>
      <c r="M52" s="798"/>
    </row>
    <row r="53" spans="1:13" ht="15.75">
      <c r="A53" s="130" t="str">
        <f>IF((inputPrYr!$B55&gt;" "),(inputPrYr!$B55),"  ")</f>
        <v>Sol Waste Environ Haz (30)</v>
      </c>
      <c r="B53" s="130" t="str">
        <f>IF('no levy page27'!$C$25&lt;&gt;0,'no levy page27'!$C$25,"  ")</f>
        <v>  </v>
      </c>
      <c r="C53" s="112"/>
      <c r="D53" s="130" t="str">
        <f>IF('no levy page27'!$D$25&lt;&gt;0,'no levy page27'!$D$25,"  ")</f>
        <v>  </v>
      </c>
      <c r="E53" s="112"/>
      <c r="F53" s="130">
        <f>IF('no levy page27'!$E$25&lt;&gt;0,'no levy page27'!$E$25,"  ")</f>
        <v>194721</v>
      </c>
      <c r="G53" s="130"/>
      <c r="H53" s="109"/>
      <c r="J53" s="548"/>
      <c r="K53" s="549"/>
      <c r="L53" s="549"/>
      <c r="M53" s="550"/>
    </row>
    <row r="54" spans="1:13" ht="15.75">
      <c r="A54" s="130" t="str">
        <f>IF((inputPrYr!$B56&gt;" "),(inputPrYr!$B56),"  ")</f>
        <v>Concealed Weapon/ KORA (48)</v>
      </c>
      <c r="B54" s="130">
        <f>IF('no levy page27'!$C$55&lt;&gt;0,'no levy page27'!$C$55,"  ")</f>
        <v>9368</v>
      </c>
      <c r="C54" s="112"/>
      <c r="D54" s="130">
        <f>IF('no levy page27'!$D$55&lt;&gt;0,'no levy page27'!$D$55,"  ")</f>
        <v>10000</v>
      </c>
      <c r="E54" s="112"/>
      <c r="F54" s="130">
        <f>IF('no levy page27'!$E$55&lt;&gt;0,'no levy page27'!$E$55,"  ")</f>
        <v>26835</v>
      </c>
      <c r="G54" s="130"/>
      <c r="H54" s="109"/>
      <c r="J54" s="551" t="s">
        <v>689</v>
      </c>
      <c r="K54" s="552"/>
      <c r="L54" s="552"/>
      <c r="M54" s="553">
        <f>ROUND(F67/1000,0)</f>
        <v>220188</v>
      </c>
    </row>
    <row r="55" spans="1:8" ht="15.75">
      <c r="A55" s="130" t="str">
        <f>IF((inputPrYr!$B57&gt;" "),(inputPrYr!$B57),"  ")</f>
        <v>  </v>
      </c>
      <c r="B55" s="130" t="str">
        <f>IF('no levy page28'!$C$29&lt;&gt;0,'no levy page28'!$C$29,"  ")</f>
        <v>  </v>
      </c>
      <c r="C55" s="112"/>
      <c r="D55" s="130" t="str">
        <f>IF('no levy page28'!$D$29&lt;&gt;0,'no levy page28'!$D$29,"  ")</f>
        <v>  </v>
      </c>
      <c r="E55" s="112"/>
      <c r="F55" s="130" t="str">
        <f>IF('no levy page28'!$E$29&lt;&gt;0,'no levy page28'!$E$29,"  ")</f>
        <v>  </v>
      </c>
      <c r="G55" s="130"/>
      <c r="H55" s="109"/>
    </row>
    <row r="56" spans="1:13" ht="15.75">
      <c r="A56" s="130" t="str">
        <f>IF((inputPrYr!$B58&gt;" "),(inputPrYr!$B58),"  ")</f>
        <v>  </v>
      </c>
      <c r="B56" s="130" t="str">
        <f>IF('no levy page28'!$C$60&lt;&gt;0,'no levy page28'!$C$60,"  ")</f>
        <v>  </v>
      </c>
      <c r="C56" s="112"/>
      <c r="D56" s="130" t="str">
        <f>IF('no levy page28'!$D$60&lt;&gt;0,'no levy page28'!$D$60,"  ")</f>
        <v>  </v>
      </c>
      <c r="E56" s="112"/>
      <c r="F56" s="130" t="str">
        <f>IF('no levy page28'!$E$60&lt;&gt;0,'no levy page28'!$E$60,"  ")</f>
        <v>  </v>
      </c>
      <c r="G56" s="130"/>
      <c r="H56" s="109"/>
      <c r="J56" s="791" t="str">
        <f>CONCATENATE("Want The Mill Rate The Same As For ",H1-1,"?")</f>
        <v>Want The Mill Rate The Same As For 2011?</v>
      </c>
      <c r="K56" s="797"/>
      <c r="L56" s="797"/>
      <c r="M56" s="798"/>
    </row>
    <row r="57" spans="1:13" ht="15.75">
      <c r="A57" s="130" t="str">
        <f>IF((inputPrYr!$B59&gt;" "),(inputPrYr!$B59),"  ")</f>
        <v>  </v>
      </c>
      <c r="B57" s="130" t="str">
        <f>IF('no levy page29'!$C$29&lt;&gt;0,'no levy page29'!$C$29,"  ")</f>
        <v>  </v>
      </c>
      <c r="C57" s="112"/>
      <c r="D57" s="130" t="str">
        <f>IF('no levy page29'!$D$29&lt;&gt;0,'no levy page29'!$D$29,"  ")</f>
        <v>  </v>
      </c>
      <c r="E57" s="112"/>
      <c r="F57" s="130" t="str">
        <f>IF('no levy page29'!$E$29&lt;&gt;0,'no levy page29'!$E$29,"  ")</f>
        <v>  </v>
      </c>
      <c r="G57" s="130"/>
      <c r="H57" s="109"/>
      <c r="J57" s="555"/>
      <c r="K57" s="549"/>
      <c r="L57" s="549"/>
      <c r="M57" s="556"/>
    </row>
    <row r="58" spans="1:13" ht="15.75">
      <c r="A58" s="130" t="str">
        <f>IF((inputPrYr!$B60&gt;" "),(inputPrYr!$B60),"  ")</f>
        <v>  </v>
      </c>
      <c r="B58" s="130" t="str">
        <f>IF('no levy page29'!$C$60&lt;&gt;0,'no levy page29'!$C$60,"  ")</f>
        <v>  </v>
      </c>
      <c r="C58" s="112"/>
      <c r="D58" s="130" t="str">
        <f>IF('no levy page29'!$D$60&lt;&gt;0,'no levy page29'!$D$60,"  ")</f>
        <v>  </v>
      </c>
      <c r="E58" s="112"/>
      <c r="F58" s="130" t="str">
        <f>IF('no levy page29'!$E$60&lt;&gt;0,'no levy page29'!$E$60,"  ")</f>
        <v>  </v>
      </c>
      <c r="G58" s="130"/>
      <c r="H58" s="109"/>
      <c r="J58" s="555" t="str">
        <f>CONCATENATE("",H1-1," Mill Rate Was:")</f>
        <v>2011 Mill Rate Was:</v>
      </c>
      <c r="K58" s="549"/>
      <c r="L58" s="549"/>
      <c r="M58" s="557">
        <f>E63</f>
        <v>53.126000000000026</v>
      </c>
    </row>
    <row r="59" spans="1:13" ht="15.75">
      <c r="A59" s="195" t="str">
        <f>IF((inputPrYr!$B64&gt;"  "),(nonbudA!$A3),"  ")</f>
        <v>Non-Budgeted Funds-A</v>
      </c>
      <c r="B59" s="130">
        <f>IF(nonbudA!$K$28&lt;&gt;0,nonbudA!$K$28,"  ")</f>
        <v>53776</v>
      </c>
      <c r="C59" s="112"/>
      <c r="D59" s="130"/>
      <c r="E59" s="112"/>
      <c r="F59" s="130"/>
      <c r="G59" s="130"/>
      <c r="H59" s="109"/>
      <c r="J59" s="558" t="str">
        <f>CONCATENATE("",H1," Tax Levy Fund Expenditures Must Be")</f>
        <v>2012 Tax Levy Fund Expenditures Must Be</v>
      </c>
      <c r="K59" s="559"/>
      <c r="L59" s="559"/>
      <c r="M59" s="556"/>
    </row>
    <row r="60" spans="1:13" ht="15.75">
      <c r="A60" s="195" t="str">
        <f>IF((inputPrYr!$B70&gt;"  "),(nonbudB!$A3),"  ")</f>
        <v>  </v>
      </c>
      <c r="B60" s="130" t="str">
        <f>IF(nonbudB!$K$28&lt;&gt;0,nonbudB!$K$28,"  ")</f>
        <v>  </v>
      </c>
      <c r="C60" s="112"/>
      <c r="D60" s="130"/>
      <c r="E60" s="112"/>
      <c r="F60" s="130"/>
      <c r="G60" s="130"/>
      <c r="H60" s="109"/>
      <c r="J60" s="558">
        <f>IF(M60&gt;0,"Increased By:","")</f>
      </c>
      <c r="K60" s="559"/>
      <c r="L60" s="559"/>
      <c r="M60" s="658">
        <f>IF(M67&lt;0,M67*-1,0)</f>
        <v>0</v>
      </c>
    </row>
    <row r="61" spans="1:13" ht="15.75">
      <c r="A61" s="195" t="str">
        <f>IF((inputPrYr!$B76&gt;"  "),(nonbudC!$A3),"  ")</f>
        <v>  </v>
      </c>
      <c r="B61" s="130" t="str">
        <f>IF(nonbudC!$K$28&lt;&gt;0,nonbudC!$K$28,"  ")</f>
        <v>  </v>
      </c>
      <c r="C61" s="112"/>
      <c r="D61" s="130"/>
      <c r="E61" s="112"/>
      <c r="F61" s="130"/>
      <c r="G61" s="130"/>
      <c r="H61" s="109"/>
      <c r="J61" s="659" t="str">
        <f>IF(M61&lt;0,"Reduced By:","")</f>
        <v>Reduced By:</v>
      </c>
      <c r="K61" s="660"/>
      <c r="L61" s="660"/>
      <c r="M61" s="661">
        <f>IF(M67&gt;0,M67*-1,0)</f>
        <v>-82242.04499999993</v>
      </c>
    </row>
    <row r="62" spans="1:13" ht="16.5" thickBot="1">
      <c r="A62" s="195" t="str">
        <f>IF((inputPrYr!$B82&gt;"  "),(nonbudD!$A3),"  ")</f>
        <v>  </v>
      </c>
      <c r="B62" s="537" t="str">
        <f>IF(nonbudD!$K$28&lt;&gt;0,nonbudD!$K$28,"  ")</f>
        <v>  </v>
      </c>
      <c r="C62" s="536"/>
      <c r="D62" s="537"/>
      <c r="E62" s="536"/>
      <c r="F62" s="537"/>
      <c r="G62" s="537"/>
      <c r="H62" s="535"/>
      <c r="J62" s="562"/>
      <c r="K62" s="562"/>
      <c r="L62" s="562"/>
      <c r="M62" s="562"/>
    </row>
    <row r="63" spans="1:13" ht="15.75">
      <c r="A63" s="108" t="s">
        <v>159</v>
      </c>
      <c r="B63" s="540">
        <f>SUM(B16:B62)</f>
        <v>23315851</v>
      </c>
      <c r="C63" s="538">
        <f>SUM(C16:C42)</f>
        <v>49.59799999999999</v>
      </c>
      <c r="D63" s="540">
        <f>SUM(D16:D62)</f>
        <v>25929381</v>
      </c>
      <c r="E63" s="538">
        <f>SUM(E16:E42)</f>
        <v>53.126000000000026</v>
      </c>
      <c r="F63" s="540">
        <f>SUM(F16:F62)</f>
        <v>28442356</v>
      </c>
      <c r="G63" s="540">
        <f>SUM(G16:G42)</f>
        <v>11779935.045</v>
      </c>
      <c r="H63" s="538">
        <f>SUM(H16:H42)</f>
        <v>53.499</v>
      </c>
      <c r="J63" s="791" t="str">
        <f>CONCATENATE("Impact On Keeping The Same Mill Rate As For ",H1-1,"")</f>
        <v>Impact On Keeping The Same Mill Rate As For 2011</v>
      </c>
      <c r="K63" s="792"/>
      <c r="L63" s="792"/>
      <c r="M63" s="793"/>
    </row>
    <row r="64" spans="1:13" ht="15.75">
      <c r="A64" s="89" t="s">
        <v>197</v>
      </c>
      <c r="B64" s="394">
        <f>transfers!C29</f>
        <v>382428</v>
      </c>
      <c r="C64" s="395"/>
      <c r="D64" s="394">
        <f>transfers!D29</f>
        <v>9851</v>
      </c>
      <c r="E64" s="340"/>
      <c r="F64" s="394">
        <f>transfers!E29</f>
        <v>37091</v>
      </c>
      <c r="G64" s="90"/>
      <c r="H64" s="128"/>
      <c r="J64" s="555"/>
      <c r="K64" s="549"/>
      <c r="L64" s="549"/>
      <c r="M64" s="556"/>
    </row>
    <row r="65" spans="1:13" ht="16.5" thickBot="1">
      <c r="A65" s="89" t="s">
        <v>198</v>
      </c>
      <c r="B65" s="397">
        <f>B63-B64</f>
        <v>22933423</v>
      </c>
      <c r="C65" s="90"/>
      <c r="D65" s="397">
        <f>D63-D64</f>
        <v>25919530</v>
      </c>
      <c r="E65" s="395"/>
      <c r="F65" s="397">
        <f>F63-F64</f>
        <v>28405265</v>
      </c>
      <c r="G65" s="90"/>
      <c r="H65" s="128"/>
      <c r="J65" s="555" t="str">
        <f>CONCATENATE("",H1," Ad Valorem Tax Revenue:")</f>
        <v>2012 Ad Valorem Tax Revenue:</v>
      </c>
      <c r="K65" s="549"/>
      <c r="L65" s="549"/>
      <c r="M65" s="550">
        <f>G63</f>
        <v>11779935.045</v>
      </c>
    </row>
    <row r="66" spans="1:13" ht="16.5" thickTop="1">
      <c r="A66" s="89" t="s">
        <v>199</v>
      </c>
      <c r="B66" s="540">
        <f>inputPrYr!F121</f>
        <v>10511357</v>
      </c>
      <c r="C66" s="90"/>
      <c r="D66" s="540">
        <f>inputPrYr!E43</f>
        <v>11476208</v>
      </c>
      <c r="E66" s="90"/>
      <c r="F66" s="539" t="s">
        <v>68</v>
      </c>
      <c r="G66" s="90"/>
      <c r="H66" s="128"/>
      <c r="J66" s="555" t="str">
        <f>CONCATENATE("",H1-1," Ad Valorem Tax Revenue:")</f>
        <v>2011 Ad Valorem Tax Revenue:</v>
      </c>
      <c r="K66" s="549"/>
      <c r="L66" s="549"/>
      <c r="M66" s="563">
        <f>ROUND(F67*M58/1000,0)</f>
        <v>11697693</v>
      </c>
    </row>
    <row r="67" spans="1:13" ht="15.75">
      <c r="A67" s="89" t="s">
        <v>200</v>
      </c>
      <c r="B67" s="130">
        <f>inputPrYr!F122</f>
        <v>211937573</v>
      </c>
      <c r="C67" s="90"/>
      <c r="D67" s="130">
        <f>inputPrYr!F87</f>
        <v>216021142</v>
      </c>
      <c r="E67" s="90"/>
      <c r="F67" s="130">
        <f>inputOth!E6</f>
        <v>220187728</v>
      </c>
      <c r="G67" s="90"/>
      <c r="H67" s="128"/>
      <c r="J67" s="560" t="s">
        <v>690</v>
      </c>
      <c r="K67" s="561"/>
      <c r="L67" s="561"/>
      <c r="M67" s="553">
        <f>SUM(M65-M66)</f>
        <v>82242.04499999993</v>
      </c>
    </row>
    <row r="68" spans="1:13" ht="15.75">
      <c r="A68" s="90"/>
      <c r="B68" s="90"/>
      <c r="C68" s="90"/>
      <c r="D68" s="90"/>
      <c r="E68" s="90"/>
      <c r="F68" s="90"/>
      <c r="G68" s="90"/>
      <c r="H68" s="128"/>
      <c r="J68" s="554"/>
      <c r="K68" s="554"/>
      <c r="L68" s="554"/>
      <c r="M68" s="562"/>
    </row>
    <row r="69" spans="1:13" ht="15.75">
      <c r="A69" s="89" t="s">
        <v>201</v>
      </c>
      <c r="B69" s="90"/>
      <c r="C69" s="90"/>
      <c r="D69" s="90"/>
      <c r="E69" s="90"/>
      <c r="F69" s="90"/>
      <c r="G69" s="90"/>
      <c r="H69" s="140"/>
      <c r="J69" s="791" t="s">
        <v>691</v>
      </c>
      <c r="K69" s="794"/>
      <c r="L69" s="794"/>
      <c r="M69" s="795"/>
    </row>
    <row r="70" spans="1:13" ht="15.75">
      <c r="A70" s="89" t="s">
        <v>202</v>
      </c>
      <c r="B70" s="396">
        <f>H1-3</f>
        <v>2009</v>
      </c>
      <c r="C70" s="90"/>
      <c r="D70" s="396">
        <f>H1-2</f>
        <v>2010</v>
      </c>
      <c r="E70" s="90"/>
      <c r="F70" s="396">
        <f>H1-1</f>
        <v>2011</v>
      </c>
      <c r="G70" s="90"/>
      <c r="H70" s="140"/>
      <c r="J70" s="555"/>
      <c r="K70" s="549"/>
      <c r="L70" s="549"/>
      <c r="M70" s="556"/>
    </row>
    <row r="71" spans="1:13" ht="15.75">
      <c r="A71" s="89" t="s">
        <v>203</v>
      </c>
      <c r="B71" s="130">
        <f>inputPrYr!D126</f>
        <v>33825000</v>
      </c>
      <c r="C71" s="90"/>
      <c r="D71" s="130">
        <f>inputPrYr!E126</f>
        <v>33440000</v>
      </c>
      <c r="E71" s="90"/>
      <c r="F71" s="130">
        <f>debt!F19</f>
        <v>32990000</v>
      </c>
      <c r="G71" s="90"/>
      <c r="H71" s="140"/>
      <c r="J71" s="555" t="str">
        <f>CONCATENATE("Current ",H1," Estimated Mill Rate:")</f>
        <v>Current 2012 Estimated Mill Rate:</v>
      </c>
      <c r="K71" s="549"/>
      <c r="L71" s="549"/>
      <c r="M71" s="557">
        <f>H63</f>
        <v>53.499</v>
      </c>
    </row>
    <row r="72" spans="1:13" ht="15.75">
      <c r="A72" s="89" t="s">
        <v>204</v>
      </c>
      <c r="B72" s="130">
        <f>inputPrYr!D127</f>
        <v>0</v>
      </c>
      <c r="C72" s="90"/>
      <c r="D72" s="130">
        <f>inputPrYr!E127</f>
        <v>0</v>
      </c>
      <c r="E72" s="90"/>
      <c r="F72" s="130">
        <f>debt!F27</f>
        <v>0</v>
      </c>
      <c r="G72" s="90"/>
      <c r="H72" s="140"/>
      <c r="J72" s="555" t="str">
        <f>CONCATENATE("Desired ",H1," Mill Rate:")</f>
        <v>Desired 2012 Mill Rate:</v>
      </c>
      <c r="K72" s="549"/>
      <c r="L72" s="549"/>
      <c r="M72" s="564">
        <v>0</v>
      </c>
    </row>
    <row r="73" spans="1:13" ht="15.75">
      <c r="A73" s="89" t="s">
        <v>189</v>
      </c>
      <c r="B73" s="130">
        <f>inputPrYr!D128</f>
        <v>0</v>
      </c>
      <c r="C73" s="90"/>
      <c r="D73" s="130">
        <f>inputPrYr!E128</f>
        <v>0</v>
      </c>
      <c r="E73" s="90"/>
      <c r="F73" s="130">
        <f>debt!F36</f>
        <v>0</v>
      </c>
      <c r="G73" s="90"/>
      <c r="H73" s="140"/>
      <c r="J73" s="555" t="str">
        <f>CONCATENATE("",H1," Ad Valorem Tax:")</f>
        <v>2012 Ad Valorem Tax:</v>
      </c>
      <c r="K73" s="549"/>
      <c r="L73" s="549"/>
      <c r="M73" s="563">
        <f>ROUND(F67*M72/1000,0)</f>
        <v>0</v>
      </c>
    </row>
    <row r="74" spans="1:13" ht="15.75">
      <c r="A74" s="89" t="s">
        <v>290</v>
      </c>
      <c r="B74" s="130">
        <f>inputPrYr!D129</f>
        <v>367500</v>
      </c>
      <c r="C74" s="90"/>
      <c r="D74" s="130">
        <f>inputPrYr!E129</f>
        <v>245000</v>
      </c>
      <c r="E74" s="90"/>
      <c r="F74" s="130">
        <f>lpform!F37</f>
        <v>122500</v>
      </c>
      <c r="G74" s="90"/>
      <c r="H74" s="140"/>
      <c r="J74" s="560" t="str">
        <f>CONCATENATE("",H1," Tax Levy Fund Exp. Changed By:")</f>
        <v>2012 Tax Levy Fund Exp. Changed By:</v>
      </c>
      <c r="K74" s="561"/>
      <c r="L74" s="561"/>
      <c r="M74" s="553">
        <f>IF(M72=0,0,(M73-G63))</f>
        <v>0</v>
      </c>
    </row>
    <row r="75" spans="1:8" ht="16.5" thickBot="1">
      <c r="A75" s="89" t="s">
        <v>205</v>
      </c>
      <c r="B75" s="565">
        <f>SUM(B71:B74)</f>
        <v>34192500</v>
      </c>
      <c r="C75" s="90"/>
      <c r="D75" s="565">
        <f>SUM(D71:D74)</f>
        <v>33685000</v>
      </c>
      <c r="E75" s="90"/>
      <c r="F75" s="565">
        <f>SUM(F71:F74)</f>
        <v>33112500</v>
      </c>
      <c r="G75" s="90"/>
      <c r="H75" s="140"/>
    </row>
    <row r="76" spans="1:8" ht="16.5" thickTop="1">
      <c r="A76" s="89" t="s">
        <v>206</v>
      </c>
      <c r="B76" s="90"/>
      <c r="C76" s="90"/>
      <c r="D76" s="90"/>
      <c r="E76" s="90"/>
      <c r="F76" s="90"/>
      <c r="G76" s="90"/>
      <c r="H76" s="140"/>
    </row>
    <row r="77" spans="1:8" ht="15.75">
      <c r="A77" s="90"/>
      <c r="B77" s="90"/>
      <c r="C77" s="90"/>
      <c r="D77" s="90"/>
      <c r="E77" s="90"/>
      <c r="F77" s="90"/>
      <c r="G77" s="90"/>
      <c r="H77" s="140"/>
    </row>
    <row r="78" spans="1:8" ht="15.75">
      <c r="A78" s="796" t="s">
        <v>1059</v>
      </c>
      <c r="B78" s="796"/>
      <c r="C78" s="90"/>
      <c r="D78" s="90"/>
      <c r="E78" s="90"/>
      <c r="F78" s="90"/>
      <c r="G78" s="90"/>
      <c r="H78" s="140"/>
    </row>
    <row r="79" spans="1:8" ht="15.75">
      <c r="A79" s="221" t="s">
        <v>207</v>
      </c>
      <c r="B79" s="98"/>
      <c r="C79" s="90"/>
      <c r="D79" s="90"/>
      <c r="E79" s="90"/>
      <c r="F79" s="90"/>
      <c r="G79" s="90"/>
      <c r="H79" s="140"/>
    </row>
    <row r="80" spans="1:8" ht="15.75">
      <c r="A80" s="90"/>
      <c r="B80" s="90"/>
      <c r="C80" s="90"/>
      <c r="D80" s="295" t="s">
        <v>173</v>
      </c>
      <c r="E80" s="398">
        <v>29</v>
      </c>
      <c r="F80" s="90"/>
      <c r="G80" s="90"/>
      <c r="H80" s="140"/>
    </row>
    <row r="81" spans="1:8" ht="15.75">
      <c r="A81" s="146"/>
      <c r="D81" s="146"/>
      <c r="E81" s="146"/>
      <c r="F81" s="146"/>
      <c r="G81" s="146"/>
      <c r="H81" s="146"/>
    </row>
  </sheetData>
  <sheetProtection/>
  <mergeCells count="14">
    <mergeCell ref="J63:M63"/>
    <mergeCell ref="J69:M69"/>
    <mergeCell ref="A78:B78"/>
    <mergeCell ref="G14:G15"/>
    <mergeCell ref="J52:M52"/>
    <mergeCell ref="J56:M56"/>
    <mergeCell ref="A2:H2"/>
    <mergeCell ref="A4:H4"/>
    <mergeCell ref="A5:H5"/>
    <mergeCell ref="A6:H6"/>
    <mergeCell ref="A10:H10"/>
    <mergeCell ref="A11:H11"/>
    <mergeCell ref="A7:H7"/>
    <mergeCell ref="A8:H8"/>
  </mergeCells>
  <printOptions/>
  <pageMargins left="1.12" right="0.5" top="0.74" bottom="0.34" header="0.5" footer="0"/>
  <pageSetup blackAndWhite="1" fitToHeight="1" fitToWidth="1" horizontalDpi="120" verticalDpi="120" orientation="portrait" scale="55" r:id="rId1"/>
  <headerFooter alignWithMargins="0">
    <oddHeader>&amp;RState of Kansas
County
</oddHeader>
  </headerFooter>
</worksheet>
</file>

<file path=xl/worksheets/sheet43.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A5" sqref="A5:I37"/>
    </sheetView>
  </sheetViews>
  <sheetFormatPr defaultColWidth="8.796875" defaultRowHeight="15"/>
  <cols>
    <col min="1" max="1" width="21.8984375" style="2" customWidth="1"/>
    <col min="2" max="2" width="12.796875" style="2" customWidth="1"/>
    <col min="3" max="3" width="10.296875" style="2" customWidth="1"/>
    <col min="4" max="4" width="12.8984375" style="2" customWidth="1"/>
    <col min="5" max="5" width="10.19921875" style="2" customWidth="1"/>
    <col min="6" max="6" width="15" style="2" customWidth="1"/>
    <col min="7" max="7" width="12.796875" style="2" customWidth="1"/>
    <col min="8" max="8" width="15.296875" style="2" customWidth="1"/>
    <col min="9" max="9" width="9.796875" style="2" customWidth="1"/>
    <col min="10" max="16384" width="8.8984375" style="2" customWidth="1"/>
  </cols>
  <sheetData>
    <row r="1" spans="1:9" ht="15.75">
      <c r="A1" s="26" t="str">
        <f>inputPrYr!C2</f>
        <v>Geary County</v>
      </c>
      <c r="B1" s="12"/>
      <c r="C1" s="12"/>
      <c r="D1" s="12"/>
      <c r="E1" s="12"/>
      <c r="F1" s="12"/>
      <c r="G1" s="12"/>
      <c r="H1" s="12"/>
      <c r="I1" s="51">
        <f>inputPrYr!C4</f>
        <v>2012</v>
      </c>
    </row>
    <row r="2" spans="1:9" ht="15.75">
      <c r="A2" s="12"/>
      <c r="B2" s="12"/>
      <c r="C2" s="12"/>
      <c r="D2" s="12"/>
      <c r="E2" s="12"/>
      <c r="F2" s="12"/>
      <c r="G2" s="12"/>
      <c r="H2" s="12"/>
      <c r="I2" s="11"/>
    </row>
    <row r="3" spans="1:10" ht="15.75">
      <c r="A3" s="31" t="s">
        <v>235</v>
      </c>
      <c r="B3" s="15"/>
      <c r="C3" s="15"/>
      <c r="D3" s="15"/>
      <c r="E3" s="15"/>
      <c r="F3" s="15"/>
      <c r="G3" s="15"/>
      <c r="H3" s="15"/>
      <c r="I3" s="30"/>
      <c r="J3" s="3"/>
    </row>
    <row r="4" spans="1:9" ht="15.75">
      <c r="A4" s="12"/>
      <c r="B4" s="16"/>
      <c r="C4" s="16"/>
      <c r="D4" s="16"/>
      <c r="E4" s="16"/>
      <c r="F4" s="16"/>
      <c r="G4" s="16"/>
      <c r="H4" s="16"/>
      <c r="I4" s="16"/>
    </row>
    <row r="5" spans="1:9" ht="15.75">
      <c r="A5" s="12"/>
      <c r="B5" s="32" t="str">
        <f>CONCATENATE("Prior Year Actual for ",I1-2,"")</f>
        <v>Prior Year Actual for 2010</v>
      </c>
      <c r="C5" s="19"/>
      <c r="D5" s="33" t="str">
        <f>CONCATENATE("Current Year Estimate for ",I1-1,"")</f>
        <v>Current Year Estimate for 2011</v>
      </c>
      <c r="E5" s="19"/>
      <c r="F5" s="17" t="str">
        <f>CONCATENATE("Proposed Budget Year for ",I1,"")</f>
        <v>Proposed Budget Year for 2012</v>
      </c>
      <c r="G5" s="18"/>
      <c r="H5" s="18"/>
      <c r="I5" s="19"/>
    </row>
    <row r="6" spans="1:9" ht="21" customHeight="1">
      <c r="A6" s="13" t="s">
        <v>9</v>
      </c>
      <c r="B6" s="20"/>
      <c r="C6" s="20" t="s">
        <v>193</v>
      </c>
      <c r="D6" s="20"/>
      <c r="E6" s="20" t="s">
        <v>193</v>
      </c>
      <c r="F6" s="542" t="s">
        <v>675</v>
      </c>
      <c r="G6" s="761" t="str">
        <f>CONCATENATE("Amount of ",I1-1,"    Ad Valorem Tax")</f>
        <v>Amount of 2011    Ad Valorem Tax</v>
      </c>
      <c r="H6" s="761" t="str">
        <f>CONCATENATE("July 1, ",I1-1," Estimated Valuation")</f>
        <v>July 1, 2011 Estimated Valuation</v>
      </c>
      <c r="I6" s="20" t="s">
        <v>194</v>
      </c>
    </row>
    <row r="7" spans="1:9" ht="29.25" customHeight="1">
      <c r="A7" s="22" t="s">
        <v>10</v>
      </c>
      <c r="B7" s="28" t="s">
        <v>142</v>
      </c>
      <c r="C7" s="28" t="s">
        <v>196</v>
      </c>
      <c r="D7" s="28" t="s">
        <v>142</v>
      </c>
      <c r="E7" s="28" t="s">
        <v>196</v>
      </c>
      <c r="F7" s="543" t="s">
        <v>676</v>
      </c>
      <c r="G7" s="762"/>
      <c r="H7" s="762"/>
      <c r="I7" s="28" t="s">
        <v>196</v>
      </c>
    </row>
    <row r="8" spans="1:9" ht="15.75">
      <c r="A8" s="7" t="s">
        <v>1044</v>
      </c>
      <c r="B8" s="7">
        <v>74891</v>
      </c>
      <c r="C8" s="9">
        <v>1.478</v>
      </c>
      <c r="D8" s="7">
        <v>75000</v>
      </c>
      <c r="E8" s="9">
        <v>1.305</v>
      </c>
      <c r="F8" s="7">
        <v>75000</v>
      </c>
      <c r="G8" s="7">
        <v>64733</v>
      </c>
      <c r="H8" s="7">
        <v>50861837</v>
      </c>
      <c r="I8" s="59">
        <f aca="true" t="shared" si="0" ref="I8:I36">IF(H8&lt;&gt;0,ROUND(G8/H8*1000,3)," ")</f>
        <v>1.273</v>
      </c>
    </row>
    <row r="9" spans="1:9" ht="15.75">
      <c r="A9" s="7" t="s">
        <v>1045</v>
      </c>
      <c r="B9" s="7">
        <v>206623</v>
      </c>
      <c r="C9" s="9">
        <v>3.749</v>
      </c>
      <c r="D9" s="7">
        <v>212622</v>
      </c>
      <c r="E9" s="9">
        <v>3.514</v>
      </c>
      <c r="F9" s="7">
        <v>250420</v>
      </c>
      <c r="G9" s="7">
        <v>148432</v>
      </c>
      <c r="H9" s="7">
        <v>35819018</v>
      </c>
      <c r="I9" s="59">
        <f t="shared" si="0"/>
        <v>4.144</v>
      </c>
    </row>
    <row r="10" spans="1:9" ht="15.75">
      <c r="A10" s="7"/>
      <c r="B10" s="7"/>
      <c r="C10" s="9"/>
      <c r="D10" s="7"/>
      <c r="E10" s="9"/>
      <c r="F10" s="7"/>
      <c r="G10" s="7"/>
      <c r="H10" s="7"/>
      <c r="I10" s="59" t="str">
        <f t="shared" si="0"/>
        <v> </v>
      </c>
    </row>
    <row r="11" spans="1:9" ht="15.75">
      <c r="A11" s="7"/>
      <c r="B11" s="7"/>
      <c r="C11" s="9"/>
      <c r="D11" s="7"/>
      <c r="E11" s="9"/>
      <c r="F11" s="7"/>
      <c r="G11" s="7"/>
      <c r="H11" s="7"/>
      <c r="I11" s="59" t="str">
        <f t="shared" si="0"/>
        <v> </v>
      </c>
    </row>
    <row r="12" spans="1:9" ht="15.75">
      <c r="A12" s="7"/>
      <c r="B12" s="7"/>
      <c r="C12" s="9"/>
      <c r="D12" s="7"/>
      <c r="E12" s="9"/>
      <c r="F12" s="7"/>
      <c r="G12" s="7"/>
      <c r="H12" s="7"/>
      <c r="I12" s="59" t="str">
        <f t="shared" si="0"/>
        <v> </v>
      </c>
    </row>
    <row r="13" spans="1:9" ht="15.75">
      <c r="A13" s="7"/>
      <c r="B13" s="7"/>
      <c r="C13" s="9"/>
      <c r="D13" s="7"/>
      <c r="E13" s="9"/>
      <c r="F13" s="7"/>
      <c r="G13" s="7"/>
      <c r="H13" s="7"/>
      <c r="I13" s="59" t="str">
        <f t="shared" si="0"/>
        <v> </v>
      </c>
    </row>
    <row r="14" spans="1:9" ht="15.75">
      <c r="A14" s="7"/>
      <c r="B14" s="7"/>
      <c r="C14" s="9"/>
      <c r="D14" s="7"/>
      <c r="E14" s="9"/>
      <c r="F14" s="7"/>
      <c r="G14" s="7"/>
      <c r="H14" s="7"/>
      <c r="I14" s="59" t="str">
        <f t="shared" si="0"/>
        <v> </v>
      </c>
    </row>
    <row r="15" spans="1:9" ht="15.75">
      <c r="A15" s="7"/>
      <c r="B15" s="7"/>
      <c r="C15" s="9"/>
      <c r="D15" s="7"/>
      <c r="E15" s="9"/>
      <c r="F15" s="7"/>
      <c r="G15" s="7"/>
      <c r="H15" s="7"/>
      <c r="I15" s="59" t="str">
        <f t="shared" si="0"/>
        <v> </v>
      </c>
    </row>
    <row r="16" spans="1:9" ht="15.75">
      <c r="A16" s="7"/>
      <c r="B16" s="7"/>
      <c r="C16" s="9"/>
      <c r="D16" s="7"/>
      <c r="E16" s="9"/>
      <c r="F16" s="7"/>
      <c r="G16" s="7"/>
      <c r="H16" s="7"/>
      <c r="I16" s="59" t="str">
        <f t="shared" si="0"/>
        <v> </v>
      </c>
    </row>
    <row r="17" spans="1:9" ht="15.75">
      <c r="A17" s="7"/>
      <c r="B17" s="7"/>
      <c r="C17" s="9"/>
      <c r="D17" s="7"/>
      <c r="E17" s="9"/>
      <c r="F17" s="7"/>
      <c r="G17" s="7"/>
      <c r="H17" s="7"/>
      <c r="I17" s="59" t="str">
        <f t="shared" si="0"/>
        <v> </v>
      </c>
    </row>
    <row r="18" spans="1:9" ht="15.75">
      <c r="A18" s="7"/>
      <c r="B18" s="7"/>
      <c r="C18" s="9"/>
      <c r="D18" s="7"/>
      <c r="E18" s="9"/>
      <c r="F18" s="7"/>
      <c r="G18" s="7"/>
      <c r="H18" s="7"/>
      <c r="I18" s="59" t="str">
        <f t="shared" si="0"/>
        <v> </v>
      </c>
    </row>
    <row r="19" spans="1:9" ht="15.75">
      <c r="A19" s="7"/>
      <c r="B19" s="7"/>
      <c r="C19" s="9"/>
      <c r="D19" s="7"/>
      <c r="E19" s="9"/>
      <c r="F19" s="7"/>
      <c r="G19" s="7"/>
      <c r="H19" s="7"/>
      <c r="I19" s="59" t="str">
        <f t="shared" si="0"/>
        <v> </v>
      </c>
    </row>
    <row r="20" spans="1:9" ht="15.75">
      <c r="A20" s="7"/>
      <c r="B20" s="7"/>
      <c r="C20" s="9"/>
      <c r="D20" s="7"/>
      <c r="E20" s="9"/>
      <c r="F20" s="7"/>
      <c r="G20" s="7"/>
      <c r="H20" s="7"/>
      <c r="I20" s="59" t="str">
        <f t="shared" si="0"/>
        <v> </v>
      </c>
    </row>
    <row r="21" spans="1:9" ht="15.75">
      <c r="A21" s="7"/>
      <c r="B21" s="7"/>
      <c r="C21" s="9"/>
      <c r="D21" s="7"/>
      <c r="E21" s="9"/>
      <c r="F21" s="7"/>
      <c r="G21" s="7"/>
      <c r="H21" s="7"/>
      <c r="I21" s="59" t="str">
        <f t="shared" si="0"/>
        <v> </v>
      </c>
    </row>
    <row r="22" spans="1:9" ht="15.75">
      <c r="A22" s="7"/>
      <c r="B22" s="7"/>
      <c r="C22" s="9"/>
      <c r="D22" s="7"/>
      <c r="E22" s="9"/>
      <c r="F22" s="7"/>
      <c r="G22" s="7"/>
      <c r="H22" s="7"/>
      <c r="I22" s="59" t="str">
        <f t="shared" si="0"/>
        <v> </v>
      </c>
    </row>
    <row r="23" spans="1:9" ht="15.75">
      <c r="A23" s="7"/>
      <c r="B23" s="7"/>
      <c r="C23" s="9"/>
      <c r="D23" s="7"/>
      <c r="E23" s="9"/>
      <c r="F23" s="7"/>
      <c r="G23" s="7"/>
      <c r="H23" s="7"/>
      <c r="I23" s="59" t="str">
        <f t="shared" si="0"/>
        <v> </v>
      </c>
    </row>
    <row r="24" spans="1:9" ht="15.75">
      <c r="A24" s="7"/>
      <c r="B24" s="7"/>
      <c r="C24" s="9"/>
      <c r="D24" s="7"/>
      <c r="E24" s="9"/>
      <c r="F24" s="7"/>
      <c r="G24" s="7"/>
      <c r="H24" s="7"/>
      <c r="I24" s="59" t="str">
        <f t="shared" si="0"/>
        <v> </v>
      </c>
    </row>
    <row r="25" spans="1:9" ht="15.75">
      <c r="A25" s="7"/>
      <c r="B25" s="7"/>
      <c r="C25" s="9"/>
      <c r="D25" s="7"/>
      <c r="E25" s="9"/>
      <c r="F25" s="7"/>
      <c r="G25" s="7"/>
      <c r="H25" s="7"/>
      <c r="I25" s="59" t="str">
        <f t="shared" si="0"/>
        <v> </v>
      </c>
    </row>
    <row r="26" spans="1:9" ht="15.75">
      <c r="A26" s="7"/>
      <c r="B26" s="7"/>
      <c r="C26" s="9"/>
      <c r="D26" s="7"/>
      <c r="E26" s="9"/>
      <c r="F26" s="7"/>
      <c r="G26" s="7"/>
      <c r="H26" s="7"/>
      <c r="I26" s="59" t="str">
        <f t="shared" si="0"/>
        <v> </v>
      </c>
    </row>
    <row r="27" spans="1:9" ht="15.75">
      <c r="A27" s="7"/>
      <c r="B27" s="7"/>
      <c r="C27" s="9"/>
      <c r="D27" s="7"/>
      <c r="E27" s="9"/>
      <c r="F27" s="7"/>
      <c r="G27" s="7"/>
      <c r="H27" s="7"/>
      <c r="I27" s="59" t="str">
        <f t="shared" si="0"/>
        <v> </v>
      </c>
    </row>
    <row r="28" spans="1:9" ht="15.75">
      <c r="A28" s="7"/>
      <c r="B28" s="7"/>
      <c r="C28" s="9"/>
      <c r="D28" s="7"/>
      <c r="E28" s="9"/>
      <c r="F28" s="7"/>
      <c r="G28" s="7"/>
      <c r="H28" s="7"/>
      <c r="I28" s="59" t="str">
        <f t="shared" si="0"/>
        <v> </v>
      </c>
    </row>
    <row r="29" spans="1:9" ht="15.75">
      <c r="A29" s="7"/>
      <c r="B29" s="7"/>
      <c r="C29" s="9"/>
      <c r="D29" s="7"/>
      <c r="E29" s="9"/>
      <c r="F29" s="7"/>
      <c r="G29" s="7"/>
      <c r="H29" s="7"/>
      <c r="I29" s="59" t="str">
        <f t="shared" si="0"/>
        <v> </v>
      </c>
    </row>
    <row r="30" spans="1:9" ht="15.75">
      <c r="A30" s="7"/>
      <c r="B30" s="7"/>
      <c r="C30" s="9"/>
      <c r="D30" s="7"/>
      <c r="E30" s="9"/>
      <c r="F30" s="7"/>
      <c r="G30" s="7"/>
      <c r="H30" s="7"/>
      <c r="I30" s="59" t="str">
        <f t="shared" si="0"/>
        <v> </v>
      </c>
    </row>
    <row r="31" spans="1:9" ht="15.75">
      <c r="A31" s="7"/>
      <c r="B31" s="7"/>
      <c r="C31" s="9"/>
      <c r="D31" s="7"/>
      <c r="E31" s="9"/>
      <c r="F31" s="7"/>
      <c r="G31" s="7"/>
      <c r="H31" s="7"/>
      <c r="I31" s="59" t="str">
        <f t="shared" si="0"/>
        <v> </v>
      </c>
    </row>
    <row r="32" spans="1:9" ht="15.75">
      <c r="A32" s="7"/>
      <c r="B32" s="7"/>
      <c r="C32" s="9"/>
      <c r="D32" s="7"/>
      <c r="E32" s="9"/>
      <c r="F32" s="7"/>
      <c r="G32" s="7"/>
      <c r="H32" s="7"/>
      <c r="I32" s="59" t="str">
        <f t="shared" si="0"/>
        <v> </v>
      </c>
    </row>
    <row r="33" spans="1:9" ht="15.75">
      <c r="A33" s="7"/>
      <c r="B33" s="7"/>
      <c r="C33" s="9"/>
      <c r="D33" s="7"/>
      <c r="E33" s="9"/>
      <c r="F33" s="7"/>
      <c r="G33" s="7"/>
      <c r="H33" s="7"/>
      <c r="I33" s="59" t="str">
        <f t="shared" si="0"/>
        <v> </v>
      </c>
    </row>
    <row r="34" spans="1:9" ht="15.75">
      <c r="A34" s="7"/>
      <c r="B34" s="7"/>
      <c r="C34" s="9"/>
      <c r="D34" s="7"/>
      <c r="E34" s="9"/>
      <c r="F34" s="7"/>
      <c r="G34" s="7"/>
      <c r="H34" s="7"/>
      <c r="I34" s="59" t="str">
        <f t="shared" si="0"/>
        <v> </v>
      </c>
    </row>
    <row r="35" spans="1:9" ht="15.75">
      <c r="A35" s="7"/>
      <c r="B35" s="7"/>
      <c r="C35" s="9"/>
      <c r="D35" s="7"/>
      <c r="E35" s="9"/>
      <c r="F35" s="7"/>
      <c r="G35" s="7"/>
      <c r="H35" s="7"/>
      <c r="I35" s="59" t="str">
        <f t="shared" si="0"/>
        <v> </v>
      </c>
    </row>
    <row r="36" spans="1:9" ht="15.75">
      <c r="A36" s="7"/>
      <c r="B36" s="7"/>
      <c r="C36" s="9"/>
      <c r="D36" s="7"/>
      <c r="E36" s="9"/>
      <c r="F36" s="7"/>
      <c r="G36" s="7"/>
      <c r="H36" s="7"/>
      <c r="I36" s="59" t="str">
        <f t="shared" si="0"/>
        <v> </v>
      </c>
    </row>
    <row r="37" spans="1:9" ht="15.75">
      <c r="A37" s="23" t="s">
        <v>159</v>
      </c>
      <c r="B37" s="24">
        <f>SUM(B8:B36)</f>
        <v>281514</v>
      </c>
      <c r="C37" s="34">
        <f>SUM(C8:C24)</f>
        <v>5.227</v>
      </c>
      <c r="D37" s="24">
        <f>SUM(D8:D36)</f>
        <v>287622</v>
      </c>
      <c r="E37" s="34">
        <f>SUM(E8:E24)</f>
        <v>4.819</v>
      </c>
      <c r="F37" s="24">
        <f>SUM(F8:F36)</f>
        <v>325420</v>
      </c>
      <c r="G37" s="24">
        <f>SUM(G8:G36)</f>
        <v>213165</v>
      </c>
      <c r="H37" s="24"/>
      <c r="I37" s="34">
        <f>SUM(I8:I24)</f>
        <v>5.417</v>
      </c>
    </row>
    <row r="38" spans="1:9" ht="15.75">
      <c r="A38" s="12"/>
      <c r="B38" s="12"/>
      <c r="C38" s="12"/>
      <c r="D38" s="12"/>
      <c r="E38" s="12"/>
      <c r="F38" s="12"/>
      <c r="G38" s="12"/>
      <c r="H38" s="12"/>
      <c r="I38" s="12"/>
    </row>
    <row r="39" spans="1:9" ht="15.75">
      <c r="A39" s="13" t="s">
        <v>206</v>
      </c>
      <c r="B39" s="12"/>
      <c r="C39" s="12"/>
      <c r="D39" s="12"/>
      <c r="E39" s="12"/>
      <c r="F39" s="12"/>
      <c r="G39" s="12"/>
      <c r="H39" s="12"/>
      <c r="I39" s="12"/>
    </row>
    <row r="40" spans="1:9" ht="15.75">
      <c r="A40" s="12"/>
      <c r="B40" s="12"/>
      <c r="C40" s="12"/>
      <c r="D40" s="12"/>
      <c r="E40" s="12"/>
      <c r="F40" s="12"/>
      <c r="G40" s="12"/>
      <c r="H40" s="12"/>
      <c r="I40" s="12"/>
    </row>
    <row r="41" spans="1:9" ht="15.75">
      <c r="A41" s="25"/>
      <c r="B41" s="12"/>
      <c r="C41" s="12"/>
      <c r="D41" s="12"/>
      <c r="E41" s="12"/>
      <c r="F41" s="12"/>
      <c r="G41" s="12"/>
      <c r="H41" s="12"/>
      <c r="I41" s="12"/>
    </row>
    <row r="42" spans="1:9" ht="15.75">
      <c r="A42" s="14" t="s">
        <v>207</v>
      </c>
      <c r="B42" s="12"/>
      <c r="C42" s="12"/>
      <c r="D42" s="12" t="s">
        <v>190</v>
      </c>
      <c r="E42" s="8">
        <v>30</v>
      </c>
      <c r="F42" s="12"/>
      <c r="G42" s="12"/>
      <c r="H42" s="12"/>
      <c r="I42" s="12"/>
    </row>
    <row r="44" spans="1:9" ht="15.75">
      <c r="A44" s="1"/>
      <c r="B44" s="1"/>
      <c r="C44" s="1"/>
      <c r="D44" s="1"/>
      <c r="E44" s="1"/>
      <c r="F44" s="1"/>
      <c r="G44" s="1"/>
      <c r="H44" s="1"/>
      <c r="I44" s="1"/>
    </row>
    <row r="45" spans="1:9" ht="15.75">
      <c r="A45" s="4"/>
      <c r="B45" s="1"/>
      <c r="C45" s="1"/>
      <c r="D45" s="1"/>
      <c r="E45" s="1"/>
      <c r="F45" s="1"/>
      <c r="G45" s="1"/>
      <c r="H45" s="1"/>
      <c r="I45" s="1"/>
    </row>
    <row r="46" spans="1:9" ht="15.75">
      <c r="A46" s="4"/>
      <c r="B46" s="5"/>
      <c r="C46" s="1"/>
      <c r="D46" s="5"/>
      <c r="E46" s="1"/>
      <c r="F46" s="5"/>
      <c r="G46" s="1"/>
      <c r="H46" s="1"/>
      <c r="I46" s="1"/>
    </row>
    <row r="47" spans="1:9" ht="15.75">
      <c r="A47" s="4"/>
      <c r="B47" s="4"/>
      <c r="C47" s="1"/>
      <c r="D47" s="4"/>
      <c r="E47" s="1"/>
      <c r="F47" s="4"/>
      <c r="G47" s="1"/>
      <c r="H47" s="1"/>
      <c r="I47" s="1"/>
    </row>
    <row r="48" spans="1:9" ht="15.75">
      <c r="A48" s="4"/>
      <c r="B48" s="4"/>
      <c r="C48" s="1"/>
      <c r="D48" s="4"/>
      <c r="E48" s="1"/>
      <c r="F48" s="4"/>
      <c r="G48" s="1"/>
      <c r="H48" s="1"/>
      <c r="I48" s="1"/>
    </row>
    <row r="49" spans="1:9" ht="15.75">
      <c r="A49" s="4"/>
      <c r="B49" s="4"/>
      <c r="C49" s="1"/>
      <c r="D49" s="4"/>
      <c r="E49" s="1"/>
      <c r="F49" s="4"/>
      <c r="G49" s="1"/>
      <c r="H49" s="1"/>
      <c r="I49" s="1"/>
    </row>
    <row r="50" spans="1:9" ht="15.75">
      <c r="A50" s="4"/>
      <c r="B50" s="4"/>
      <c r="C50" s="1"/>
      <c r="D50" s="4"/>
      <c r="E50" s="1"/>
      <c r="F50" s="4"/>
      <c r="G50" s="1"/>
      <c r="H50" s="1"/>
      <c r="I50" s="1"/>
    </row>
    <row r="51" spans="1:9" ht="15.75">
      <c r="A51" s="4"/>
      <c r="B51" s="699"/>
      <c r="C51" s="698"/>
      <c r="D51" s="4"/>
      <c r="E51" s="1"/>
      <c r="F51" s="4"/>
      <c r="G51" s="1"/>
      <c r="H51" s="1"/>
      <c r="I51" s="1"/>
    </row>
    <row r="52" spans="2:9" ht="15.75">
      <c r="B52" s="698"/>
      <c r="C52" s="698"/>
      <c r="D52" s="1"/>
      <c r="E52" s="1"/>
      <c r="F52" s="1"/>
      <c r="G52" s="1"/>
      <c r="H52" s="1"/>
      <c r="I52" s="1"/>
    </row>
    <row r="53" spans="2:9" ht="15.75">
      <c r="B53" s="698"/>
      <c r="C53" s="698"/>
      <c r="D53" s="1"/>
      <c r="E53" s="1"/>
      <c r="F53" s="1"/>
      <c r="G53" s="1"/>
      <c r="H53" s="1"/>
      <c r="I53" s="1"/>
    </row>
    <row r="54" spans="2:9" ht="15.75">
      <c r="B54" s="697"/>
      <c r="C54" s="698"/>
      <c r="D54" s="1"/>
      <c r="E54" s="1"/>
      <c r="F54" s="1"/>
      <c r="G54" s="1"/>
      <c r="H54" s="1"/>
      <c r="I54" s="1"/>
    </row>
    <row r="55" spans="2:9" ht="15.75">
      <c r="B55" s="696"/>
      <c r="C55" s="698"/>
      <c r="D55" s="1"/>
      <c r="E55" s="1"/>
      <c r="F55" s="1"/>
      <c r="G55" s="1"/>
      <c r="H55" s="1"/>
      <c r="I55" s="1"/>
    </row>
    <row r="56" spans="1:9" ht="15.75">
      <c r="A56" s="1"/>
      <c r="B56" s="698"/>
      <c r="C56" s="698"/>
      <c r="D56" s="1"/>
      <c r="E56" s="1"/>
      <c r="F56" s="1"/>
      <c r="G56" s="1"/>
      <c r="H56" s="1"/>
      <c r="I56" s="1"/>
    </row>
    <row r="57" spans="1:9" ht="15.75">
      <c r="A57" s="1"/>
      <c r="B57" s="698"/>
      <c r="C57" s="698"/>
      <c r="D57" s="1"/>
      <c r="E57" s="1"/>
      <c r="F57" s="1"/>
      <c r="G57" s="1"/>
      <c r="H57" s="1"/>
      <c r="I57" s="1"/>
    </row>
    <row r="58" spans="2:3" ht="15.75">
      <c r="B58" s="695"/>
      <c r="C58" s="695"/>
    </row>
  </sheetData>
  <sheetProtection sheet="1"/>
  <mergeCells count="2">
    <mergeCell ref="G6:G7"/>
    <mergeCell ref="H6:H7"/>
  </mergeCells>
  <printOptions/>
  <pageMargins left="1.12" right="0.5" top="0.74" bottom="0.34" header="0.5" footer="0"/>
  <pageSetup blackAndWhite="1" fitToHeight="1" fitToWidth="1" horizontalDpi="120" verticalDpi="120" orientation="portrait" scale="56" r:id="rId1"/>
  <headerFooter alignWithMargins="0">
    <oddHeader>&amp;RState of Kansas
County
</oddHeader>
  </headerFooter>
</worksheet>
</file>

<file path=xl/worksheets/sheet44.xml><?xml version="1.0" encoding="utf-8"?>
<worksheet xmlns="http://schemas.openxmlformats.org/spreadsheetml/2006/main" xmlns:r="http://schemas.openxmlformats.org/officeDocument/2006/relationships">
  <sheetPr>
    <pageSetUpPr fitToPage="1"/>
  </sheetPr>
  <dimension ref="A1:F52"/>
  <sheetViews>
    <sheetView zoomScalePageLayoutView="0" workbookViewId="0" topLeftCell="A1">
      <selection activeCell="H67" sqref="H67"/>
    </sheetView>
  </sheetViews>
  <sheetFormatPr defaultColWidth="8.796875" defaultRowHeight="15"/>
  <cols>
    <col min="1" max="1" width="9.19921875" style="168" customWidth="1"/>
    <col min="2" max="2" width="18.59765625" style="168" customWidth="1"/>
    <col min="3" max="3" width="11.796875" style="168" customWidth="1"/>
    <col min="4" max="4" width="12.796875" style="168" customWidth="1"/>
    <col min="5" max="5" width="11.796875" style="168" customWidth="1"/>
    <col min="6" max="16384" width="8.8984375" style="168" customWidth="1"/>
  </cols>
  <sheetData>
    <row r="1" spans="1:6" ht="15.75">
      <c r="A1" s="237" t="str">
        <f>inputPrYr!C2</f>
        <v>Geary County</v>
      </c>
      <c r="B1" s="90"/>
      <c r="C1" s="90"/>
      <c r="D1" s="90"/>
      <c r="E1" s="90"/>
      <c r="F1" s="333">
        <f>inputPrYr!C4</f>
        <v>2012</v>
      </c>
    </row>
    <row r="2" spans="1:6" ht="15.75">
      <c r="A2" s="90"/>
      <c r="B2" s="90"/>
      <c r="C2" s="90"/>
      <c r="D2" s="90"/>
      <c r="E2" s="90"/>
      <c r="F2" s="90"/>
    </row>
    <row r="3" spans="1:6" ht="15.75">
      <c r="A3" s="90"/>
      <c r="B3" s="760" t="str">
        <f>CONCATENATE("",F1," Neighborhood Revitalization Rebate")</f>
        <v>2012 Neighborhood Revitalization Rebate</v>
      </c>
      <c r="C3" s="800"/>
      <c r="D3" s="800"/>
      <c r="E3" s="800"/>
      <c r="F3" s="90"/>
    </row>
    <row r="4" spans="1:6" ht="15.75">
      <c r="A4" s="90"/>
      <c r="B4" s="90"/>
      <c r="C4" s="90"/>
      <c r="D4" s="90"/>
      <c r="E4" s="90"/>
      <c r="F4" s="90"/>
    </row>
    <row r="5" spans="1:6" ht="51" customHeight="1">
      <c r="A5" s="90"/>
      <c r="B5" s="399" t="str">
        <f>CONCATENATE("Budgeted Funds                       for ",F1,"")</f>
        <v>Budgeted Funds                       for 2012</v>
      </c>
      <c r="C5" s="399" t="str">
        <f>CONCATENATE("",F1-1," Ad Valorem before Rebate**")</f>
        <v>2011 Ad Valorem before Rebate**</v>
      </c>
      <c r="D5" s="400" t="str">
        <f>CONCATENATE("",F1-1," Mil Rate before Rebate")</f>
        <v>2011 Mil Rate before Rebate</v>
      </c>
      <c r="E5" s="401" t="str">
        <f>CONCATENATE("Estimate ",F1," NR Rebate")</f>
        <v>Estimate 2012 NR Rebate</v>
      </c>
      <c r="F5" s="140"/>
    </row>
    <row r="6" spans="1:6" ht="15.75">
      <c r="A6" s="90"/>
      <c r="B6" s="108" t="str">
        <f>inputPrYr!B16</f>
        <v>General</v>
      </c>
      <c r="C6" s="402"/>
      <c r="D6" s="403">
        <f>IF(C6&gt;0,C6/$D$36,"")</f>
      </c>
      <c r="E6" s="287">
        <f aca="true" t="shared" si="0" ref="E6:E30">IF(C6&gt;0,ROUND(D6*$D$40,0),"")</f>
      </c>
      <c r="F6" s="140"/>
    </row>
    <row r="7" spans="1:6" ht="15.75">
      <c r="A7" s="90"/>
      <c r="B7" s="108" t="str">
        <f>inputPrYr!B17</f>
        <v>Debt Service (14)</v>
      </c>
      <c r="C7" s="402"/>
      <c r="D7" s="403">
        <f aca="true" t="shared" si="1" ref="D7:D30">IF(C7&gt;0,C7/$D$36,"")</f>
      </c>
      <c r="E7" s="287">
        <f t="shared" si="0"/>
      </c>
      <c r="F7" s="140"/>
    </row>
    <row r="8" spans="1:6" ht="15.75">
      <c r="A8" s="90"/>
      <c r="B8" s="108" t="str">
        <f>inputPrYr!B18</f>
        <v>Road &amp; Bridge</v>
      </c>
      <c r="C8" s="402"/>
      <c r="D8" s="403">
        <f t="shared" si="1"/>
      </c>
      <c r="E8" s="287">
        <f t="shared" si="0"/>
      </c>
      <c r="F8" s="140"/>
    </row>
    <row r="9" spans="1:6" ht="15.75">
      <c r="A9" s="90"/>
      <c r="B9" s="108" t="str">
        <f>inputPrYr!B19</f>
        <v>Noxious Weed (5)</v>
      </c>
      <c r="C9" s="402"/>
      <c r="D9" s="403">
        <f t="shared" si="1"/>
      </c>
      <c r="E9" s="287">
        <f t="shared" si="0"/>
      </c>
      <c r="F9" s="140"/>
    </row>
    <row r="10" spans="1:6" ht="15.75">
      <c r="A10" s="90"/>
      <c r="B10" s="108" t="str">
        <f>inputPrYr!B20</f>
        <v>Health Fund (6)</v>
      </c>
      <c r="C10" s="402"/>
      <c r="D10" s="403">
        <f t="shared" si="1"/>
      </c>
      <c r="E10" s="287">
        <f t="shared" si="0"/>
      </c>
      <c r="F10" s="140"/>
    </row>
    <row r="11" spans="1:6" ht="15.75">
      <c r="A11" s="90"/>
      <c r="B11" s="108" t="str">
        <f>inputPrYr!B21</f>
        <v>Special Bridge (4)</v>
      </c>
      <c r="C11" s="402"/>
      <c r="D11" s="403">
        <f t="shared" si="1"/>
      </c>
      <c r="E11" s="287">
        <f t="shared" si="0"/>
      </c>
      <c r="F11" s="140"/>
    </row>
    <row r="12" spans="1:6" ht="15.75">
      <c r="A12" s="90"/>
      <c r="B12" s="108" t="str">
        <f>inputPrYr!B22</f>
        <v>Extension Council (7)</v>
      </c>
      <c r="C12" s="404"/>
      <c r="D12" s="403">
        <f t="shared" si="1"/>
      </c>
      <c r="E12" s="287">
        <f t="shared" si="0"/>
      </c>
      <c r="F12" s="140"/>
    </row>
    <row r="13" spans="1:6" ht="15.75">
      <c r="A13" s="90"/>
      <c r="B13" s="108" t="str">
        <f>inputPrYr!B23</f>
        <v>Free Fair (60)</v>
      </c>
      <c r="C13" s="404"/>
      <c r="D13" s="403">
        <f t="shared" si="1"/>
      </c>
      <c r="E13" s="287">
        <f t="shared" si="0"/>
      </c>
      <c r="F13" s="140"/>
    </row>
    <row r="14" spans="1:6" ht="15.75">
      <c r="A14" s="90"/>
      <c r="B14" s="108" t="str">
        <f>inputPrYr!B24</f>
        <v>Animal Shelter (29)</v>
      </c>
      <c r="C14" s="404"/>
      <c r="D14" s="403">
        <f t="shared" si="1"/>
      </c>
      <c r="E14" s="287">
        <f t="shared" si="0"/>
      </c>
      <c r="F14" s="140"/>
    </row>
    <row r="15" spans="1:6" ht="15.75">
      <c r="A15" s="90"/>
      <c r="B15" s="108" t="str">
        <f>inputPrYr!B25</f>
        <v>Mental Health (10)</v>
      </c>
      <c r="C15" s="404"/>
      <c r="D15" s="403">
        <f t="shared" si="1"/>
      </c>
      <c r="E15" s="287">
        <f t="shared" si="0"/>
      </c>
      <c r="F15" s="140"/>
    </row>
    <row r="16" spans="1:6" ht="15.75">
      <c r="A16" s="90"/>
      <c r="B16" s="108" t="str">
        <f>inputPrYr!B26</f>
        <v>Election (11)</v>
      </c>
      <c r="C16" s="404"/>
      <c r="D16" s="403">
        <f t="shared" si="1"/>
      </c>
      <c r="E16" s="287">
        <f t="shared" si="0"/>
      </c>
      <c r="F16" s="140"/>
    </row>
    <row r="17" spans="1:6" ht="15.75">
      <c r="A17" s="90"/>
      <c r="B17" s="108" t="str">
        <f>inputPrYr!B27</f>
        <v>Special Assessments (20)</v>
      </c>
      <c r="C17" s="404"/>
      <c r="D17" s="403">
        <f t="shared" si="1"/>
      </c>
      <c r="E17" s="287">
        <f t="shared" si="0"/>
      </c>
      <c r="F17" s="140"/>
    </row>
    <row r="18" spans="1:6" ht="15.75">
      <c r="A18" s="90"/>
      <c r="B18" s="108" t="str">
        <f>inputPrYr!B28</f>
        <v>Senior Citizens (22)</v>
      </c>
      <c r="C18" s="404"/>
      <c r="D18" s="403">
        <f t="shared" si="1"/>
      </c>
      <c r="E18" s="287">
        <f t="shared" si="0"/>
      </c>
      <c r="F18" s="140"/>
    </row>
    <row r="19" spans="1:6" ht="15.75">
      <c r="A19" s="90"/>
      <c r="B19" s="108" t="str">
        <f>inputPrYr!B29</f>
        <v>Community College (15)</v>
      </c>
      <c r="C19" s="404"/>
      <c r="D19" s="403">
        <f t="shared" si="1"/>
      </c>
      <c r="E19" s="287">
        <f t="shared" si="0"/>
      </c>
      <c r="F19" s="140"/>
    </row>
    <row r="20" spans="1:6" ht="15.75">
      <c r="A20" s="90"/>
      <c r="B20" s="108" t="str">
        <f>inputPrYr!B30</f>
        <v>Mental Retardation (19)</v>
      </c>
      <c r="C20" s="404"/>
      <c r="D20" s="403">
        <f t="shared" si="1"/>
      </c>
      <c r="E20" s="287">
        <f t="shared" si="0"/>
      </c>
      <c r="F20" s="140"/>
    </row>
    <row r="21" spans="1:6" ht="15.75">
      <c r="A21" s="90"/>
      <c r="B21" s="108" t="str">
        <f>inputPrYr!B31</f>
        <v>Economic Development (18)</v>
      </c>
      <c r="C21" s="404"/>
      <c r="D21" s="403">
        <f t="shared" si="1"/>
      </c>
      <c r="E21" s="287">
        <f t="shared" si="0"/>
      </c>
      <c r="F21" s="140"/>
    </row>
    <row r="22" spans="1:6" ht="15.75">
      <c r="A22" s="90"/>
      <c r="B22" s="108" t="str">
        <f>inputPrYr!B32</f>
        <v>Law Enforcement (17)</v>
      </c>
      <c r="C22" s="404"/>
      <c r="D22" s="403">
        <f t="shared" si="1"/>
      </c>
      <c r="E22" s="287">
        <f t="shared" si="0"/>
      </c>
      <c r="F22" s="140"/>
    </row>
    <row r="23" spans="1:6" ht="15.75">
      <c r="A23" s="90"/>
      <c r="B23" s="108" t="str">
        <f>inputPrYr!B33</f>
        <v>Appraisers Cost (2)</v>
      </c>
      <c r="C23" s="404"/>
      <c r="D23" s="403">
        <f t="shared" si="1"/>
      </c>
      <c r="E23" s="287">
        <f t="shared" si="0"/>
      </c>
      <c r="F23" s="140"/>
    </row>
    <row r="24" spans="1:6" ht="15.75">
      <c r="A24" s="90"/>
      <c r="B24" s="108" t="str">
        <f>inputPrYr!B34</f>
        <v>Employee Benefits (12)</v>
      </c>
      <c r="C24" s="404"/>
      <c r="D24" s="403">
        <f t="shared" si="1"/>
      </c>
      <c r="E24" s="287">
        <f t="shared" si="0"/>
      </c>
      <c r="F24" s="140"/>
    </row>
    <row r="25" spans="1:6" ht="15.75">
      <c r="A25" s="90"/>
      <c r="B25" s="108" t="str">
        <f>inputPrYr!B35</f>
        <v>Historical (65)</v>
      </c>
      <c r="C25" s="404"/>
      <c r="D25" s="403">
        <f t="shared" si="1"/>
      </c>
      <c r="E25" s="287">
        <f t="shared" si="0"/>
      </c>
      <c r="F25" s="140"/>
    </row>
    <row r="26" spans="1:6" ht="15.75">
      <c r="A26" s="90"/>
      <c r="B26" s="108" t="str">
        <f>inputPrYr!B36</f>
        <v>Hospital (33)</v>
      </c>
      <c r="C26" s="404"/>
      <c r="D26" s="403">
        <f t="shared" si="1"/>
      </c>
      <c r="E26" s="287">
        <f t="shared" si="0"/>
      </c>
      <c r="F26" s="140"/>
    </row>
    <row r="27" spans="1:6" ht="15.75">
      <c r="A27" s="90"/>
      <c r="B27" s="108" t="str">
        <f>inputPrYr!B37</f>
        <v>Juvenile Detention (68)</v>
      </c>
      <c r="C27" s="404"/>
      <c r="D27" s="403">
        <f t="shared" si="1"/>
      </c>
      <c r="E27" s="287">
        <f t="shared" si="0"/>
      </c>
      <c r="F27" s="140"/>
    </row>
    <row r="28" spans="1:6" ht="15.75">
      <c r="A28" s="90"/>
      <c r="B28" s="108" t="str">
        <f>inputPrYr!B38</f>
        <v>PBC - Cloud Co CC (25)</v>
      </c>
      <c r="C28" s="404"/>
      <c r="D28" s="403">
        <f t="shared" si="1"/>
      </c>
      <c r="E28" s="287">
        <f t="shared" si="0"/>
      </c>
      <c r="F28" s="140"/>
    </row>
    <row r="29" spans="1:6" ht="15.75">
      <c r="A29" s="90"/>
      <c r="B29" s="108" t="str">
        <f>inputPrYr!B39</f>
        <v>Capital Improvements (44)</v>
      </c>
      <c r="C29" s="404"/>
      <c r="D29" s="403">
        <f t="shared" si="1"/>
      </c>
      <c r="E29" s="287">
        <f t="shared" si="0"/>
      </c>
      <c r="F29" s="140"/>
    </row>
    <row r="30" spans="1:6" ht="15.75">
      <c r="A30" s="90"/>
      <c r="B30" s="108" t="str">
        <f>inputPrYr!B42</f>
        <v>Co. The Bluffs TIF District (36)</v>
      </c>
      <c r="C30" s="404"/>
      <c r="D30" s="403">
        <f t="shared" si="1"/>
      </c>
      <c r="E30" s="287">
        <f t="shared" si="0"/>
      </c>
      <c r="F30" s="140"/>
    </row>
    <row r="31" spans="1:6" ht="16.5" thickBot="1">
      <c r="A31" s="90"/>
      <c r="B31" s="112" t="s">
        <v>154</v>
      </c>
      <c r="C31" s="405">
        <f>SUM(C6:C30)</f>
        <v>0</v>
      </c>
      <c r="D31" s="406">
        <f>SUM(D6:D30)</f>
        <v>0</v>
      </c>
      <c r="E31" s="405">
        <f>SUM(E6:E30)</f>
        <v>0</v>
      </c>
      <c r="F31" s="140"/>
    </row>
    <row r="32" spans="1:6" ht="16.5" thickTop="1">
      <c r="A32" s="90"/>
      <c r="B32" s="90"/>
      <c r="C32" s="90"/>
      <c r="D32" s="90"/>
      <c r="E32" s="90"/>
      <c r="F32" s="140"/>
    </row>
    <row r="33" spans="1:6" ht="15.75">
      <c r="A33" s="90"/>
      <c r="B33" s="90"/>
      <c r="C33" s="90"/>
      <c r="D33" s="90"/>
      <c r="E33" s="90"/>
      <c r="F33" s="140"/>
    </row>
    <row r="34" spans="1:6" ht="15.75">
      <c r="A34" s="801" t="str">
        <f>CONCATENATE("",F1-1," July 1 Valuation:")</f>
        <v>2011 July 1 Valuation:</v>
      </c>
      <c r="B34" s="782"/>
      <c r="C34" s="801"/>
      <c r="D34" s="407">
        <f>inputOth!E6</f>
        <v>220187728</v>
      </c>
      <c r="E34" s="90"/>
      <c r="F34" s="140"/>
    </row>
    <row r="35" spans="1:6" ht="15.75">
      <c r="A35" s="90"/>
      <c r="B35" s="90"/>
      <c r="C35" s="90"/>
      <c r="D35" s="90"/>
      <c r="E35" s="90"/>
      <c r="F35" s="140"/>
    </row>
    <row r="36" spans="1:6" ht="15.75">
      <c r="A36" s="90"/>
      <c r="B36" s="801" t="s">
        <v>407</v>
      </c>
      <c r="C36" s="801"/>
      <c r="D36" s="408">
        <f>IF(D34&gt;0,(D34*0.001),"")</f>
        <v>220187.728</v>
      </c>
      <c r="E36" s="90"/>
      <c r="F36" s="140"/>
    </row>
    <row r="37" spans="1:6" ht="15.75">
      <c r="A37" s="90"/>
      <c r="B37" s="295"/>
      <c r="C37" s="295"/>
      <c r="D37" s="409"/>
      <c r="E37" s="90"/>
      <c r="F37" s="140"/>
    </row>
    <row r="38" spans="1:6" ht="15.75">
      <c r="A38" s="799" t="s">
        <v>408</v>
      </c>
      <c r="B38" s="752"/>
      <c r="C38" s="752"/>
      <c r="D38" s="410">
        <f>inputOth!E12</f>
        <v>0</v>
      </c>
      <c r="E38" s="157"/>
      <c r="F38" s="157"/>
    </row>
    <row r="39" spans="1:6" ht="15">
      <c r="A39" s="157"/>
      <c r="B39" s="157"/>
      <c r="C39" s="157"/>
      <c r="D39" s="411"/>
      <c r="E39" s="157"/>
      <c r="F39" s="157"/>
    </row>
    <row r="40" spans="1:6" ht="15.75">
      <c r="A40" s="157"/>
      <c r="B40" s="799" t="s">
        <v>409</v>
      </c>
      <c r="C40" s="782"/>
      <c r="D40" s="412">
        <f>IF(D38&gt;0,(D38*0.001),"")</f>
      </c>
      <c r="E40" s="157"/>
      <c r="F40" s="157"/>
    </row>
    <row r="41" spans="1:6" ht="15">
      <c r="A41" s="157"/>
      <c r="B41" s="157"/>
      <c r="C41" s="157"/>
      <c r="D41" s="157"/>
      <c r="E41" s="157"/>
      <c r="F41" s="157"/>
    </row>
    <row r="42" spans="1:6" ht="15">
      <c r="A42" s="157"/>
      <c r="B42" s="157"/>
      <c r="C42" s="157"/>
      <c r="D42" s="157"/>
      <c r="E42" s="157"/>
      <c r="F42" s="157"/>
    </row>
    <row r="43" spans="1:6" ht="15.75">
      <c r="A43" s="27" t="str">
        <f>CONCATENATE("**This information comes from the ",F1," Budget Summary page.  See instructions tab #11 for completing")</f>
        <v>**This information comes from the 2012 Budget Summary page.  See instructions tab #11 for completing</v>
      </c>
      <c r="B43" s="157"/>
      <c r="C43" s="157"/>
      <c r="D43" s="157"/>
      <c r="E43" s="157"/>
      <c r="F43" s="157"/>
    </row>
    <row r="44" spans="1:6" ht="15.75">
      <c r="A44" s="27" t="s">
        <v>655</v>
      </c>
      <c r="B44" s="157"/>
      <c r="C44" s="157"/>
      <c r="D44" s="157"/>
      <c r="E44" s="157"/>
      <c r="F44" s="157"/>
    </row>
    <row r="45" spans="1:6" ht="15.75">
      <c r="A45" s="27"/>
      <c r="B45" s="157"/>
      <c r="C45" s="157"/>
      <c r="D45" s="157"/>
      <c r="E45" s="157"/>
      <c r="F45" s="157"/>
    </row>
    <row r="46" spans="1:6" ht="15.75">
      <c r="A46" s="27"/>
      <c r="B46" s="157"/>
      <c r="C46" s="157"/>
      <c r="D46" s="157"/>
      <c r="E46" s="157"/>
      <c r="F46" s="157"/>
    </row>
    <row r="47" spans="1:6" ht="15.75">
      <c r="A47" s="27"/>
      <c r="B47" s="157"/>
      <c r="C47" s="157"/>
      <c r="D47" s="157"/>
      <c r="E47" s="157"/>
      <c r="F47" s="157"/>
    </row>
    <row r="48" spans="1:6" ht="15.75">
      <c r="A48" s="27"/>
      <c r="B48" s="157"/>
      <c r="C48" s="157"/>
      <c r="D48" s="157"/>
      <c r="E48" s="157"/>
      <c r="F48" s="157"/>
    </row>
    <row r="49" spans="1:6" ht="15">
      <c r="A49" s="157"/>
      <c r="B49" s="157"/>
      <c r="C49" s="157"/>
      <c r="D49" s="157"/>
      <c r="E49" s="157"/>
      <c r="F49" s="157"/>
    </row>
    <row r="50" spans="1:6" ht="15">
      <c r="A50" s="157"/>
      <c r="B50" s="157"/>
      <c r="C50" s="157"/>
      <c r="D50" s="157"/>
      <c r="E50" s="157"/>
      <c r="F50" s="157"/>
    </row>
    <row r="51" spans="1:6" ht="15.75">
      <c r="A51" s="157"/>
      <c r="B51" s="329" t="s">
        <v>190</v>
      </c>
      <c r="C51" s="356"/>
      <c r="D51" s="157"/>
      <c r="E51" s="157"/>
      <c r="F51" s="157"/>
    </row>
    <row r="52" spans="1:6" ht="15.75">
      <c r="A52" s="140"/>
      <c r="B52" s="90"/>
      <c r="C52" s="90"/>
      <c r="D52" s="413"/>
      <c r="E52" s="140"/>
      <c r="F52" s="140"/>
    </row>
  </sheetData>
  <sheetProtection sheet="1"/>
  <mergeCells count="5">
    <mergeCell ref="B40:C40"/>
    <mergeCell ref="B3:E3"/>
    <mergeCell ref="A34:C34"/>
    <mergeCell ref="B36:C36"/>
    <mergeCell ref="A38:C38"/>
  </mergeCells>
  <printOptions/>
  <pageMargins left="0.75" right="0.75" top="1" bottom="1" header="0.5" footer="0.5"/>
  <pageSetup blackAndWhite="1" fitToHeight="1" fitToWidth="1" horizontalDpi="600" verticalDpi="600" orientation="portrait" scale="76" r:id="rId1"/>
  <headerFooter alignWithMargins="0">
    <oddHeader>&amp;RState of Kansas
County</oddHeader>
  </headerFooter>
</worksheet>
</file>

<file path=xl/worksheets/sheet45.xml><?xml version="1.0" encoding="utf-8"?>
<worksheet xmlns="http://schemas.openxmlformats.org/spreadsheetml/2006/main" xmlns:r="http://schemas.openxmlformats.org/officeDocument/2006/relationships">
  <dimension ref="A1:H57"/>
  <sheetViews>
    <sheetView zoomScalePageLayoutView="0" workbookViewId="0" topLeftCell="A1">
      <selection activeCell="H67" sqref="H67"/>
    </sheetView>
  </sheetViews>
  <sheetFormatPr defaultColWidth="9.796875" defaultRowHeight="15"/>
  <cols>
    <col min="1" max="16384" width="9.796875" style="40" customWidth="1"/>
  </cols>
  <sheetData>
    <row r="1" spans="1:8" ht="11.25" customHeight="1">
      <c r="A1" s="36"/>
      <c r="B1" s="37"/>
      <c r="C1" s="37"/>
      <c r="D1" s="37"/>
      <c r="E1" s="37"/>
      <c r="F1" s="37"/>
      <c r="G1" s="38"/>
      <c r="H1" s="39"/>
    </row>
    <row r="2" spans="1:8" ht="15.75" customHeight="1">
      <c r="A2" s="802" t="s">
        <v>295</v>
      </c>
      <c r="B2" s="802"/>
      <c r="C2" s="802"/>
      <c r="D2" s="802"/>
      <c r="E2" s="802"/>
      <c r="F2" s="802"/>
      <c r="G2" s="802"/>
      <c r="H2" s="802"/>
    </row>
    <row r="3" spans="1:8" ht="9" customHeight="1">
      <c r="A3" s="36"/>
      <c r="B3" s="54"/>
      <c r="C3" s="54"/>
      <c r="D3" s="54"/>
      <c r="E3" s="54"/>
      <c r="F3" s="54"/>
      <c r="G3" s="41"/>
      <c r="H3" s="55"/>
    </row>
    <row r="4" spans="1:8" ht="15.75" customHeight="1">
      <c r="A4" s="803" t="s">
        <v>296</v>
      </c>
      <c r="B4" s="803"/>
      <c r="C4" s="803"/>
      <c r="D4" s="803"/>
      <c r="E4" s="803"/>
      <c r="F4" s="803"/>
      <c r="G4" s="803"/>
      <c r="H4" s="803"/>
    </row>
    <row r="5" spans="1:8" ht="9" customHeight="1">
      <c r="A5" s="42"/>
      <c r="B5" s="54"/>
      <c r="C5" s="54"/>
      <c r="D5" s="54"/>
      <c r="E5" s="54"/>
      <c r="F5" s="54"/>
      <c r="G5" s="54"/>
      <c r="H5" s="55"/>
    </row>
    <row r="6" spans="1:8" ht="15.75" customHeight="1">
      <c r="A6" s="43" t="str">
        <f>CONCATENATE("A resolution expressing the property taxation policy of the Board of ",(inputPrYr!C2)," Commissioners")</f>
        <v>A resolution expressing the property taxation policy of the Board of Geary County Commissioners</v>
      </c>
      <c r="B6" s="54"/>
      <c r="C6" s="54"/>
      <c r="D6" s="54"/>
      <c r="E6" s="54"/>
      <c r="F6" s="54"/>
      <c r="G6" s="54"/>
      <c r="H6" s="55"/>
    </row>
    <row r="7" spans="1:8" ht="15.75" customHeight="1">
      <c r="A7" s="43" t="str">
        <f>CONCATENATE("with respect to financing the ",inputPrYr!C4," annual budget for ",(inputPrYr!E2)," .")</f>
        <v>with respect to financing the 2012 annual budget for  .</v>
      </c>
      <c r="B7" s="54"/>
      <c r="C7" s="54"/>
      <c r="D7" s="54"/>
      <c r="E7" s="54"/>
      <c r="F7" s="54"/>
      <c r="G7" s="54"/>
      <c r="H7" s="55"/>
    </row>
    <row r="8" spans="1:8" ht="9" customHeight="1">
      <c r="A8" s="36"/>
      <c r="B8" s="54"/>
      <c r="C8" s="54"/>
      <c r="D8" s="54"/>
      <c r="E8" s="54"/>
      <c r="F8" s="54"/>
      <c r="G8" s="54"/>
      <c r="H8" s="55"/>
    </row>
    <row r="9" spans="1:8" ht="15.75" customHeight="1">
      <c r="A9" s="44" t="str">
        <f>CONCATENATE("Whereas, K.S.A. 79-2925b provides that a resolution be adopted if property taxes levied to finance the ",inputPrYr!C4,"")</f>
        <v>Whereas, K.S.A. 79-2925b provides that a resolution be adopted if property taxes levied to finance the 2012</v>
      </c>
      <c r="B9" s="54"/>
      <c r="C9" s="54"/>
      <c r="D9" s="54"/>
      <c r="E9" s="54"/>
      <c r="F9" s="54"/>
      <c r="G9" s="54"/>
      <c r="H9" s="55"/>
    </row>
    <row r="10" spans="1:8" ht="15.75" customHeight="1">
      <c r="A10" s="805" t="str">
        <f>CONCATENATE("",(inputPrYr!C2)," budget exceed the amount levied to finance the ",inputPrYr!C4-1," ",(inputPrYr!C2)," ",A16,)</f>
        <v>Geary County budget exceed the amount levied to finance the 2011 Geary County 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v>
      </c>
      <c r="B10" s="805"/>
      <c r="C10" s="805"/>
      <c r="D10" s="805"/>
      <c r="E10" s="805"/>
      <c r="F10" s="805"/>
      <c r="G10" s="805"/>
      <c r="H10" s="805"/>
    </row>
    <row r="11" spans="1:8" ht="15.75" customHeight="1">
      <c r="A11" s="805"/>
      <c r="B11" s="805"/>
      <c r="C11" s="805"/>
      <c r="D11" s="805"/>
      <c r="E11" s="805"/>
      <c r="F11" s="805"/>
      <c r="G11" s="805"/>
      <c r="H11" s="805"/>
    </row>
    <row r="12" spans="1:8" ht="15.75" customHeight="1">
      <c r="A12" s="805"/>
      <c r="B12" s="805"/>
      <c r="C12" s="805"/>
      <c r="D12" s="805"/>
      <c r="E12" s="805"/>
      <c r="F12" s="805"/>
      <c r="G12" s="805"/>
      <c r="H12" s="805"/>
    </row>
    <row r="13" spans="1:8" ht="15.75" customHeight="1">
      <c r="A13" s="805"/>
      <c r="B13" s="805"/>
      <c r="C13" s="805"/>
      <c r="D13" s="805"/>
      <c r="E13" s="805"/>
      <c r="F13" s="805"/>
      <c r="G13" s="805"/>
      <c r="H13" s="805"/>
    </row>
    <row r="14" spans="1:8" ht="15.75" customHeight="1">
      <c r="A14" s="805"/>
      <c r="B14" s="805"/>
      <c r="C14" s="805"/>
      <c r="D14" s="805"/>
      <c r="E14" s="805"/>
      <c r="F14" s="805"/>
      <c r="G14" s="805"/>
      <c r="H14" s="805"/>
    </row>
    <row r="15" spans="1:8" ht="15.75" customHeight="1">
      <c r="A15" s="805"/>
      <c r="B15" s="805"/>
      <c r="C15" s="805"/>
      <c r="D15" s="805"/>
      <c r="E15" s="805"/>
      <c r="F15" s="805"/>
      <c r="G15" s="805"/>
      <c r="H15" s="805"/>
    </row>
    <row r="16" spans="1:8" ht="9" customHeight="1">
      <c r="A16" s="56" t="s">
        <v>318</v>
      </c>
      <c r="B16" s="54"/>
      <c r="C16" s="54"/>
      <c r="D16" s="54"/>
      <c r="E16" s="54"/>
      <c r="F16" s="54"/>
      <c r="G16" s="54"/>
      <c r="H16" s="55" t="s">
        <v>191</v>
      </c>
    </row>
    <row r="17" spans="1:8" ht="15.75" customHeight="1">
      <c r="A17" s="805" t="s">
        <v>297</v>
      </c>
      <c r="B17" s="805"/>
      <c r="C17" s="805"/>
      <c r="D17" s="805"/>
      <c r="E17" s="805"/>
      <c r="F17" s="805"/>
      <c r="G17" s="805"/>
      <c r="H17" s="805"/>
    </row>
    <row r="18" spans="1:8" ht="15.75" customHeight="1">
      <c r="A18" s="805"/>
      <c r="B18" s="805"/>
      <c r="C18" s="805"/>
      <c r="D18" s="805"/>
      <c r="E18" s="805"/>
      <c r="F18" s="805"/>
      <c r="G18" s="805"/>
      <c r="H18" s="805"/>
    </row>
    <row r="19" spans="1:8" ht="9" customHeight="1">
      <c r="A19" s="42"/>
      <c r="B19" s="54"/>
      <c r="C19" s="54"/>
      <c r="D19" s="54"/>
      <c r="E19" s="54"/>
      <c r="F19" s="54"/>
      <c r="G19" s="54"/>
      <c r="H19" s="55"/>
    </row>
    <row r="20" spans="1:8" ht="15.75" customHeight="1">
      <c r="A20" s="805" t="str">
        <f>CONCATENATE("Whereas, ",(inputPrYr!C2)," provides the essential services to protect the health, safety, and well being of the citizens of the county; and")</f>
        <v>Whereas, Geary County provides the essential services to protect the health, safety, and well being of the citizens of the county; and</v>
      </c>
      <c r="B20" s="805"/>
      <c r="C20" s="805"/>
      <c r="D20" s="805"/>
      <c r="E20" s="805"/>
      <c r="F20" s="805"/>
      <c r="G20" s="805"/>
      <c r="H20" s="805"/>
    </row>
    <row r="21" spans="1:8" ht="15.75" customHeight="1">
      <c r="A21" s="805"/>
      <c r="B21" s="805"/>
      <c r="C21" s="805"/>
      <c r="D21" s="805"/>
      <c r="E21" s="805"/>
      <c r="F21" s="805"/>
      <c r="G21" s="805"/>
      <c r="H21" s="805"/>
    </row>
    <row r="22" spans="1:8" ht="9" customHeight="1">
      <c r="A22" s="45"/>
      <c r="B22" s="54"/>
      <c r="C22" s="54"/>
      <c r="D22" s="54"/>
      <c r="E22" s="54"/>
      <c r="F22" s="54"/>
      <c r="G22" s="54"/>
      <c r="H22" s="55"/>
    </row>
    <row r="23" spans="1:8" ht="15.75" customHeight="1">
      <c r="A23" s="45" t="s">
        <v>298</v>
      </c>
      <c r="B23" s="54"/>
      <c r="C23" s="54"/>
      <c r="D23" s="54"/>
      <c r="E23" s="54"/>
      <c r="F23" s="54"/>
      <c r="G23" s="54"/>
      <c r="H23" s="55"/>
    </row>
    <row r="24" spans="1:8" ht="9" customHeight="1">
      <c r="A24" s="42"/>
      <c r="B24" s="54"/>
      <c r="C24" s="54"/>
      <c r="D24" s="54"/>
      <c r="E24" s="54"/>
      <c r="F24" s="54"/>
      <c r="G24" s="54"/>
      <c r="H24" s="55"/>
    </row>
    <row r="25" spans="1:8" ht="15.75" customHeight="1">
      <c r="A25" s="805" t="str">
        <f>CONCATENATE("Whereas, the ",inputPrYr!C4-1," Kansas State Legislature failed to fulfill its obligations in regard to the statutory funding of demand transfers and, by significantly ",A28," ",(inputPrYr!C2),B28)</f>
        <v>Whereas, the 2011 Kansas State Legislature failed to fulfill its obligations in regard to the statutory funding of demand transfers and, by significantly limiting state revenue sharing payments to counties, has contributed to higher county property tax levies to finance the 2012 Geary County budget.</v>
      </c>
      <c r="B25" s="805"/>
      <c r="C25" s="805"/>
      <c r="D25" s="805"/>
      <c r="E25" s="805"/>
      <c r="F25" s="805"/>
      <c r="G25" s="805"/>
      <c r="H25" s="805"/>
    </row>
    <row r="26" spans="1:8" ht="15.75" customHeight="1">
      <c r="A26" s="805"/>
      <c r="B26" s="805"/>
      <c r="C26" s="805"/>
      <c r="D26" s="805"/>
      <c r="E26" s="805"/>
      <c r="F26" s="805"/>
      <c r="G26" s="805"/>
      <c r="H26" s="805"/>
    </row>
    <row r="27" spans="1:8" ht="15.75" customHeight="1">
      <c r="A27" s="805"/>
      <c r="B27" s="805"/>
      <c r="C27" s="805"/>
      <c r="D27" s="805"/>
      <c r="E27" s="805"/>
      <c r="F27" s="805"/>
      <c r="G27" s="805"/>
      <c r="H27" s="805"/>
    </row>
    <row r="28" spans="1:8" ht="9" customHeight="1">
      <c r="A28" s="46" t="str">
        <f>CONCATENATE("limiting state revenue sharing payments to counties, has contributed to higher county property tax levies to finance the ",inputPrYr!C4,"")</f>
        <v>limiting state revenue sharing payments to counties, has contributed to higher county property tax levies to finance the 2012</v>
      </c>
      <c r="B28" s="57" t="s">
        <v>319</v>
      </c>
      <c r="C28" s="6"/>
      <c r="D28" s="6"/>
      <c r="E28" s="6"/>
      <c r="F28" s="6"/>
      <c r="G28" s="6"/>
      <c r="H28" s="58"/>
    </row>
    <row r="29" spans="1:8" ht="15.75" customHeight="1">
      <c r="A29" s="805" t="str">
        <f>CONCATENATE("NOW, THEREFORE, BE IT RESOLVED by the Board of ",(inputPrYr!C2)," Commissioners that is our desire to notify the public of the possibility of increased property taxes to finance the ",inputPrYr!C4," ",(inputPrYr!C2)," budget due to the above mentioned constraints, and that all persons are invited and encouraged to attend budget meeting conducted by the Board of ",(inputPrYr!C2)," Commissioners.  The date and time of budget hearings with the Board of ",(inputPrYr!C2),A38,)</f>
        <v>NOW, THEREFORE, BE IT RESOLVED by the Board of Geary County Commissioners that is our desire to notify the public of the possibility of increased property taxes to finance the 2012 Geary County budget due to the above mentioned constraints, and that all persons are invited and encouraged to attend budget meeting conducted by the Board of Geary County Commissioners.  The date and time of budget hearings with the Board of Geary County Commissioners will be published in the _________ (newspaper).   Interested persons can also address questions concerning the budget to __________ (office) _______ by calling ___________ between the hours of ________ a.m. to ________ p.m., Monday through Fridays, excluding holidays.  </v>
      </c>
      <c r="B29" s="805"/>
      <c r="C29" s="805"/>
      <c r="D29" s="805"/>
      <c r="E29" s="805"/>
      <c r="F29" s="805"/>
      <c r="G29" s="805"/>
      <c r="H29" s="805"/>
    </row>
    <row r="30" spans="1:8" ht="15.75" customHeight="1">
      <c r="A30" s="805"/>
      <c r="B30" s="805"/>
      <c r="C30" s="805"/>
      <c r="D30" s="805"/>
      <c r="E30" s="805"/>
      <c r="F30" s="805"/>
      <c r="G30" s="805"/>
      <c r="H30" s="805"/>
    </row>
    <row r="31" spans="1:8" ht="15.75" customHeight="1">
      <c r="A31" s="805"/>
      <c r="B31" s="805"/>
      <c r="C31" s="805"/>
      <c r="D31" s="805"/>
      <c r="E31" s="805"/>
      <c r="F31" s="805"/>
      <c r="G31" s="805"/>
      <c r="H31" s="805"/>
    </row>
    <row r="32" spans="1:8" ht="15.75" customHeight="1">
      <c r="A32" s="805"/>
      <c r="B32" s="805"/>
      <c r="C32" s="805"/>
      <c r="D32" s="805"/>
      <c r="E32" s="805"/>
      <c r="F32" s="805"/>
      <c r="G32" s="805"/>
      <c r="H32" s="805"/>
    </row>
    <row r="33" spans="1:8" ht="15.75" customHeight="1">
      <c r="A33" s="805"/>
      <c r="B33" s="805"/>
      <c r="C33" s="805"/>
      <c r="D33" s="805"/>
      <c r="E33" s="805"/>
      <c r="F33" s="805"/>
      <c r="G33" s="805"/>
      <c r="H33" s="805"/>
    </row>
    <row r="34" spans="1:8" ht="15.75" customHeight="1">
      <c r="A34" s="805"/>
      <c r="B34" s="805"/>
      <c r="C34" s="805"/>
      <c r="D34" s="805"/>
      <c r="E34" s="805"/>
      <c r="F34" s="805"/>
      <c r="G34" s="805"/>
      <c r="H34" s="805"/>
    </row>
    <row r="35" spans="1:8" ht="15.75" customHeight="1">
      <c r="A35" s="805"/>
      <c r="B35" s="805"/>
      <c r="C35" s="805"/>
      <c r="D35" s="805"/>
      <c r="E35" s="805"/>
      <c r="F35" s="805"/>
      <c r="G35" s="805"/>
      <c r="H35" s="805"/>
    </row>
    <row r="36" spans="1:8" ht="15.75" customHeight="1">
      <c r="A36" s="805"/>
      <c r="B36" s="805"/>
      <c r="C36" s="805"/>
      <c r="D36" s="805"/>
      <c r="E36" s="805"/>
      <c r="F36" s="805"/>
      <c r="G36" s="805"/>
      <c r="H36" s="805"/>
    </row>
    <row r="37" spans="1:8" ht="15.75" customHeight="1">
      <c r="A37" s="805"/>
      <c r="B37" s="805"/>
      <c r="C37" s="805"/>
      <c r="D37" s="805"/>
      <c r="E37" s="805"/>
      <c r="F37" s="805"/>
      <c r="G37" s="805"/>
      <c r="H37" s="805"/>
    </row>
    <row r="38" spans="1:8" ht="15.75" customHeight="1">
      <c r="A38" s="47" t="s">
        <v>329</v>
      </c>
      <c r="B38" s="6"/>
      <c r="C38" s="6"/>
      <c r="D38" s="6"/>
      <c r="E38" s="6"/>
      <c r="F38" s="6"/>
      <c r="G38" s="6"/>
      <c r="H38" s="58" t="s">
        <v>191</v>
      </c>
    </row>
    <row r="39" spans="1:8" ht="15.75" customHeight="1">
      <c r="A39" s="804" t="str">
        <f>CONCATENATE("                                                 Adopted this _________ day of ___________, ",inputPrYr!C4-1," by the Board of ",(inputPrYr!C2)," Commissioners.")</f>
        <v>                                                 Adopted this _________ day of ___________, 2011 by the Board of Geary County Commissioners.</v>
      </c>
      <c r="B39" s="804"/>
      <c r="C39" s="804"/>
      <c r="D39" s="804"/>
      <c r="E39" s="804"/>
      <c r="F39" s="804"/>
      <c r="G39" s="804"/>
      <c r="H39" s="804"/>
    </row>
    <row r="40" spans="1:8" ht="15.75" customHeight="1">
      <c r="A40" s="804"/>
      <c r="B40" s="804"/>
      <c r="C40" s="804"/>
      <c r="D40" s="804"/>
      <c r="E40" s="804"/>
      <c r="F40" s="804"/>
      <c r="G40" s="804"/>
      <c r="H40" s="804"/>
    </row>
    <row r="41" spans="1:8" ht="15.75" customHeight="1">
      <c r="A41" s="6"/>
      <c r="B41" s="6"/>
      <c r="C41" s="6"/>
      <c r="D41" s="6"/>
      <c r="E41" s="806" t="s">
        <v>299</v>
      </c>
      <c r="F41" s="806"/>
      <c r="G41" s="806"/>
      <c r="H41" s="806"/>
    </row>
    <row r="42" spans="1:8" ht="15.75" customHeight="1">
      <c r="A42" s="48"/>
      <c r="B42" s="6"/>
      <c r="C42" s="6"/>
      <c r="D42" s="6"/>
      <c r="E42" s="806"/>
      <c r="F42" s="806"/>
      <c r="G42" s="806"/>
      <c r="H42" s="806"/>
    </row>
    <row r="43" spans="1:8" ht="15.75" customHeight="1">
      <c r="A43" s="6"/>
      <c r="B43" s="6"/>
      <c r="C43" s="6"/>
      <c r="D43" s="6"/>
      <c r="E43" s="806" t="s">
        <v>300</v>
      </c>
      <c r="F43" s="806"/>
      <c r="G43" s="806"/>
      <c r="H43" s="806"/>
    </row>
    <row r="44" spans="1:8" ht="15.75" customHeight="1">
      <c r="A44" s="48"/>
      <c r="B44" s="6"/>
      <c r="C44" s="6"/>
      <c r="D44" s="6"/>
      <c r="E44" s="806"/>
      <c r="F44" s="806"/>
      <c r="G44" s="806"/>
      <c r="H44" s="806"/>
    </row>
    <row r="45" spans="1:8" ht="15.75" customHeight="1">
      <c r="A45" s="6"/>
      <c r="B45" s="6"/>
      <c r="C45" s="6"/>
      <c r="D45" s="6"/>
      <c r="E45" s="806" t="s">
        <v>300</v>
      </c>
      <c r="F45" s="806"/>
      <c r="G45" s="806"/>
      <c r="H45" s="806"/>
    </row>
    <row r="46" spans="1:8" ht="15.75" customHeight="1">
      <c r="A46" s="48"/>
      <c r="B46" s="6"/>
      <c r="C46" s="6"/>
      <c r="D46" s="6"/>
      <c r="E46" s="806"/>
      <c r="F46" s="806"/>
      <c r="G46" s="806"/>
      <c r="H46" s="806"/>
    </row>
    <row r="47" spans="1:8" ht="15.75" customHeight="1">
      <c r="A47" s="6"/>
      <c r="B47" s="6"/>
      <c r="C47" s="6"/>
      <c r="D47" s="6"/>
      <c r="E47" s="806" t="s">
        <v>300</v>
      </c>
      <c r="F47" s="806"/>
      <c r="G47" s="806"/>
      <c r="H47" s="806"/>
    </row>
    <row r="48" spans="1:8" ht="15.75" customHeight="1">
      <c r="A48" s="48"/>
      <c r="B48" s="6"/>
      <c r="C48" s="6"/>
      <c r="D48" s="6"/>
      <c r="E48" s="6"/>
      <c r="F48" s="6"/>
      <c r="G48" s="6"/>
      <c r="H48" s="58"/>
    </row>
    <row r="49" spans="1:8" ht="15.75" customHeight="1">
      <c r="A49" s="48" t="s">
        <v>301</v>
      </c>
      <c r="B49" s="6"/>
      <c r="C49" s="6"/>
      <c r="D49" s="6"/>
      <c r="E49" s="6"/>
      <c r="F49" s="6"/>
      <c r="G49" s="6"/>
      <c r="H49" s="58"/>
    </row>
    <row r="50" spans="1:8" ht="15.75" customHeight="1">
      <c r="A50" s="48"/>
      <c r="B50" s="6"/>
      <c r="C50" s="6"/>
      <c r="D50" s="6"/>
      <c r="E50" s="6"/>
      <c r="F50" s="6"/>
      <c r="G50" s="48"/>
      <c r="H50" s="58"/>
    </row>
    <row r="51" spans="1:8" ht="15.75" customHeight="1">
      <c r="A51" s="49" t="s">
        <v>302</v>
      </c>
      <c r="B51" s="2"/>
      <c r="C51" s="2"/>
      <c r="D51" s="2"/>
      <c r="E51" s="2"/>
      <c r="F51" s="2"/>
      <c r="G51" s="48"/>
      <c r="H51" s="58"/>
    </row>
    <row r="52" spans="1:8" ht="15.75" customHeight="1">
      <c r="A52" s="806" t="s">
        <v>303</v>
      </c>
      <c r="B52" s="806"/>
      <c r="C52" s="806"/>
      <c r="D52" s="2"/>
      <c r="E52" s="2"/>
      <c r="F52" s="2"/>
      <c r="G52" s="48"/>
      <c r="H52" s="58"/>
    </row>
    <row r="53" spans="1:8" ht="15.75" customHeight="1">
      <c r="A53" s="49"/>
      <c r="B53" s="2"/>
      <c r="C53" s="2"/>
      <c r="D53" s="2"/>
      <c r="E53" s="2"/>
      <c r="F53" s="2"/>
      <c r="G53" s="48"/>
      <c r="H53" s="58"/>
    </row>
    <row r="54" spans="1:8" ht="15.75" customHeight="1">
      <c r="A54" s="49"/>
      <c r="B54" s="2"/>
      <c r="C54" s="2"/>
      <c r="D54" s="2"/>
      <c r="E54" s="2"/>
      <c r="F54" s="2"/>
      <c r="G54" s="48"/>
      <c r="H54" s="58"/>
    </row>
    <row r="55" spans="1:8" ht="15.75" customHeight="1">
      <c r="A55" s="50" t="s">
        <v>304</v>
      </c>
      <c r="B55" s="2"/>
      <c r="C55" s="2"/>
      <c r="D55" s="60" t="s">
        <v>190</v>
      </c>
      <c r="E55" s="8"/>
      <c r="F55" s="2"/>
      <c r="G55" s="48"/>
      <c r="H55" s="58"/>
    </row>
    <row r="56" spans="1:8" ht="15" customHeight="1">
      <c r="A56" s="58"/>
      <c r="B56" s="58"/>
      <c r="C56" s="58"/>
      <c r="D56" s="58"/>
      <c r="E56" s="58"/>
      <c r="F56" s="58"/>
      <c r="G56" s="58"/>
      <c r="H56" s="58"/>
    </row>
    <row r="57" spans="1:8" ht="15" customHeight="1">
      <c r="A57" s="58"/>
      <c r="B57" s="58"/>
      <c r="C57" s="58"/>
      <c r="D57" s="58"/>
      <c r="E57" s="58"/>
      <c r="F57" s="58"/>
      <c r="G57" s="58"/>
      <c r="H57" s="58"/>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sheetData>
  <sheetProtection/>
  <mergeCells count="16">
    <mergeCell ref="E45:H45"/>
    <mergeCell ref="E46:H46"/>
    <mergeCell ref="E47:H47"/>
    <mergeCell ref="A52:C52"/>
    <mergeCell ref="E41:H41"/>
    <mergeCell ref="E42:H42"/>
    <mergeCell ref="E43:H43"/>
    <mergeCell ref="E44:H44"/>
    <mergeCell ref="A2:H2"/>
    <mergeCell ref="A4:H4"/>
    <mergeCell ref="A39:H40"/>
    <mergeCell ref="A10:H15"/>
    <mergeCell ref="A29:H37"/>
    <mergeCell ref="A17:H18"/>
    <mergeCell ref="A20:H21"/>
    <mergeCell ref="A25:H27"/>
  </mergeCells>
  <printOptions/>
  <pageMargins left="0.37" right="0.27" top="0.5" bottom="0.51" header="0.5" footer="0.5"/>
  <pageSetup horizontalDpi="600" verticalDpi="600" orientation="portrait" r:id="rId1"/>
</worksheet>
</file>

<file path=xl/worksheets/sheet4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H67" sqref="H67"/>
    </sheetView>
  </sheetViews>
  <sheetFormatPr defaultColWidth="8.796875" defaultRowHeight="15"/>
  <cols>
    <col min="1" max="1" width="71.296875" style="0" customWidth="1"/>
  </cols>
  <sheetData>
    <row r="3" spans="1:12" ht="15">
      <c r="A3" s="438" t="s">
        <v>425</v>
      </c>
      <c r="B3" s="438"/>
      <c r="C3" s="438"/>
      <c r="D3" s="438"/>
      <c r="E3" s="438"/>
      <c r="F3" s="438"/>
      <c r="G3" s="438"/>
      <c r="H3" s="438"/>
      <c r="I3" s="438"/>
      <c r="J3" s="438"/>
      <c r="K3" s="438"/>
      <c r="L3" s="438"/>
    </row>
    <row r="5" ht="15">
      <c r="A5" s="439" t="s">
        <v>426</v>
      </c>
    </row>
    <row r="6" ht="15">
      <c r="A6" s="439" t="str">
        <f>CONCATENATE(inputPrYr!C4-2," 'total expenditures' exceed your ",inputPrYr!C4-2," 'budget authority.'")</f>
        <v>2010 'total expenditures' exceed your 2010 'budget authority.'</v>
      </c>
    </row>
    <row r="7" ht="15">
      <c r="A7" s="439"/>
    </row>
    <row r="8" ht="15">
      <c r="A8" s="439" t="s">
        <v>427</v>
      </c>
    </row>
    <row r="9" ht="15">
      <c r="A9" s="439" t="s">
        <v>428</v>
      </c>
    </row>
    <row r="10" ht="15">
      <c r="A10" s="439" t="s">
        <v>429</v>
      </c>
    </row>
    <row r="11" ht="15">
      <c r="A11" s="439"/>
    </row>
    <row r="12" ht="15">
      <c r="A12" s="439"/>
    </row>
    <row r="13" ht="15">
      <c r="A13" s="440" t="s">
        <v>430</v>
      </c>
    </row>
    <row r="15" ht="15">
      <c r="A15" s="439" t="s">
        <v>431</v>
      </c>
    </row>
    <row r="16" ht="15">
      <c r="A16" s="439" t="str">
        <f>CONCATENATE("(i.e. an audit has not been completed, or the ",inputPrYr!C4," adopted")</f>
        <v>(i.e. an audit has not been completed, or the 2012 adopted</v>
      </c>
    </row>
    <row r="17" ht="15">
      <c r="A17" s="439" t="s">
        <v>432</v>
      </c>
    </row>
    <row r="18" ht="15">
      <c r="A18" s="439" t="s">
        <v>433</v>
      </c>
    </row>
    <row r="19" ht="15">
      <c r="A19" s="439" t="s">
        <v>434</v>
      </c>
    </row>
    <row r="21" ht="15">
      <c r="A21" s="440" t="s">
        <v>435</v>
      </c>
    </row>
    <row r="22" ht="15">
      <c r="A22" s="440"/>
    </row>
    <row r="23" ht="15">
      <c r="A23" s="439" t="s">
        <v>436</v>
      </c>
    </row>
    <row r="24" ht="15">
      <c r="A24" s="439" t="s">
        <v>437</v>
      </c>
    </row>
    <row r="25" ht="15">
      <c r="A25" s="439" t="str">
        <f>CONCATENATE("particular fund.  If your ",inputPrYr!C4-2," budget was amended, did you")</f>
        <v>particular fund.  If your 2010 budget was amended, did you</v>
      </c>
    </row>
    <row r="26" ht="15">
      <c r="A26" s="439" t="s">
        <v>438</v>
      </c>
    </row>
    <row r="27" ht="15">
      <c r="A27" s="439"/>
    </row>
    <row r="28" ht="15">
      <c r="A28" s="439" t="str">
        <f>CONCATENATE("Next, look to see if any of your ",inputPrYr!C4-2," expenditures can be")</f>
        <v>Next, look to see if any of your 2010 expenditures can be</v>
      </c>
    </row>
    <row r="29" ht="15">
      <c r="A29" s="439" t="s">
        <v>439</v>
      </c>
    </row>
    <row r="30" ht="15">
      <c r="A30" s="439" t="s">
        <v>440</v>
      </c>
    </row>
    <row r="31" ht="15">
      <c r="A31" s="439" t="s">
        <v>441</v>
      </c>
    </row>
    <row r="32" ht="15">
      <c r="A32" s="439"/>
    </row>
    <row r="33" ht="15">
      <c r="A33" s="439" t="str">
        <f>CONCATENATE("Additionally, do your ",inputPrYr!C4-2," receipts contain a reimbursement")</f>
        <v>Additionally, do your 2010 receipts contain a reimbursement</v>
      </c>
    </row>
    <row r="34" ht="15">
      <c r="A34" s="439" t="s">
        <v>442</v>
      </c>
    </row>
    <row r="35" ht="15">
      <c r="A35" s="439" t="s">
        <v>443</v>
      </c>
    </row>
    <row r="36" ht="15">
      <c r="A36" s="439"/>
    </row>
    <row r="37" ht="15">
      <c r="A37" s="439" t="s">
        <v>444</v>
      </c>
    </row>
    <row r="38" ht="15">
      <c r="A38" s="439" t="s">
        <v>445</v>
      </c>
    </row>
    <row r="39" ht="15">
      <c r="A39" s="439" t="s">
        <v>446</v>
      </c>
    </row>
    <row r="40" ht="15">
      <c r="A40" s="439" t="s">
        <v>447</v>
      </c>
    </row>
    <row r="41" ht="15">
      <c r="A41" s="439" t="s">
        <v>448</v>
      </c>
    </row>
    <row r="42" ht="15">
      <c r="A42" s="439" t="s">
        <v>449</v>
      </c>
    </row>
    <row r="43" ht="15">
      <c r="A43" s="439" t="s">
        <v>450</v>
      </c>
    </row>
    <row r="44" ht="15">
      <c r="A44" s="439" t="s">
        <v>451</v>
      </c>
    </row>
    <row r="45" ht="15">
      <c r="A45" s="439"/>
    </row>
    <row r="46" ht="15">
      <c r="A46" s="439" t="s">
        <v>452</v>
      </c>
    </row>
    <row r="47" ht="15">
      <c r="A47" s="439" t="s">
        <v>453</v>
      </c>
    </row>
    <row r="48" ht="15">
      <c r="A48" s="439" t="s">
        <v>454</v>
      </c>
    </row>
    <row r="49" ht="15">
      <c r="A49" s="439"/>
    </row>
    <row r="50" ht="15">
      <c r="A50" s="439" t="s">
        <v>455</v>
      </c>
    </row>
    <row r="51" ht="15">
      <c r="A51" s="439" t="s">
        <v>456</v>
      </c>
    </row>
    <row r="52" ht="15">
      <c r="A52" s="439" t="s">
        <v>457</v>
      </c>
    </row>
    <row r="53" ht="15">
      <c r="A53" s="439"/>
    </row>
    <row r="54" ht="15">
      <c r="A54" s="440" t="s">
        <v>458</v>
      </c>
    </row>
    <row r="55" ht="15">
      <c r="A55" s="439"/>
    </row>
    <row r="56" ht="15">
      <c r="A56" s="439" t="s">
        <v>459</v>
      </c>
    </row>
    <row r="57" ht="15">
      <c r="A57" s="439" t="s">
        <v>460</v>
      </c>
    </row>
    <row r="58" ht="15">
      <c r="A58" s="439" t="s">
        <v>461</v>
      </c>
    </row>
    <row r="59" ht="15">
      <c r="A59" s="439" t="s">
        <v>462</v>
      </c>
    </row>
    <row r="60" ht="15">
      <c r="A60" s="439" t="s">
        <v>463</v>
      </c>
    </row>
    <row r="61" ht="15">
      <c r="A61" s="439" t="s">
        <v>464</v>
      </c>
    </row>
    <row r="62" ht="15">
      <c r="A62" s="439" t="s">
        <v>465</v>
      </c>
    </row>
    <row r="63" ht="15">
      <c r="A63" s="439" t="s">
        <v>466</v>
      </c>
    </row>
    <row r="64" ht="15">
      <c r="A64" s="439" t="s">
        <v>467</v>
      </c>
    </row>
    <row r="65" ht="15">
      <c r="A65" s="439" t="s">
        <v>468</v>
      </c>
    </row>
    <row r="66" ht="15">
      <c r="A66" s="439" t="s">
        <v>469</v>
      </c>
    </row>
    <row r="67" ht="15">
      <c r="A67" s="439" t="s">
        <v>470</v>
      </c>
    </row>
    <row r="68" ht="15">
      <c r="A68" s="439" t="s">
        <v>471</v>
      </c>
    </row>
    <row r="69" ht="15">
      <c r="A69" s="439"/>
    </row>
    <row r="70" ht="15">
      <c r="A70" s="439" t="s">
        <v>472</v>
      </c>
    </row>
    <row r="71" ht="15">
      <c r="A71" s="439" t="s">
        <v>473</v>
      </c>
    </row>
    <row r="72" ht="15">
      <c r="A72" s="439" t="s">
        <v>474</v>
      </c>
    </row>
    <row r="73" ht="15">
      <c r="A73" s="439"/>
    </row>
    <row r="74" ht="15">
      <c r="A74" s="440" t="str">
        <f>CONCATENATE("What if the ",inputPrYr!C4-2," financial records have been closed?")</f>
        <v>What if the 2010 financial records have been closed?</v>
      </c>
    </row>
    <row r="76" ht="15">
      <c r="A76" s="439" t="s">
        <v>475</v>
      </c>
    </row>
    <row r="77" ht="15">
      <c r="A77" s="439" t="str">
        <f>CONCATENATE("(i.e. an audit for ",inputPrYr!C4-2," has been completed, or the ",inputPrYr!C4)</f>
        <v>(i.e. an audit for 2010 has been completed, or the 2012</v>
      </c>
    </row>
    <row r="78" ht="15">
      <c r="A78" s="439" t="s">
        <v>476</v>
      </c>
    </row>
    <row r="79" ht="15">
      <c r="A79" s="439" t="s">
        <v>477</v>
      </c>
    </row>
    <row r="80" ht="15">
      <c r="A80" s="439"/>
    </row>
    <row r="81" ht="15">
      <c r="A81" s="439" t="s">
        <v>478</v>
      </c>
    </row>
    <row r="82" ht="15">
      <c r="A82" s="439" t="s">
        <v>479</v>
      </c>
    </row>
    <row r="83" ht="15">
      <c r="A83" s="439" t="s">
        <v>480</v>
      </c>
    </row>
    <row r="84" ht="15">
      <c r="A84" s="439"/>
    </row>
    <row r="85" ht="15">
      <c r="A85" s="439" t="s">
        <v>481</v>
      </c>
    </row>
  </sheetData>
  <sheetProtection sheet="1"/>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H67" sqref="H67"/>
    </sheetView>
  </sheetViews>
  <sheetFormatPr defaultColWidth="8.796875" defaultRowHeight="15"/>
  <cols>
    <col min="1" max="1" width="71.296875" style="0" customWidth="1"/>
  </cols>
  <sheetData>
    <row r="3" spans="1:10" ht="15">
      <c r="A3" s="438" t="s">
        <v>482</v>
      </c>
      <c r="B3" s="438"/>
      <c r="C3" s="438"/>
      <c r="D3" s="438"/>
      <c r="E3" s="438"/>
      <c r="F3" s="438"/>
      <c r="G3" s="438"/>
      <c r="H3" s="441"/>
      <c r="I3" s="441"/>
      <c r="J3" s="441"/>
    </row>
    <row r="5" ht="15">
      <c r="A5" s="439" t="s">
        <v>483</v>
      </c>
    </row>
    <row r="6" ht="15">
      <c r="A6" t="str">
        <f>CONCATENATE(inputPrYr!C4-2," expenditures show that you finished the year with a ")</f>
        <v>2010 expenditures show that you finished the year with a </v>
      </c>
    </row>
    <row r="7" ht="15">
      <c r="A7" t="s">
        <v>484</v>
      </c>
    </row>
    <row r="9" ht="15">
      <c r="A9" t="s">
        <v>485</v>
      </c>
    </row>
    <row r="10" ht="15">
      <c r="A10" t="s">
        <v>486</v>
      </c>
    </row>
    <row r="11" ht="15">
      <c r="A11" t="s">
        <v>487</v>
      </c>
    </row>
    <row r="13" ht="15">
      <c r="A13" s="440" t="s">
        <v>488</v>
      </c>
    </row>
    <row r="14" ht="15">
      <c r="A14" s="440"/>
    </row>
    <row r="15" ht="15">
      <c r="A15" s="439" t="s">
        <v>489</v>
      </c>
    </row>
    <row r="16" ht="15">
      <c r="A16" s="439" t="s">
        <v>490</v>
      </c>
    </row>
    <row r="17" ht="15">
      <c r="A17" s="439" t="s">
        <v>491</v>
      </c>
    </row>
    <row r="18" ht="15">
      <c r="A18" s="439"/>
    </row>
    <row r="19" ht="15">
      <c r="A19" s="440" t="s">
        <v>492</v>
      </c>
    </row>
    <row r="20" ht="15">
      <c r="A20" s="440"/>
    </row>
    <row r="21" ht="15">
      <c r="A21" s="439" t="s">
        <v>493</v>
      </c>
    </row>
    <row r="22" ht="15">
      <c r="A22" s="439" t="s">
        <v>494</v>
      </c>
    </row>
    <row r="23" ht="15">
      <c r="A23" s="439" t="s">
        <v>495</v>
      </c>
    </row>
    <row r="24" ht="15">
      <c r="A24" s="439"/>
    </row>
    <row r="25" ht="15">
      <c r="A25" s="440" t="s">
        <v>496</v>
      </c>
    </row>
    <row r="26" ht="15">
      <c r="A26" s="440"/>
    </row>
    <row r="27" ht="15">
      <c r="A27" s="439" t="s">
        <v>497</v>
      </c>
    </row>
    <row r="28" ht="15">
      <c r="A28" s="439" t="s">
        <v>498</v>
      </c>
    </row>
    <row r="29" ht="15">
      <c r="A29" s="439" t="s">
        <v>499</v>
      </c>
    </row>
    <row r="30" ht="15">
      <c r="A30" s="439"/>
    </row>
    <row r="31" ht="15">
      <c r="A31" s="440" t="s">
        <v>500</v>
      </c>
    </row>
    <row r="32" ht="15">
      <c r="A32" s="440"/>
    </row>
    <row r="33" spans="1:8" ht="15">
      <c r="A33" s="439" t="str">
        <f>CONCATENATE("If your financial records for ",inputPrYr!C4-2," are not closed")</f>
        <v>If your financial records for 2010 are not closed</v>
      </c>
      <c r="B33" s="439"/>
      <c r="C33" s="439"/>
      <c r="D33" s="439"/>
      <c r="E33" s="439"/>
      <c r="F33" s="439"/>
      <c r="G33" s="439"/>
      <c r="H33" s="439"/>
    </row>
    <row r="34" spans="1:8" ht="15">
      <c r="A34" s="439" t="str">
        <f>CONCATENATE("(i.e. an audit has not been completed, or the ",inputPrYr!C4," adopted ")</f>
        <v>(i.e. an audit has not been completed, or the 2012 adopted </v>
      </c>
      <c r="B34" s="439"/>
      <c r="C34" s="439"/>
      <c r="D34" s="439"/>
      <c r="E34" s="439"/>
      <c r="F34" s="439"/>
      <c r="G34" s="439"/>
      <c r="H34" s="439"/>
    </row>
    <row r="35" spans="1:8" ht="15">
      <c r="A35" s="439" t="s">
        <v>501</v>
      </c>
      <c r="B35" s="439"/>
      <c r="C35" s="439"/>
      <c r="D35" s="439"/>
      <c r="E35" s="439"/>
      <c r="F35" s="439"/>
      <c r="G35" s="439"/>
      <c r="H35" s="439"/>
    </row>
    <row r="36" spans="1:8" ht="15">
      <c r="A36" s="439" t="s">
        <v>502</v>
      </c>
      <c r="B36" s="439"/>
      <c r="C36" s="439"/>
      <c r="D36" s="439"/>
      <c r="E36" s="439"/>
      <c r="F36" s="439"/>
      <c r="G36" s="439"/>
      <c r="H36" s="439"/>
    </row>
    <row r="37" spans="1:8" ht="15">
      <c r="A37" s="439" t="s">
        <v>503</v>
      </c>
      <c r="B37" s="439"/>
      <c r="C37" s="439"/>
      <c r="D37" s="439"/>
      <c r="E37" s="439"/>
      <c r="F37" s="439"/>
      <c r="G37" s="439"/>
      <c r="H37" s="439"/>
    </row>
    <row r="38" spans="1:8" ht="15">
      <c r="A38" s="439" t="s">
        <v>504</v>
      </c>
      <c r="B38" s="439"/>
      <c r="C38" s="439"/>
      <c r="D38" s="439"/>
      <c r="E38" s="439"/>
      <c r="F38" s="439"/>
      <c r="G38" s="439"/>
      <c r="H38" s="439"/>
    </row>
    <row r="39" spans="1:8" ht="15">
      <c r="A39" s="439" t="s">
        <v>505</v>
      </c>
      <c r="B39" s="439"/>
      <c r="C39" s="439"/>
      <c r="D39" s="439"/>
      <c r="E39" s="439"/>
      <c r="F39" s="439"/>
      <c r="G39" s="439"/>
      <c r="H39" s="439"/>
    </row>
    <row r="40" spans="1:8" ht="15">
      <c r="A40" s="439"/>
      <c r="B40" s="439"/>
      <c r="C40" s="439"/>
      <c r="D40" s="439"/>
      <c r="E40" s="439"/>
      <c r="F40" s="439"/>
      <c r="G40" s="439"/>
      <c r="H40" s="439"/>
    </row>
    <row r="41" spans="1:8" ht="15">
      <c r="A41" s="439" t="s">
        <v>506</v>
      </c>
      <c r="B41" s="439"/>
      <c r="C41" s="439"/>
      <c r="D41" s="439"/>
      <c r="E41" s="439"/>
      <c r="F41" s="439"/>
      <c r="G41" s="439"/>
      <c r="H41" s="439"/>
    </row>
    <row r="42" spans="1:8" ht="15">
      <c r="A42" s="439" t="s">
        <v>507</v>
      </c>
      <c r="B42" s="439"/>
      <c r="C42" s="439"/>
      <c r="D42" s="439"/>
      <c r="E42" s="439"/>
      <c r="F42" s="439"/>
      <c r="G42" s="439"/>
      <c r="H42" s="439"/>
    </row>
    <row r="43" spans="1:8" ht="15">
      <c r="A43" s="439" t="s">
        <v>508</v>
      </c>
      <c r="B43" s="439"/>
      <c r="C43" s="439"/>
      <c r="D43" s="439"/>
      <c r="E43" s="439"/>
      <c r="F43" s="439"/>
      <c r="G43" s="439"/>
      <c r="H43" s="439"/>
    </row>
    <row r="44" spans="1:8" ht="15">
      <c r="A44" s="439" t="s">
        <v>509</v>
      </c>
      <c r="B44" s="439"/>
      <c r="C44" s="439"/>
      <c r="D44" s="439"/>
      <c r="E44" s="439"/>
      <c r="F44" s="439"/>
      <c r="G44" s="439"/>
      <c r="H44" s="439"/>
    </row>
    <row r="45" spans="1:8" ht="15">
      <c r="A45" s="439"/>
      <c r="B45" s="439"/>
      <c r="C45" s="439"/>
      <c r="D45" s="439"/>
      <c r="E45" s="439"/>
      <c r="F45" s="439"/>
      <c r="G45" s="439"/>
      <c r="H45" s="439"/>
    </row>
    <row r="46" spans="1:8" ht="15">
      <c r="A46" s="439" t="s">
        <v>510</v>
      </c>
      <c r="B46" s="439"/>
      <c r="C46" s="439"/>
      <c r="D46" s="439"/>
      <c r="E46" s="439"/>
      <c r="F46" s="439"/>
      <c r="G46" s="439"/>
      <c r="H46" s="439"/>
    </row>
    <row r="47" spans="1:8" ht="15">
      <c r="A47" s="439" t="s">
        <v>511</v>
      </c>
      <c r="B47" s="439"/>
      <c r="C47" s="439"/>
      <c r="D47" s="439"/>
      <c r="E47" s="439"/>
      <c r="F47" s="439"/>
      <c r="G47" s="439"/>
      <c r="H47" s="439"/>
    </row>
    <row r="48" spans="1:8" ht="15">
      <c r="A48" s="439" t="s">
        <v>512</v>
      </c>
      <c r="B48" s="439"/>
      <c r="C48" s="439"/>
      <c r="D48" s="439"/>
      <c r="E48" s="439"/>
      <c r="F48" s="439"/>
      <c r="G48" s="439"/>
      <c r="H48" s="439"/>
    </row>
    <row r="49" spans="1:8" ht="15">
      <c r="A49" s="439" t="s">
        <v>513</v>
      </c>
      <c r="B49" s="439"/>
      <c r="C49" s="439"/>
      <c r="D49" s="439"/>
      <c r="E49" s="439"/>
      <c r="F49" s="439"/>
      <c r="G49" s="439"/>
      <c r="H49" s="439"/>
    </row>
    <row r="50" spans="1:8" ht="15">
      <c r="A50" s="439" t="s">
        <v>514</v>
      </c>
      <c r="B50" s="439"/>
      <c r="C50" s="439"/>
      <c r="D50" s="439"/>
      <c r="E50" s="439"/>
      <c r="F50" s="439"/>
      <c r="G50" s="439"/>
      <c r="H50" s="439"/>
    </row>
    <row r="51" spans="1:8" ht="15">
      <c r="A51" s="439"/>
      <c r="B51" s="439"/>
      <c r="C51" s="439"/>
      <c r="D51" s="439"/>
      <c r="E51" s="439"/>
      <c r="F51" s="439"/>
      <c r="G51" s="439"/>
      <c r="H51" s="439"/>
    </row>
    <row r="52" spans="1:8" ht="15">
      <c r="A52" s="440" t="s">
        <v>515</v>
      </c>
      <c r="B52" s="440"/>
      <c r="C52" s="440"/>
      <c r="D52" s="440"/>
      <c r="E52" s="440"/>
      <c r="F52" s="440"/>
      <c r="G52" s="440"/>
      <c r="H52" s="439"/>
    </row>
    <row r="53" spans="1:8" ht="15">
      <c r="A53" s="440" t="s">
        <v>516</v>
      </c>
      <c r="B53" s="440"/>
      <c r="C53" s="440"/>
      <c r="D53" s="440"/>
      <c r="E53" s="440"/>
      <c r="F53" s="440"/>
      <c r="G53" s="440"/>
      <c r="H53" s="439"/>
    </row>
    <row r="54" spans="1:8" ht="15">
      <c r="A54" s="439"/>
      <c r="B54" s="439"/>
      <c r="C54" s="439"/>
      <c r="D54" s="439"/>
      <c r="E54" s="439"/>
      <c r="F54" s="439"/>
      <c r="G54" s="439"/>
      <c r="H54" s="439"/>
    </row>
    <row r="55" spans="1:8" ht="15">
      <c r="A55" s="439" t="s">
        <v>517</v>
      </c>
      <c r="B55" s="439"/>
      <c r="C55" s="439"/>
      <c r="D55" s="439"/>
      <c r="E55" s="439"/>
      <c r="F55" s="439"/>
      <c r="G55" s="439"/>
      <c r="H55" s="439"/>
    </row>
    <row r="56" spans="1:8" ht="15">
      <c r="A56" s="439" t="s">
        <v>518</v>
      </c>
      <c r="B56" s="439"/>
      <c r="C56" s="439"/>
      <c r="D56" s="439"/>
      <c r="E56" s="439"/>
      <c r="F56" s="439"/>
      <c r="G56" s="439"/>
      <c r="H56" s="439"/>
    </row>
    <row r="57" spans="1:8" ht="15">
      <c r="A57" s="439" t="s">
        <v>519</v>
      </c>
      <c r="B57" s="439"/>
      <c r="C57" s="439"/>
      <c r="D57" s="439"/>
      <c r="E57" s="439"/>
      <c r="F57" s="439"/>
      <c r="G57" s="439"/>
      <c r="H57" s="439"/>
    </row>
    <row r="58" spans="1:8" ht="15">
      <c r="A58" s="439" t="s">
        <v>520</v>
      </c>
      <c r="B58" s="439"/>
      <c r="C58" s="439"/>
      <c r="D58" s="439"/>
      <c r="E58" s="439"/>
      <c r="F58" s="439"/>
      <c r="G58" s="439"/>
      <c r="H58" s="439"/>
    </row>
    <row r="59" spans="1:8" ht="15">
      <c r="A59" s="439"/>
      <c r="B59" s="439"/>
      <c r="C59" s="439"/>
      <c r="D59" s="439"/>
      <c r="E59" s="439"/>
      <c r="F59" s="439"/>
      <c r="G59" s="439"/>
      <c r="H59" s="439"/>
    </row>
    <row r="60" spans="1:8" ht="15">
      <c r="A60" s="439" t="s">
        <v>521</v>
      </c>
      <c r="B60" s="439"/>
      <c r="C60" s="439"/>
      <c r="D60" s="439"/>
      <c r="E60" s="439"/>
      <c r="F60" s="439"/>
      <c r="G60" s="439"/>
      <c r="H60" s="439"/>
    </row>
    <row r="61" spans="1:8" ht="15">
      <c r="A61" s="439" t="s">
        <v>522</v>
      </c>
      <c r="B61" s="439"/>
      <c r="C61" s="439"/>
      <c r="D61" s="439"/>
      <c r="E61" s="439"/>
      <c r="F61" s="439"/>
      <c r="G61" s="439"/>
      <c r="H61" s="439"/>
    </row>
    <row r="62" spans="1:8" ht="15">
      <c r="A62" s="439" t="s">
        <v>523</v>
      </c>
      <c r="B62" s="439"/>
      <c r="C62" s="439"/>
      <c r="D62" s="439"/>
      <c r="E62" s="439"/>
      <c r="F62" s="439"/>
      <c r="G62" s="439"/>
      <c r="H62" s="439"/>
    </row>
    <row r="63" spans="1:8" ht="15">
      <c r="A63" s="439" t="s">
        <v>524</v>
      </c>
      <c r="B63" s="439"/>
      <c r="C63" s="439"/>
      <c r="D63" s="439"/>
      <c r="E63" s="439"/>
      <c r="F63" s="439"/>
      <c r="G63" s="439"/>
      <c r="H63" s="439"/>
    </row>
    <row r="64" spans="1:8" ht="15">
      <c r="A64" s="439" t="s">
        <v>525</v>
      </c>
      <c r="B64" s="439"/>
      <c r="C64" s="439"/>
      <c r="D64" s="439"/>
      <c r="E64" s="439"/>
      <c r="F64" s="439"/>
      <c r="G64" s="439"/>
      <c r="H64" s="439"/>
    </row>
    <row r="65" spans="1:8" ht="15">
      <c r="A65" s="439" t="s">
        <v>526</v>
      </c>
      <c r="B65" s="439"/>
      <c r="C65" s="439"/>
      <c r="D65" s="439"/>
      <c r="E65" s="439"/>
      <c r="F65" s="439"/>
      <c r="G65" s="439"/>
      <c r="H65" s="439"/>
    </row>
    <row r="66" spans="1:8" ht="15">
      <c r="A66" s="439"/>
      <c r="B66" s="439"/>
      <c r="C66" s="439"/>
      <c r="D66" s="439"/>
      <c r="E66" s="439"/>
      <c r="F66" s="439"/>
      <c r="G66" s="439"/>
      <c r="H66" s="439"/>
    </row>
    <row r="67" spans="1:8" ht="15">
      <c r="A67" s="439" t="s">
        <v>527</v>
      </c>
      <c r="B67" s="439"/>
      <c r="C67" s="439"/>
      <c r="D67" s="439"/>
      <c r="E67" s="439"/>
      <c r="F67" s="439"/>
      <c r="G67" s="439"/>
      <c r="H67" s="439"/>
    </row>
    <row r="68" spans="1:8" ht="15">
      <c r="A68" s="439" t="s">
        <v>528</v>
      </c>
      <c r="B68" s="439"/>
      <c r="C68" s="439"/>
      <c r="D68" s="439"/>
      <c r="E68" s="439"/>
      <c r="F68" s="439"/>
      <c r="G68" s="439"/>
      <c r="H68" s="439"/>
    </row>
    <row r="69" spans="1:8" ht="15">
      <c r="A69" s="439" t="s">
        <v>529</v>
      </c>
      <c r="B69" s="439"/>
      <c r="C69" s="439"/>
      <c r="D69" s="439"/>
      <c r="E69" s="439"/>
      <c r="F69" s="439"/>
      <c r="G69" s="439"/>
      <c r="H69" s="439"/>
    </row>
    <row r="70" spans="1:8" ht="15">
      <c r="A70" s="439" t="s">
        <v>530</v>
      </c>
      <c r="B70" s="439"/>
      <c r="C70" s="439"/>
      <c r="D70" s="439"/>
      <c r="E70" s="439"/>
      <c r="F70" s="439"/>
      <c r="G70" s="439"/>
      <c r="H70" s="439"/>
    </row>
    <row r="71" spans="1:8" ht="15">
      <c r="A71" s="439" t="s">
        <v>531</v>
      </c>
      <c r="B71" s="439"/>
      <c r="C71" s="439"/>
      <c r="D71" s="439"/>
      <c r="E71" s="439"/>
      <c r="F71" s="439"/>
      <c r="G71" s="439"/>
      <c r="H71" s="439"/>
    </row>
    <row r="72" spans="1:8" ht="15">
      <c r="A72" s="439" t="s">
        <v>532</v>
      </c>
      <c r="B72" s="439"/>
      <c r="C72" s="439"/>
      <c r="D72" s="439"/>
      <c r="E72" s="439"/>
      <c r="F72" s="439"/>
      <c r="G72" s="439"/>
      <c r="H72" s="439"/>
    </row>
    <row r="73" spans="1:8" ht="15">
      <c r="A73" s="439" t="s">
        <v>533</v>
      </c>
      <c r="B73" s="439"/>
      <c r="C73" s="439"/>
      <c r="D73" s="439"/>
      <c r="E73" s="439"/>
      <c r="F73" s="439"/>
      <c r="G73" s="439"/>
      <c r="H73" s="439"/>
    </row>
    <row r="74" spans="1:8" ht="15">
      <c r="A74" s="439"/>
      <c r="B74" s="439"/>
      <c r="C74" s="439"/>
      <c r="D74" s="439"/>
      <c r="E74" s="439"/>
      <c r="F74" s="439"/>
      <c r="G74" s="439"/>
      <c r="H74" s="439"/>
    </row>
    <row r="75" spans="1:8" ht="15">
      <c r="A75" s="439" t="s">
        <v>534</v>
      </c>
      <c r="B75" s="439"/>
      <c r="C75" s="439"/>
      <c r="D75" s="439"/>
      <c r="E75" s="439"/>
      <c r="F75" s="439"/>
      <c r="G75" s="439"/>
      <c r="H75" s="439"/>
    </row>
    <row r="76" spans="1:8" ht="15">
      <c r="A76" s="439" t="s">
        <v>535</v>
      </c>
      <c r="B76" s="439"/>
      <c r="C76" s="439"/>
      <c r="D76" s="439"/>
      <c r="E76" s="439"/>
      <c r="F76" s="439"/>
      <c r="G76" s="439"/>
      <c r="H76" s="439"/>
    </row>
    <row r="77" spans="1:8" ht="15">
      <c r="A77" s="439" t="s">
        <v>536</v>
      </c>
      <c r="B77" s="439"/>
      <c r="C77" s="439"/>
      <c r="D77" s="439"/>
      <c r="E77" s="439"/>
      <c r="F77" s="439"/>
      <c r="G77" s="439"/>
      <c r="H77" s="439"/>
    </row>
    <row r="78" spans="1:8" ht="15">
      <c r="A78" s="439"/>
      <c r="B78" s="439"/>
      <c r="C78" s="439"/>
      <c r="D78" s="439"/>
      <c r="E78" s="439"/>
      <c r="F78" s="439"/>
      <c r="G78" s="439"/>
      <c r="H78" s="439"/>
    </row>
    <row r="79" ht="15">
      <c r="A79" s="439" t="s">
        <v>481</v>
      </c>
    </row>
    <row r="80" ht="15">
      <c r="A80" s="440"/>
    </row>
    <row r="81" ht="15">
      <c r="A81" s="439"/>
    </row>
    <row r="82" ht="15">
      <c r="A82" s="439"/>
    </row>
    <row r="83" ht="15">
      <c r="A83" s="439"/>
    </row>
    <row r="84" ht="15">
      <c r="A84" s="439"/>
    </row>
    <row r="85" ht="15">
      <c r="A85" s="439"/>
    </row>
    <row r="86" ht="15">
      <c r="A86" s="439"/>
    </row>
    <row r="87" ht="15">
      <c r="A87" s="439"/>
    </row>
    <row r="88" ht="15">
      <c r="A88" s="439"/>
    </row>
    <row r="89" ht="15">
      <c r="A89" s="439"/>
    </row>
    <row r="90" ht="15">
      <c r="A90" s="439"/>
    </row>
    <row r="91" ht="15">
      <c r="A91" s="439"/>
    </row>
    <row r="92" ht="15">
      <c r="A92" s="439"/>
    </row>
    <row r="93" ht="15">
      <c r="A93" s="439"/>
    </row>
    <row r="94" ht="15">
      <c r="A94" s="439"/>
    </row>
    <row r="95" ht="15">
      <c r="A95" s="439"/>
    </row>
    <row r="96" ht="15">
      <c r="A96" s="439"/>
    </row>
    <row r="97" ht="15">
      <c r="A97" s="439"/>
    </row>
    <row r="98" ht="15">
      <c r="A98" s="439"/>
    </row>
    <row r="99" ht="15">
      <c r="A99" s="439"/>
    </row>
    <row r="100" ht="15">
      <c r="A100" s="439"/>
    </row>
    <row r="101" ht="15">
      <c r="A101" s="439"/>
    </row>
    <row r="103" ht="15">
      <c r="A103" s="439"/>
    </row>
    <row r="104" ht="15">
      <c r="A104" s="439"/>
    </row>
    <row r="105" ht="15">
      <c r="A105" s="439"/>
    </row>
    <row r="107" ht="15">
      <c r="A107" s="440"/>
    </row>
    <row r="108" ht="15">
      <c r="A108" s="440"/>
    </row>
    <row r="109" ht="15">
      <c r="A109" s="440"/>
    </row>
  </sheetData>
  <sheetProtection sheet="1"/>
  <printOptions/>
  <pageMargins left="0.7" right="0.7" top="0.75" bottom="0.75" header="0.3" footer="0.3"/>
  <pageSetup horizontalDpi="600" verticalDpi="600" orientation="portrait" r:id="rId1"/>
</worksheet>
</file>

<file path=xl/worksheets/sheet4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26">
      <selection activeCell="H67" sqref="H67"/>
    </sheetView>
  </sheetViews>
  <sheetFormatPr defaultColWidth="8.796875" defaultRowHeight="15"/>
  <cols>
    <col min="1" max="1" width="71.296875" style="0" customWidth="1"/>
  </cols>
  <sheetData>
    <row r="3" spans="1:12" ht="15">
      <c r="A3" s="438" t="s">
        <v>537</v>
      </c>
      <c r="B3" s="438"/>
      <c r="C3" s="438"/>
      <c r="D3" s="438"/>
      <c r="E3" s="438"/>
      <c r="F3" s="438"/>
      <c r="G3" s="438"/>
      <c r="H3" s="438"/>
      <c r="I3" s="438"/>
      <c r="J3" s="438"/>
      <c r="K3" s="438"/>
      <c r="L3" s="438"/>
    </row>
    <row r="4" spans="1:12" ht="15">
      <c r="A4" s="438"/>
      <c r="B4" s="438"/>
      <c r="C4" s="438"/>
      <c r="D4" s="438"/>
      <c r="E4" s="438"/>
      <c r="F4" s="438"/>
      <c r="G4" s="438"/>
      <c r="H4" s="438"/>
      <c r="I4" s="438"/>
      <c r="J4" s="438"/>
      <c r="K4" s="438"/>
      <c r="L4" s="438"/>
    </row>
    <row r="5" spans="1:12" ht="15">
      <c r="A5" s="439" t="s">
        <v>426</v>
      </c>
      <c r="I5" s="438"/>
      <c r="J5" s="438"/>
      <c r="K5" s="438"/>
      <c r="L5" s="438"/>
    </row>
    <row r="6" spans="1:12" ht="15">
      <c r="A6" s="439" t="str">
        <f>CONCATENATE("estimated ",inputPrYr!C4-1," 'total expenditures' exceed your ",inputPrYr!C4-1,"")</f>
        <v>estimated 2011 'total expenditures' exceed your 2011</v>
      </c>
      <c r="I6" s="438"/>
      <c r="J6" s="438"/>
      <c r="K6" s="438"/>
      <c r="L6" s="438"/>
    </row>
    <row r="7" spans="1:12" ht="15">
      <c r="A7" s="442" t="s">
        <v>538</v>
      </c>
      <c r="I7" s="438"/>
      <c r="J7" s="438"/>
      <c r="K7" s="438"/>
      <c r="L7" s="438"/>
    </row>
    <row r="8" spans="1:12" ht="15">
      <c r="A8" s="439"/>
      <c r="I8" s="438"/>
      <c r="J8" s="438"/>
      <c r="K8" s="438"/>
      <c r="L8" s="438"/>
    </row>
    <row r="9" spans="1:12" ht="15">
      <c r="A9" s="439" t="s">
        <v>539</v>
      </c>
      <c r="I9" s="438"/>
      <c r="J9" s="438"/>
      <c r="K9" s="438"/>
      <c r="L9" s="438"/>
    </row>
    <row r="10" spans="1:12" ht="15">
      <c r="A10" s="439" t="s">
        <v>540</v>
      </c>
      <c r="I10" s="438"/>
      <c r="J10" s="438"/>
      <c r="K10" s="438"/>
      <c r="L10" s="438"/>
    </row>
    <row r="11" spans="1:12" ht="15">
      <c r="A11" s="439" t="s">
        <v>541</v>
      </c>
      <c r="I11" s="438"/>
      <c r="J11" s="438"/>
      <c r="K11" s="438"/>
      <c r="L11" s="438"/>
    </row>
    <row r="12" spans="1:12" ht="15">
      <c r="A12" s="439" t="s">
        <v>542</v>
      </c>
      <c r="I12" s="438"/>
      <c r="J12" s="438"/>
      <c r="K12" s="438"/>
      <c r="L12" s="438"/>
    </row>
    <row r="13" spans="1:12" ht="15">
      <c r="A13" s="439" t="s">
        <v>543</v>
      </c>
      <c r="I13" s="438"/>
      <c r="J13" s="438"/>
      <c r="K13" s="438"/>
      <c r="L13" s="438"/>
    </row>
    <row r="14" spans="1:12" ht="15">
      <c r="A14" s="438"/>
      <c r="B14" s="438"/>
      <c r="C14" s="438"/>
      <c r="D14" s="438"/>
      <c r="E14" s="438"/>
      <c r="F14" s="438"/>
      <c r="G14" s="438"/>
      <c r="H14" s="438"/>
      <c r="I14" s="438"/>
      <c r="J14" s="438"/>
      <c r="K14" s="438"/>
      <c r="L14" s="438"/>
    </row>
    <row r="15" ht="15">
      <c r="A15" s="440" t="s">
        <v>544</v>
      </c>
    </row>
    <row r="16" ht="15">
      <c r="A16" s="440" t="s">
        <v>545</v>
      </c>
    </row>
    <row r="17" ht="15">
      <c r="A17" s="440"/>
    </row>
    <row r="18" spans="1:7" ht="15">
      <c r="A18" s="439" t="s">
        <v>546</v>
      </c>
      <c r="B18" s="439"/>
      <c r="C18" s="439"/>
      <c r="D18" s="439"/>
      <c r="E18" s="439"/>
      <c r="F18" s="439"/>
      <c r="G18" s="439"/>
    </row>
    <row r="19" spans="1:7" ht="15">
      <c r="A19" s="439" t="str">
        <f>CONCATENATE("your ",inputPrYr!C4-1," numbers to see what steps might be necessary to")</f>
        <v>your 2011 numbers to see what steps might be necessary to</v>
      </c>
      <c r="B19" s="439"/>
      <c r="C19" s="439"/>
      <c r="D19" s="439"/>
      <c r="E19" s="439"/>
      <c r="F19" s="439"/>
      <c r="G19" s="439"/>
    </row>
    <row r="20" spans="1:7" ht="15">
      <c r="A20" s="439" t="s">
        <v>547</v>
      </c>
      <c r="B20" s="439"/>
      <c r="C20" s="439"/>
      <c r="D20" s="439"/>
      <c r="E20" s="439"/>
      <c r="F20" s="439"/>
      <c r="G20" s="439"/>
    </row>
    <row r="21" spans="1:7" ht="15">
      <c r="A21" s="439" t="s">
        <v>548</v>
      </c>
      <c r="B21" s="439"/>
      <c r="C21" s="439"/>
      <c r="D21" s="439"/>
      <c r="E21" s="439"/>
      <c r="F21" s="439"/>
      <c r="G21" s="439"/>
    </row>
    <row r="22" ht="15">
      <c r="A22" s="439"/>
    </row>
    <row r="23" ht="15">
      <c r="A23" s="440" t="s">
        <v>549</v>
      </c>
    </row>
    <row r="24" ht="15">
      <c r="A24" s="440"/>
    </row>
    <row r="25" ht="15">
      <c r="A25" s="439" t="s">
        <v>550</v>
      </c>
    </row>
    <row r="26" spans="1:6" ht="15">
      <c r="A26" s="439" t="s">
        <v>551</v>
      </c>
      <c r="B26" s="439"/>
      <c r="C26" s="439"/>
      <c r="D26" s="439"/>
      <c r="E26" s="439"/>
      <c r="F26" s="439"/>
    </row>
    <row r="27" spans="1:6" ht="15">
      <c r="A27" s="439" t="s">
        <v>552</v>
      </c>
      <c r="B27" s="439"/>
      <c r="C27" s="439"/>
      <c r="D27" s="439"/>
      <c r="E27" s="439"/>
      <c r="F27" s="439"/>
    </row>
    <row r="28" spans="1:6" ht="15">
      <c r="A28" s="439" t="s">
        <v>553</v>
      </c>
      <c r="B28" s="439"/>
      <c r="C28" s="439"/>
      <c r="D28" s="439"/>
      <c r="E28" s="439"/>
      <c r="F28" s="439"/>
    </row>
    <row r="29" spans="1:6" ht="15">
      <c r="A29" s="439"/>
      <c r="B29" s="439"/>
      <c r="C29" s="439"/>
      <c r="D29" s="439"/>
      <c r="E29" s="439"/>
      <c r="F29" s="439"/>
    </row>
    <row r="30" spans="1:7" ht="15">
      <c r="A30" s="440" t="s">
        <v>554</v>
      </c>
      <c r="B30" s="440"/>
      <c r="C30" s="440"/>
      <c r="D30" s="440"/>
      <c r="E30" s="440"/>
      <c r="F30" s="440"/>
      <c r="G30" s="440"/>
    </row>
    <row r="31" spans="1:7" ht="15">
      <c r="A31" s="440" t="s">
        <v>555</v>
      </c>
      <c r="B31" s="440"/>
      <c r="C31" s="440"/>
      <c r="D31" s="440"/>
      <c r="E31" s="440"/>
      <c r="F31" s="440"/>
      <c r="G31" s="440"/>
    </row>
    <row r="32" spans="1:6" ht="15">
      <c r="A32" s="439"/>
      <c r="B32" s="439"/>
      <c r="C32" s="439"/>
      <c r="D32" s="439"/>
      <c r="E32" s="439"/>
      <c r="F32" s="439"/>
    </row>
    <row r="33" spans="1:6" ht="15">
      <c r="A33" s="443" t="str">
        <f>CONCATENATE("Well, let's look to see if any of your ",inputPrYr!C4-1," expenditures can")</f>
        <v>Well, let's look to see if any of your 2011 expenditures can</v>
      </c>
      <c r="B33" s="439"/>
      <c r="C33" s="439"/>
      <c r="D33" s="439"/>
      <c r="E33" s="439"/>
      <c r="F33" s="439"/>
    </row>
    <row r="34" spans="1:6" ht="15">
      <c r="A34" s="443" t="s">
        <v>556</v>
      </c>
      <c r="B34" s="439"/>
      <c r="C34" s="439"/>
      <c r="D34" s="439"/>
      <c r="E34" s="439"/>
      <c r="F34" s="439"/>
    </row>
    <row r="35" spans="1:6" ht="15">
      <c r="A35" s="443" t="s">
        <v>440</v>
      </c>
      <c r="B35" s="439"/>
      <c r="C35" s="439"/>
      <c r="D35" s="439"/>
      <c r="E35" s="439"/>
      <c r="F35" s="439"/>
    </row>
    <row r="36" spans="1:6" ht="15">
      <c r="A36" s="443" t="s">
        <v>441</v>
      </c>
      <c r="B36" s="439"/>
      <c r="C36" s="439"/>
      <c r="D36" s="439"/>
      <c r="E36" s="439"/>
      <c r="F36" s="439"/>
    </row>
    <row r="37" spans="1:6" ht="15">
      <c r="A37" s="443"/>
      <c r="B37" s="439"/>
      <c r="C37" s="439"/>
      <c r="D37" s="439"/>
      <c r="E37" s="439"/>
      <c r="F37" s="439"/>
    </row>
    <row r="38" spans="1:6" ht="15">
      <c r="A38" s="443" t="str">
        <f>CONCATENATE("Additionally, do your ",inputPrYr!C4-1," receipts contain a reimbursement")</f>
        <v>Additionally, do your 2011 receipts contain a reimbursement</v>
      </c>
      <c r="B38" s="439"/>
      <c r="C38" s="439"/>
      <c r="D38" s="439"/>
      <c r="E38" s="439"/>
      <c r="F38" s="439"/>
    </row>
    <row r="39" spans="1:6" ht="15">
      <c r="A39" s="443" t="s">
        <v>442</v>
      </c>
      <c r="B39" s="439"/>
      <c r="C39" s="439"/>
      <c r="D39" s="439"/>
      <c r="E39" s="439"/>
      <c r="F39" s="439"/>
    </row>
    <row r="40" spans="1:6" ht="15">
      <c r="A40" s="443" t="s">
        <v>443</v>
      </c>
      <c r="B40" s="439"/>
      <c r="C40" s="439"/>
      <c r="D40" s="439"/>
      <c r="E40" s="439"/>
      <c r="F40" s="439"/>
    </row>
    <row r="41" spans="1:6" ht="15">
      <c r="A41" s="443"/>
      <c r="B41" s="439"/>
      <c r="C41" s="439"/>
      <c r="D41" s="439"/>
      <c r="E41" s="439"/>
      <c r="F41" s="439"/>
    </row>
    <row r="42" spans="1:6" ht="15">
      <c r="A42" s="443" t="s">
        <v>444</v>
      </c>
      <c r="B42" s="439"/>
      <c r="C42" s="439"/>
      <c r="D42" s="439"/>
      <c r="E42" s="439"/>
      <c r="F42" s="439"/>
    </row>
    <row r="43" spans="1:6" ht="15">
      <c r="A43" s="443" t="s">
        <v>445</v>
      </c>
      <c r="B43" s="439"/>
      <c r="C43" s="439"/>
      <c r="D43" s="439"/>
      <c r="E43" s="439"/>
      <c r="F43" s="439"/>
    </row>
    <row r="44" spans="1:6" ht="15">
      <c r="A44" s="443" t="s">
        <v>446</v>
      </c>
      <c r="B44" s="439"/>
      <c r="C44" s="439"/>
      <c r="D44" s="439"/>
      <c r="E44" s="439"/>
      <c r="F44" s="439"/>
    </row>
    <row r="45" spans="1:6" ht="15">
      <c r="A45" s="443" t="s">
        <v>557</v>
      </c>
      <c r="B45" s="439"/>
      <c r="C45" s="439"/>
      <c r="D45" s="439"/>
      <c r="E45" s="439"/>
      <c r="F45" s="439"/>
    </row>
    <row r="46" spans="1:6" ht="15">
      <c r="A46" s="443" t="s">
        <v>448</v>
      </c>
      <c r="B46" s="439"/>
      <c r="C46" s="439"/>
      <c r="D46" s="439"/>
      <c r="E46" s="439"/>
      <c r="F46" s="439"/>
    </row>
    <row r="47" spans="1:6" ht="15">
      <c r="A47" s="443" t="s">
        <v>558</v>
      </c>
      <c r="B47" s="439"/>
      <c r="C47" s="439"/>
      <c r="D47" s="439"/>
      <c r="E47" s="439"/>
      <c r="F47" s="439"/>
    </row>
    <row r="48" spans="1:6" ht="15">
      <c r="A48" s="443" t="s">
        <v>559</v>
      </c>
      <c r="B48" s="439"/>
      <c r="C48" s="439"/>
      <c r="D48" s="439"/>
      <c r="E48" s="439"/>
      <c r="F48" s="439"/>
    </row>
    <row r="49" spans="1:6" ht="15">
      <c r="A49" s="443" t="s">
        <v>451</v>
      </c>
      <c r="B49" s="439"/>
      <c r="C49" s="439"/>
      <c r="D49" s="439"/>
      <c r="E49" s="439"/>
      <c r="F49" s="439"/>
    </row>
    <row r="50" spans="1:6" ht="15">
      <c r="A50" s="443"/>
      <c r="B50" s="439"/>
      <c r="C50" s="439"/>
      <c r="D50" s="439"/>
      <c r="E50" s="439"/>
      <c r="F50" s="439"/>
    </row>
    <row r="51" spans="1:6" ht="15">
      <c r="A51" s="443" t="s">
        <v>452</v>
      </c>
      <c r="B51" s="439"/>
      <c r="C51" s="439"/>
      <c r="D51" s="439"/>
      <c r="E51" s="439"/>
      <c r="F51" s="439"/>
    </row>
    <row r="52" spans="1:6" ht="15">
      <c r="A52" s="443" t="s">
        <v>453</v>
      </c>
      <c r="B52" s="439"/>
      <c r="C52" s="439"/>
      <c r="D52" s="439"/>
      <c r="E52" s="439"/>
      <c r="F52" s="439"/>
    </row>
    <row r="53" spans="1:6" ht="15">
      <c r="A53" s="443" t="s">
        <v>454</v>
      </c>
      <c r="B53" s="439"/>
      <c r="C53" s="439"/>
      <c r="D53" s="439"/>
      <c r="E53" s="439"/>
      <c r="F53" s="439"/>
    </row>
    <row r="54" spans="1:6" ht="15">
      <c r="A54" s="443"/>
      <c r="B54" s="439"/>
      <c r="C54" s="439"/>
      <c r="D54" s="439"/>
      <c r="E54" s="439"/>
      <c r="F54" s="439"/>
    </row>
    <row r="55" spans="1:6" ht="15">
      <c r="A55" s="443" t="s">
        <v>560</v>
      </c>
      <c r="B55" s="439"/>
      <c r="C55" s="439"/>
      <c r="D55" s="439"/>
      <c r="E55" s="439"/>
      <c r="F55" s="439"/>
    </row>
    <row r="56" spans="1:6" ht="15">
      <c r="A56" s="443" t="s">
        <v>561</v>
      </c>
      <c r="B56" s="439"/>
      <c r="C56" s="439"/>
      <c r="D56" s="439"/>
      <c r="E56" s="439"/>
      <c r="F56" s="439"/>
    </row>
    <row r="57" spans="1:6" ht="15">
      <c r="A57" s="443" t="s">
        <v>562</v>
      </c>
      <c r="B57" s="439"/>
      <c r="C57" s="439"/>
      <c r="D57" s="439"/>
      <c r="E57" s="439"/>
      <c r="F57" s="439"/>
    </row>
    <row r="58" spans="1:6" ht="15">
      <c r="A58" s="443" t="s">
        <v>563</v>
      </c>
      <c r="B58" s="439"/>
      <c r="C58" s="439"/>
      <c r="D58" s="439"/>
      <c r="E58" s="439"/>
      <c r="F58" s="439"/>
    </row>
    <row r="59" spans="1:6" ht="15">
      <c r="A59" s="443" t="s">
        <v>564</v>
      </c>
      <c r="B59" s="439"/>
      <c r="C59" s="439"/>
      <c r="D59" s="439"/>
      <c r="E59" s="439"/>
      <c r="F59" s="439"/>
    </row>
    <row r="60" spans="1:6" ht="15">
      <c r="A60" s="443"/>
      <c r="B60" s="439"/>
      <c r="C60" s="439"/>
      <c r="D60" s="439"/>
      <c r="E60" s="439"/>
      <c r="F60" s="439"/>
    </row>
    <row r="61" spans="1:6" ht="15">
      <c r="A61" s="444" t="s">
        <v>565</v>
      </c>
      <c r="B61" s="439"/>
      <c r="C61" s="439"/>
      <c r="D61" s="439"/>
      <c r="E61" s="439"/>
      <c r="F61" s="439"/>
    </row>
    <row r="62" spans="1:6" ht="15">
      <c r="A62" s="444" t="s">
        <v>566</v>
      </c>
      <c r="B62" s="439"/>
      <c r="C62" s="439"/>
      <c r="D62" s="439"/>
      <c r="E62" s="439"/>
      <c r="F62" s="439"/>
    </row>
    <row r="63" spans="1:6" ht="15">
      <c r="A63" s="444" t="s">
        <v>567</v>
      </c>
      <c r="B63" s="439"/>
      <c r="C63" s="439"/>
      <c r="D63" s="439"/>
      <c r="E63" s="439"/>
      <c r="F63" s="439"/>
    </row>
    <row r="64" ht="15">
      <c r="A64" s="444" t="s">
        <v>568</v>
      </c>
    </row>
    <row r="65" ht="15">
      <c r="A65" s="444" t="s">
        <v>569</v>
      </c>
    </row>
    <row r="66" ht="15">
      <c r="A66" s="444" t="s">
        <v>570</v>
      </c>
    </row>
    <row r="68" ht="15">
      <c r="A68" s="439" t="s">
        <v>571</v>
      </c>
    </row>
    <row r="69" ht="15">
      <c r="A69" s="439" t="s">
        <v>572</v>
      </c>
    </row>
    <row r="70" ht="15">
      <c r="A70" s="439" t="s">
        <v>573</v>
      </c>
    </row>
    <row r="71" ht="15">
      <c r="A71" s="439" t="s">
        <v>574</v>
      </c>
    </row>
    <row r="72" ht="15">
      <c r="A72" s="439" t="s">
        <v>575</v>
      </c>
    </row>
    <row r="73" ht="15">
      <c r="A73" s="439" t="s">
        <v>576</v>
      </c>
    </row>
    <row r="75" ht="15">
      <c r="A75" s="439" t="s">
        <v>481</v>
      </c>
    </row>
  </sheetData>
  <sheetProtection sheet="1"/>
  <printOptions/>
  <pageMargins left="0.7" right="0.7" top="0.75" bottom="0.75" header="0.3" footer="0.3"/>
  <pageSetup horizontalDpi="600" verticalDpi="600" orientation="portrait" r:id="rId1"/>
</worksheet>
</file>

<file path=xl/worksheets/sheet4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H67" sqref="H67"/>
    </sheetView>
  </sheetViews>
  <sheetFormatPr defaultColWidth="8.796875" defaultRowHeight="15"/>
  <cols>
    <col min="1" max="1" width="71.296875" style="0" customWidth="1"/>
  </cols>
  <sheetData>
    <row r="3" spans="1:7" ht="15">
      <c r="A3" s="438" t="s">
        <v>577</v>
      </c>
      <c r="B3" s="438"/>
      <c r="C3" s="438"/>
      <c r="D3" s="438"/>
      <c r="E3" s="438"/>
      <c r="F3" s="438"/>
      <c r="G3" s="438"/>
    </row>
    <row r="4" spans="1:7" ht="15">
      <c r="A4" s="438"/>
      <c r="B4" s="438"/>
      <c r="C4" s="438"/>
      <c r="D4" s="438"/>
      <c r="E4" s="438"/>
      <c r="F4" s="438"/>
      <c r="G4" s="438"/>
    </row>
    <row r="5" ht="15">
      <c r="A5" s="439" t="s">
        <v>483</v>
      </c>
    </row>
    <row r="6" ht="15">
      <c r="A6" s="439" t="str">
        <f>CONCATENATE(inputPrYr!C4-1," estimated expenditures show that at the end of this year")</f>
        <v>2011 estimated expenditures show that at the end of this year</v>
      </c>
    </row>
    <row r="7" ht="15">
      <c r="A7" s="439" t="s">
        <v>578</v>
      </c>
    </row>
    <row r="8" ht="15">
      <c r="A8" s="439" t="s">
        <v>579</v>
      </c>
    </row>
    <row r="10" ht="15">
      <c r="A10" t="s">
        <v>485</v>
      </c>
    </row>
    <row r="11" ht="15">
      <c r="A11" t="s">
        <v>486</v>
      </c>
    </row>
    <row r="12" ht="15">
      <c r="A12" t="s">
        <v>487</v>
      </c>
    </row>
    <row r="13" spans="1:7" ht="15">
      <c r="A13" s="438"/>
      <c r="B13" s="438"/>
      <c r="C13" s="438"/>
      <c r="D13" s="438"/>
      <c r="E13" s="438"/>
      <c r="F13" s="438"/>
      <c r="G13" s="438"/>
    </row>
    <row r="14" ht="15">
      <c r="A14" s="440" t="s">
        <v>580</v>
      </c>
    </row>
    <row r="15" ht="15">
      <c r="A15" s="439"/>
    </row>
    <row r="16" ht="15">
      <c r="A16" s="439" t="s">
        <v>581</v>
      </c>
    </row>
    <row r="17" ht="15">
      <c r="A17" s="439" t="s">
        <v>582</v>
      </c>
    </row>
    <row r="18" ht="15">
      <c r="A18" s="439" t="s">
        <v>583</v>
      </c>
    </row>
    <row r="19" ht="15">
      <c r="A19" s="439"/>
    </row>
    <row r="20" ht="15">
      <c r="A20" s="439" t="s">
        <v>584</v>
      </c>
    </row>
    <row r="21" ht="15">
      <c r="A21" s="439" t="s">
        <v>585</v>
      </c>
    </row>
    <row r="22" ht="15">
      <c r="A22" s="439" t="s">
        <v>586</v>
      </c>
    </row>
    <row r="23" ht="15">
      <c r="A23" s="439" t="s">
        <v>587</v>
      </c>
    </row>
    <row r="24" ht="15">
      <c r="A24" s="439"/>
    </row>
    <row r="25" ht="15">
      <c r="A25" s="440" t="s">
        <v>549</v>
      </c>
    </row>
    <row r="26" ht="15">
      <c r="A26" s="440"/>
    </row>
    <row r="27" ht="15">
      <c r="A27" s="439" t="s">
        <v>550</v>
      </c>
    </row>
    <row r="28" spans="1:6" ht="15">
      <c r="A28" s="439" t="s">
        <v>551</v>
      </c>
      <c r="B28" s="439"/>
      <c r="C28" s="439"/>
      <c r="D28" s="439"/>
      <c r="E28" s="439"/>
      <c r="F28" s="439"/>
    </row>
    <row r="29" spans="1:6" ht="15">
      <c r="A29" s="439" t="s">
        <v>552</v>
      </c>
      <c r="B29" s="439"/>
      <c r="C29" s="439"/>
      <c r="D29" s="439"/>
      <c r="E29" s="439"/>
      <c r="F29" s="439"/>
    </row>
    <row r="30" spans="1:6" ht="15">
      <c r="A30" s="439" t="s">
        <v>553</v>
      </c>
      <c r="B30" s="439"/>
      <c r="C30" s="439"/>
      <c r="D30" s="439"/>
      <c r="E30" s="439"/>
      <c r="F30" s="439"/>
    </row>
    <row r="31" ht="15">
      <c r="A31" s="439"/>
    </row>
    <row r="32" spans="1:7" ht="15">
      <c r="A32" s="440" t="s">
        <v>554</v>
      </c>
      <c r="B32" s="440"/>
      <c r="C32" s="440"/>
      <c r="D32" s="440"/>
      <c r="E32" s="440"/>
      <c r="F32" s="440"/>
      <c r="G32" s="440"/>
    </row>
    <row r="33" spans="1:7" ht="15">
      <c r="A33" s="440" t="s">
        <v>555</v>
      </c>
      <c r="B33" s="440"/>
      <c r="C33" s="440"/>
      <c r="D33" s="440"/>
      <c r="E33" s="440"/>
      <c r="F33" s="440"/>
      <c r="G33" s="440"/>
    </row>
    <row r="34" spans="1:7" ht="15">
      <c r="A34" s="440"/>
      <c r="B34" s="440"/>
      <c r="C34" s="440"/>
      <c r="D34" s="440"/>
      <c r="E34" s="440"/>
      <c r="F34" s="440"/>
      <c r="G34" s="440"/>
    </row>
    <row r="35" spans="1:7" ht="15">
      <c r="A35" s="439" t="s">
        <v>588</v>
      </c>
      <c r="B35" s="439"/>
      <c r="C35" s="439"/>
      <c r="D35" s="439"/>
      <c r="E35" s="439"/>
      <c r="F35" s="439"/>
      <c r="G35" s="439"/>
    </row>
    <row r="36" spans="1:7" ht="15">
      <c r="A36" s="439" t="s">
        <v>589</v>
      </c>
      <c r="B36" s="439"/>
      <c r="C36" s="439"/>
      <c r="D36" s="439"/>
      <c r="E36" s="439"/>
      <c r="F36" s="439"/>
      <c r="G36" s="439"/>
    </row>
    <row r="37" spans="1:7" ht="15">
      <c r="A37" s="439" t="s">
        <v>590</v>
      </c>
      <c r="B37" s="439"/>
      <c r="C37" s="439"/>
      <c r="D37" s="439"/>
      <c r="E37" s="439"/>
      <c r="F37" s="439"/>
      <c r="G37" s="439"/>
    </row>
    <row r="38" spans="1:7" ht="15">
      <c r="A38" s="439" t="s">
        <v>591</v>
      </c>
      <c r="B38" s="439"/>
      <c r="C38" s="439"/>
      <c r="D38" s="439"/>
      <c r="E38" s="439"/>
      <c r="F38" s="439"/>
      <c r="G38" s="439"/>
    </row>
    <row r="39" spans="1:7" ht="15">
      <c r="A39" s="439" t="s">
        <v>592</v>
      </c>
      <c r="B39" s="439"/>
      <c r="C39" s="439"/>
      <c r="D39" s="439"/>
      <c r="E39" s="439"/>
      <c r="F39" s="439"/>
      <c r="G39" s="439"/>
    </row>
    <row r="40" spans="1:7" ht="15">
      <c r="A40" s="440"/>
      <c r="B40" s="440"/>
      <c r="C40" s="440"/>
      <c r="D40" s="440"/>
      <c r="E40" s="440"/>
      <c r="F40" s="440"/>
      <c r="G40" s="440"/>
    </row>
    <row r="41" spans="1:6" ht="15">
      <c r="A41" s="443" t="str">
        <f>CONCATENATE("So, let's look to see if any of your ",inputPrYr!C4-1," expenditures can")</f>
        <v>So, let's look to see if any of your 2011 expenditures can</v>
      </c>
      <c r="B41" s="439"/>
      <c r="C41" s="439"/>
      <c r="D41" s="439"/>
      <c r="E41" s="439"/>
      <c r="F41" s="439"/>
    </row>
    <row r="42" spans="1:6" ht="15">
      <c r="A42" s="443" t="s">
        <v>556</v>
      </c>
      <c r="B42" s="439"/>
      <c r="C42" s="439"/>
      <c r="D42" s="439"/>
      <c r="E42" s="439"/>
      <c r="F42" s="439"/>
    </row>
    <row r="43" spans="1:6" ht="15">
      <c r="A43" s="443" t="s">
        <v>440</v>
      </c>
      <c r="B43" s="439"/>
      <c r="C43" s="439"/>
      <c r="D43" s="439"/>
      <c r="E43" s="439"/>
      <c r="F43" s="439"/>
    </row>
    <row r="44" spans="1:6" ht="15">
      <c r="A44" s="443" t="s">
        <v>441</v>
      </c>
      <c r="B44" s="439"/>
      <c r="C44" s="439"/>
      <c r="D44" s="439"/>
      <c r="E44" s="439"/>
      <c r="F44" s="439"/>
    </row>
    <row r="45" ht="15">
      <c r="A45" s="439"/>
    </row>
    <row r="46" spans="1:6" ht="15">
      <c r="A46" s="443" t="str">
        <f>CONCATENATE("Additionally, do your ",inputPrYr!C4-1," receipts contain a reimbursement")</f>
        <v>Additionally, do your 2011 receipts contain a reimbursement</v>
      </c>
      <c r="B46" s="439"/>
      <c r="C46" s="439"/>
      <c r="D46" s="439"/>
      <c r="E46" s="439"/>
      <c r="F46" s="439"/>
    </row>
    <row r="47" spans="1:6" ht="15">
      <c r="A47" s="443" t="s">
        <v>442</v>
      </c>
      <c r="B47" s="439"/>
      <c r="C47" s="439"/>
      <c r="D47" s="439"/>
      <c r="E47" s="439"/>
      <c r="F47" s="439"/>
    </row>
    <row r="48" spans="1:6" ht="15">
      <c r="A48" s="443" t="s">
        <v>443</v>
      </c>
      <c r="B48" s="439"/>
      <c r="C48" s="439"/>
      <c r="D48" s="439"/>
      <c r="E48" s="439"/>
      <c r="F48" s="439"/>
    </row>
    <row r="49" spans="1:7" ht="15">
      <c r="A49" s="439"/>
      <c r="B49" s="439"/>
      <c r="C49" s="439"/>
      <c r="D49" s="439"/>
      <c r="E49" s="439"/>
      <c r="F49" s="439"/>
      <c r="G49" s="439"/>
    </row>
    <row r="50" spans="1:7" ht="15">
      <c r="A50" s="439" t="s">
        <v>510</v>
      </c>
      <c r="B50" s="439"/>
      <c r="C50" s="439"/>
      <c r="D50" s="439"/>
      <c r="E50" s="439"/>
      <c r="F50" s="439"/>
      <c r="G50" s="439"/>
    </row>
    <row r="51" spans="1:7" ht="15">
      <c r="A51" s="439" t="s">
        <v>511</v>
      </c>
      <c r="B51" s="439"/>
      <c r="C51" s="439"/>
      <c r="D51" s="439"/>
      <c r="E51" s="439"/>
      <c r="F51" s="439"/>
      <c r="G51" s="439"/>
    </row>
    <row r="52" spans="1:7" ht="15">
      <c r="A52" s="439" t="s">
        <v>512</v>
      </c>
      <c r="B52" s="439"/>
      <c r="C52" s="439"/>
      <c r="D52" s="439"/>
      <c r="E52" s="439"/>
      <c r="F52" s="439"/>
      <c r="G52" s="439"/>
    </row>
    <row r="53" spans="1:7" ht="15">
      <c r="A53" s="439" t="s">
        <v>513</v>
      </c>
      <c r="B53" s="439"/>
      <c r="C53" s="439"/>
      <c r="D53" s="439"/>
      <c r="E53" s="439"/>
      <c r="F53" s="439"/>
      <c r="G53" s="439"/>
    </row>
    <row r="54" spans="1:7" ht="15">
      <c r="A54" s="439" t="s">
        <v>514</v>
      </c>
      <c r="B54" s="439"/>
      <c r="C54" s="439"/>
      <c r="D54" s="439"/>
      <c r="E54" s="439"/>
      <c r="F54" s="439"/>
      <c r="G54" s="439"/>
    </row>
    <row r="55" spans="1:7" ht="15">
      <c r="A55" s="439"/>
      <c r="B55" s="439"/>
      <c r="C55" s="439"/>
      <c r="D55" s="439"/>
      <c r="E55" s="439"/>
      <c r="F55" s="439"/>
      <c r="G55" s="439"/>
    </row>
    <row r="56" spans="1:6" ht="15">
      <c r="A56" s="443" t="s">
        <v>452</v>
      </c>
      <c r="B56" s="439"/>
      <c r="C56" s="439"/>
      <c r="D56" s="439"/>
      <c r="E56" s="439"/>
      <c r="F56" s="439"/>
    </row>
    <row r="57" spans="1:6" ht="15">
      <c r="A57" s="443" t="s">
        <v>453</v>
      </c>
      <c r="B57" s="439"/>
      <c r="C57" s="439"/>
      <c r="D57" s="439"/>
      <c r="E57" s="439"/>
      <c r="F57" s="439"/>
    </row>
    <row r="58" spans="1:6" ht="15">
      <c r="A58" s="443" t="s">
        <v>454</v>
      </c>
      <c r="B58" s="439"/>
      <c r="C58" s="439"/>
      <c r="D58" s="439"/>
      <c r="E58" s="439"/>
      <c r="F58" s="439"/>
    </row>
    <row r="59" spans="1:6" ht="15">
      <c r="A59" s="443"/>
      <c r="B59" s="439"/>
      <c r="C59" s="439"/>
      <c r="D59" s="439"/>
      <c r="E59" s="439"/>
      <c r="F59" s="439"/>
    </row>
    <row r="60" spans="1:7" ht="15">
      <c r="A60" s="439" t="s">
        <v>593</v>
      </c>
      <c r="B60" s="439"/>
      <c r="C60" s="439"/>
      <c r="D60" s="439"/>
      <c r="E60" s="439"/>
      <c r="F60" s="439"/>
      <c r="G60" s="439"/>
    </row>
    <row r="61" spans="1:7" ht="15">
      <c r="A61" s="439" t="s">
        <v>594</v>
      </c>
      <c r="B61" s="439"/>
      <c r="C61" s="439"/>
      <c r="D61" s="439"/>
      <c r="E61" s="439"/>
      <c r="F61" s="439"/>
      <c r="G61" s="439"/>
    </row>
    <row r="62" spans="1:7" ht="15">
      <c r="A62" s="439" t="s">
        <v>595</v>
      </c>
      <c r="B62" s="439"/>
      <c r="C62" s="439"/>
      <c r="D62" s="439"/>
      <c r="E62" s="439"/>
      <c r="F62" s="439"/>
      <c r="G62" s="439"/>
    </row>
    <row r="63" spans="1:7" ht="15">
      <c r="A63" s="439" t="s">
        <v>596</v>
      </c>
      <c r="B63" s="439"/>
      <c r="C63" s="439"/>
      <c r="D63" s="439"/>
      <c r="E63" s="439"/>
      <c r="F63" s="439"/>
      <c r="G63" s="439"/>
    </row>
    <row r="64" spans="1:7" ht="15">
      <c r="A64" s="439" t="s">
        <v>597</v>
      </c>
      <c r="B64" s="439"/>
      <c r="C64" s="439"/>
      <c r="D64" s="439"/>
      <c r="E64" s="439"/>
      <c r="F64" s="439"/>
      <c r="G64" s="439"/>
    </row>
    <row r="66" spans="1:6" ht="15">
      <c r="A66" s="443" t="s">
        <v>560</v>
      </c>
      <c r="B66" s="439"/>
      <c r="C66" s="439"/>
      <c r="D66" s="439"/>
      <c r="E66" s="439"/>
      <c r="F66" s="439"/>
    </row>
    <row r="67" spans="1:6" ht="15">
      <c r="A67" s="443" t="s">
        <v>561</v>
      </c>
      <c r="B67" s="439"/>
      <c r="C67" s="439"/>
      <c r="D67" s="439"/>
      <c r="E67" s="439"/>
      <c r="F67" s="439"/>
    </row>
    <row r="68" spans="1:6" ht="15">
      <c r="A68" s="443" t="s">
        <v>562</v>
      </c>
      <c r="B68" s="439"/>
      <c r="C68" s="439"/>
      <c r="D68" s="439"/>
      <c r="E68" s="439"/>
      <c r="F68" s="439"/>
    </row>
    <row r="69" spans="1:6" ht="15">
      <c r="A69" s="443" t="s">
        <v>563</v>
      </c>
      <c r="B69" s="439"/>
      <c r="C69" s="439"/>
      <c r="D69" s="439"/>
      <c r="E69" s="439"/>
      <c r="F69" s="439"/>
    </row>
    <row r="70" spans="1:6" ht="15">
      <c r="A70" s="443" t="s">
        <v>564</v>
      </c>
      <c r="B70" s="439"/>
      <c r="C70" s="439"/>
      <c r="D70" s="439"/>
      <c r="E70" s="439"/>
      <c r="F70" s="439"/>
    </row>
    <row r="71" ht="15">
      <c r="A71" s="439"/>
    </row>
    <row r="72" ht="15">
      <c r="A72" s="439" t="s">
        <v>481</v>
      </c>
    </row>
    <row r="73" ht="15">
      <c r="A73" s="439"/>
    </row>
    <row r="74" ht="15">
      <c r="A74" s="439"/>
    </row>
    <row r="75" ht="15">
      <c r="A75" s="439"/>
    </row>
    <row r="78" ht="15">
      <c r="A78" s="440"/>
    </row>
    <row r="80" ht="15">
      <c r="A80" s="439"/>
    </row>
    <row r="81" ht="15">
      <c r="A81" s="439"/>
    </row>
    <row r="82" ht="15">
      <c r="A82" s="439"/>
    </row>
    <row r="83" ht="15">
      <c r="A83" s="439"/>
    </row>
    <row r="84" ht="15">
      <c r="A84" s="439"/>
    </row>
    <row r="85" ht="15">
      <c r="A85" s="439"/>
    </row>
    <row r="86" ht="15">
      <c r="A86" s="439"/>
    </row>
    <row r="87" ht="15">
      <c r="A87" s="439"/>
    </row>
    <row r="88" ht="15">
      <c r="A88" s="439"/>
    </row>
    <row r="89" ht="15">
      <c r="A89" s="439"/>
    </row>
    <row r="90" ht="15">
      <c r="A90" s="439"/>
    </row>
    <row r="92" ht="15">
      <c r="A92" s="439"/>
    </row>
    <row r="93" ht="15">
      <c r="A93" s="439"/>
    </row>
    <row r="94" ht="15">
      <c r="A94" s="439"/>
    </row>
    <row r="95" ht="15">
      <c r="A95" s="439"/>
    </row>
    <row r="96" ht="15">
      <c r="A96" s="439"/>
    </row>
    <row r="97" ht="15">
      <c r="A97" s="439"/>
    </row>
    <row r="98" ht="15">
      <c r="A98" s="439"/>
    </row>
    <row r="99" ht="15">
      <c r="A99" s="439"/>
    </row>
    <row r="100" ht="15">
      <c r="A100" s="439"/>
    </row>
    <row r="101" ht="15">
      <c r="A101" s="439"/>
    </row>
    <row r="102" ht="15">
      <c r="A102" s="439"/>
    </row>
    <row r="103" ht="15">
      <c r="A103" s="439"/>
    </row>
    <row r="104" ht="15">
      <c r="A104" s="439"/>
    </row>
    <row r="105" ht="15">
      <c r="A105" s="439"/>
    </row>
    <row r="106" ht="15">
      <c r="A106" s="439"/>
    </row>
  </sheetData>
  <sheetProtection sheet="1"/>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F84"/>
  <sheetViews>
    <sheetView zoomScalePageLayoutView="0" workbookViewId="0" topLeftCell="A31">
      <selection activeCell="H67" sqref="H67"/>
    </sheetView>
  </sheetViews>
  <sheetFormatPr defaultColWidth="8.796875" defaultRowHeight="15"/>
  <cols>
    <col min="1" max="1" width="20.796875" style="166" customWidth="1"/>
    <col min="2" max="2" width="9.796875" style="166" customWidth="1"/>
    <col min="3" max="3" width="5.796875" style="166" customWidth="1"/>
    <col min="4" max="6" width="15.796875" style="166" customWidth="1"/>
    <col min="7" max="16384" width="8.8984375" style="166" customWidth="1"/>
  </cols>
  <sheetData>
    <row r="1" spans="1:6" ht="12.75">
      <c r="A1" s="165"/>
      <c r="B1" s="165"/>
      <c r="C1" s="165"/>
      <c r="D1" s="165"/>
      <c r="E1" s="165"/>
      <c r="F1" s="165"/>
    </row>
    <row r="2" spans="1:6" ht="12.75">
      <c r="A2" s="745" t="s">
        <v>233</v>
      </c>
      <c r="B2" s="745"/>
      <c r="C2" s="745"/>
      <c r="D2" s="745"/>
      <c r="E2" s="745"/>
      <c r="F2" s="745"/>
    </row>
    <row r="3" spans="1:6" ht="15" customHeight="1">
      <c r="A3" s="167"/>
      <c r="B3" s="167"/>
      <c r="C3" s="167"/>
      <c r="D3" s="167"/>
      <c r="E3" s="167"/>
      <c r="F3" s="165">
        <f>inputPrYr!C4</f>
        <v>2012</v>
      </c>
    </row>
    <row r="4" spans="1:6" ht="15">
      <c r="A4" s="750" t="str">
        <f>CONCATENATE("To the Clerk of ",inputPrYr!C2,", State of Kansas")</f>
        <v>To the Clerk of Geary County, State of Kansas</v>
      </c>
      <c r="B4" s="751"/>
      <c r="C4" s="751"/>
      <c r="D4" s="751"/>
      <c r="E4" s="751"/>
      <c r="F4" s="751"/>
    </row>
    <row r="5" spans="1:6" ht="15">
      <c r="A5" s="750" t="s">
        <v>5</v>
      </c>
      <c r="B5" s="752"/>
      <c r="C5" s="752"/>
      <c r="D5" s="752"/>
      <c r="E5" s="752"/>
      <c r="F5" s="752"/>
    </row>
    <row r="6" spans="1:6" ht="15">
      <c r="A6" s="748" t="str">
        <f>(inputPrYr!C2)</f>
        <v>Geary County</v>
      </c>
      <c r="B6" s="749"/>
      <c r="C6" s="749"/>
      <c r="D6" s="749"/>
      <c r="E6" s="749"/>
      <c r="F6" s="749"/>
    </row>
    <row r="7" spans="1:6" ht="12.75">
      <c r="A7" s="169" t="s">
        <v>136</v>
      </c>
      <c r="B7" s="170"/>
      <c r="C7" s="170"/>
      <c r="D7" s="170"/>
      <c r="E7" s="170"/>
      <c r="F7" s="170"/>
    </row>
    <row r="8" spans="1:6" ht="12.75">
      <c r="A8" s="169" t="s">
        <v>137</v>
      </c>
      <c r="B8" s="170"/>
      <c r="C8" s="170"/>
      <c r="D8" s="170"/>
      <c r="E8" s="170"/>
      <c r="F8" s="170"/>
    </row>
    <row r="9" spans="1:6" ht="12.75">
      <c r="A9" s="169" t="str">
        <f>CONCATENATE("maximum expenditure for the various funds for the year ",F3,"; and")</f>
        <v>maximum expenditure for the various funds for the year 2012; and</v>
      </c>
      <c r="B9" s="170"/>
      <c r="C9" s="170"/>
      <c r="D9" s="170"/>
      <c r="E9" s="170"/>
      <c r="F9" s="170"/>
    </row>
    <row r="10" spans="1:6" ht="12.75">
      <c r="A10" s="169" t="str">
        <f>CONCATENATE("(3) the Amount(s) of ",F3-1," Ad Valorem Tax are within statutory limitations.")</f>
        <v>(3) the Amount(s) of 2011 Ad Valorem Tax are within statutory limitations.</v>
      </c>
      <c r="B10" s="170"/>
      <c r="C10" s="170"/>
      <c r="D10" s="170"/>
      <c r="E10" s="170"/>
      <c r="F10" s="170"/>
    </row>
    <row r="11" spans="1:6" ht="8.25" customHeight="1">
      <c r="A11" s="171"/>
      <c r="B11" s="167"/>
      <c r="C11" s="167"/>
      <c r="D11" s="172"/>
      <c r="E11" s="172"/>
      <c r="F11" s="172"/>
    </row>
    <row r="12" spans="1:6" ht="12.75">
      <c r="A12" s="167"/>
      <c r="B12" s="167"/>
      <c r="C12" s="167"/>
      <c r="D12" s="173" t="str">
        <f>CONCATENATE("",F3," Adopted Budget")</f>
        <v>2012 Adopted Budget</v>
      </c>
      <c r="E12" s="174"/>
      <c r="F12" s="175"/>
    </row>
    <row r="13" spans="1:6" ht="13.5" customHeight="1">
      <c r="A13" s="167"/>
      <c r="B13" s="167"/>
      <c r="C13" s="176" t="s">
        <v>138</v>
      </c>
      <c r="D13" s="504" t="s">
        <v>675</v>
      </c>
      <c r="E13" s="746" t="str">
        <f>CONCATENATE("Amount of ",F3-1,"               Ad Valorem Tax")</f>
        <v>Amount of 2011               Ad Valorem Tax</v>
      </c>
      <c r="F13" s="176" t="s">
        <v>139</v>
      </c>
    </row>
    <row r="14" spans="1:6" ht="12.75" customHeight="1">
      <c r="A14" s="177" t="s">
        <v>140</v>
      </c>
      <c r="B14" s="178"/>
      <c r="C14" s="179" t="s">
        <v>141</v>
      </c>
      <c r="D14" s="503" t="s">
        <v>676</v>
      </c>
      <c r="E14" s="747"/>
      <c r="F14" s="179" t="s">
        <v>143</v>
      </c>
    </row>
    <row r="15" spans="1:6" ht="12.75">
      <c r="A15" s="180" t="str">
        <f>CONCATENATE("Computation to Determine Limit for ",F3,"")</f>
        <v>Computation to Determine Limit for 2012</v>
      </c>
      <c r="B15" s="178"/>
      <c r="C15" s="179">
        <v>2</v>
      </c>
      <c r="D15" s="181"/>
      <c r="E15" s="181"/>
      <c r="F15" s="181"/>
    </row>
    <row r="16" spans="1:6" ht="12.75">
      <c r="A16" s="182" t="s">
        <v>65</v>
      </c>
      <c r="B16" s="183"/>
      <c r="C16" s="179">
        <v>3</v>
      </c>
      <c r="D16" s="181"/>
      <c r="E16" s="181"/>
      <c r="F16" s="181"/>
    </row>
    <row r="17" spans="1:6" ht="12.75">
      <c r="A17" s="184" t="s">
        <v>286</v>
      </c>
      <c r="B17" s="185"/>
      <c r="C17" s="186">
        <v>4</v>
      </c>
      <c r="D17" s="181"/>
      <c r="E17" s="181"/>
      <c r="F17" s="181"/>
    </row>
    <row r="18" spans="1:6" ht="12.75">
      <c r="A18" s="184" t="s">
        <v>144</v>
      </c>
      <c r="B18" s="185"/>
      <c r="C18" s="187">
        <v>5</v>
      </c>
      <c r="D18" s="188"/>
      <c r="E18" s="188"/>
      <c r="F18" s="188"/>
    </row>
    <row r="19" spans="1:6" ht="12.75">
      <c r="A19" s="184" t="s">
        <v>145</v>
      </c>
      <c r="B19" s="185"/>
      <c r="C19" s="189">
        <v>6</v>
      </c>
      <c r="D19" s="188"/>
      <c r="E19" s="188"/>
      <c r="F19" s="188"/>
    </row>
    <row r="20" spans="1:6" ht="12.75">
      <c r="A20" s="190" t="s">
        <v>146</v>
      </c>
      <c r="B20" s="191" t="s">
        <v>147</v>
      </c>
      <c r="C20" s="192"/>
      <c r="D20" s="193"/>
      <c r="E20" s="193"/>
      <c r="F20" s="193"/>
    </row>
    <row r="21" spans="1:6" ht="15.75">
      <c r="A21" s="180" t="str">
        <f>inputPrYr!B16</f>
        <v>General</v>
      </c>
      <c r="B21" s="194" t="str">
        <f>inputPrYr!C16</f>
        <v>79-1946</v>
      </c>
      <c r="C21" s="187">
        <v>7</v>
      </c>
      <c r="D21" s="195">
        <f>IF(general!$E$113&lt;&gt;0,general!$E$113,"  ")</f>
        <v>10000927</v>
      </c>
      <c r="E21" s="579">
        <f>IF(general!$E$120&lt;&gt;0,general!$E$120,0)</f>
        <v>5009863.305</v>
      </c>
      <c r="F21" s="196" t="str">
        <f>IF(AND(general!E120=0,$F$71&gt;=0)," ",IF(AND(E21&gt;0,$F$71=0)," ",IF(AND(E21&gt;0,$F$71&gt;0),ROUND(E21/$F$71*1000,3))))</f>
        <v> </v>
      </c>
    </row>
    <row r="22" spans="1:6" ht="15.75">
      <c r="A22" s="180" t="str">
        <f>inputPrYr!B17</f>
        <v>Debt Service (14)</v>
      </c>
      <c r="B22" s="194" t="str">
        <f>inputPrYr!C17</f>
        <v>10-113</v>
      </c>
      <c r="C22" s="197">
        <f>IF(DebtService!C55&gt;0,DebtService!C55,"")</f>
        <v>8</v>
      </c>
      <c r="D22" s="195">
        <f>IF(DebtService!$E$46&lt;&gt;0,DebtService!$E$46,"  ")</f>
        <v>222</v>
      </c>
      <c r="E22" s="579">
        <f>IF(DebtService!$E$53&lt;&gt;0,DebtService!$E$53,0)</f>
        <v>0</v>
      </c>
      <c r="F22" s="196" t="str">
        <f>IF(AND(DebtService!E53=0,$F$71&gt;=0)," ",IF(AND(E22&gt;0,$F$71=0)," ",IF(AND(E22&gt;0,$F$71&gt;0),ROUND(E22/$F$71*1000,3))))</f>
        <v> </v>
      </c>
    </row>
    <row r="23" spans="1:6" ht="15.75">
      <c r="A23" s="180" t="str">
        <f>inputPrYr!B18</f>
        <v>Road &amp; Bridge</v>
      </c>
      <c r="B23" s="194" t="str">
        <f>inputPrYr!C18</f>
        <v>79-1946</v>
      </c>
      <c r="C23" s="187">
        <f>IF(road!C61&gt;0,road!C61,"")</f>
        <v>9</v>
      </c>
      <c r="D23" s="195">
        <f>IF(road!$E$52&lt;&gt;0,road!$E$52,"  ")</f>
        <v>2945939</v>
      </c>
      <c r="E23" s="579">
        <f>IF(road!$E$59&lt;&gt;0,road!$E$59,0)</f>
        <v>1148278.74</v>
      </c>
      <c r="F23" s="196" t="str">
        <f>IF(AND(road!E59=0,$F$71&gt;=0)," ",IF(AND(E23&gt;0,$F$71=0)," ",IF(AND(E23&gt;0,$F$71&gt;0),ROUND(E23/$F$71*1000,3))))</f>
        <v> </v>
      </c>
    </row>
    <row r="24" spans="1:6" ht="15.75">
      <c r="A24" s="195" t="str">
        <f>IF((inputPrYr!$B19&gt;"  "),(inputPrYr!$B19),"  ")</f>
        <v>Noxious Weed (5)</v>
      </c>
      <c r="B24" s="194" t="str">
        <f>IF((inputPrYr!C19&gt;0),(inputPrYr!C19),"  ")</f>
        <v>2-1318</v>
      </c>
      <c r="C24" s="187">
        <f>IF('levy page10'!C77&gt;0,'levy page10'!C77,"  ")</f>
        <v>10</v>
      </c>
      <c r="D24" s="195">
        <f>IF('levy page10'!$E$35&lt;&gt;0,'levy page10'!$E$35,"  ")</f>
        <v>190337</v>
      </c>
      <c r="E24" s="579">
        <f>IF('levy page10'!$E$42&lt;&gt;0,'levy page10'!$E$42,0)</f>
        <v>83606</v>
      </c>
      <c r="F24" s="196" t="str">
        <f>IF(AND('levy page10'!E42=0,$F$71&gt;=0)," ",IF(AND(E24&gt;0,$F$71=0)," ",IF(AND(E24&gt;0,$F$71&gt;0),ROUND(E24/$F$71*1000,3))))</f>
        <v> </v>
      </c>
    </row>
    <row r="25" spans="1:6" ht="15.75">
      <c r="A25" s="195" t="str">
        <f>IF((inputPrYr!$B20&gt;"  "),(inputPrYr!$B20),"  ")</f>
        <v>Health Fund (6)</v>
      </c>
      <c r="B25" s="194" t="str">
        <f>IF((inputPrYr!C20&gt;0),(inputPrYr!C20),"  ")</f>
        <v>65-204</v>
      </c>
      <c r="C25" s="187">
        <f>IF('levy page10'!C77&gt;0,'levy page10'!C77,"  ")</f>
        <v>10</v>
      </c>
      <c r="D25" s="195">
        <f>IF('levy page10'!$E$69&lt;&gt;0,'levy page10'!$E$69,"  ")</f>
        <v>329218</v>
      </c>
      <c r="E25" s="579">
        <f>IF('levy page10'!$E$76&lt;&gt;0,'levy page10'!$E$76,0)</f>
        <v>311984</v>
      </c>
      <c r="F25" s="196" t="str">
        <f>IF(AND('levy page10'!E76=0,$F$71&gt;=0)," ",IF(AND(E25&gt;0,$F$71=0)," ",IF(AND(E25&gt;0,$F$71&gt;0),ROUND(E25/$F$71*1000,3))))</f>
        <v> </v>
      </c>
    </row>
    <row r="26" spans="1:6" ht="15.75">
      <c r="A26" s="195" t="str">
        <f>IF((inputPrYr!$B21&gt;"  "),(inputPrYr!$B21),"  ")</f>
        <v>Special Bridge (4)</v>
      </c>
      <c r="B26" s="194" t="str">
        <f>IF((inputPrYr!C21&gt;0),(inputPrYr!C21),"  ")</f>
        <v>68-1103</v>
      </c>
      <c r="C26" s="187">
        <f>IF('levy page11'!C73&gt;0,'levy page11'!C73,"  ")</f>
        <v>11</v>
      </c>
      <c r="D26" s="195">
        <f>IF('levy page11'!$E$31&lt;&gt;0,'levy page11'!$E$31,"  ")</f>
        <v>383325</v>
      </c>
      <c r="E26" s="579">
        <f>IF('levy page11'!$E$38&lt;&gt;0,'levy page11'!$E$38,0)</f>
        <v>0</v>
      </c>
      <c r="F26" s="196" t="str">
        <f>IF(AND('levy page11'!E38=0,$F$71&gt;=0)," ",IF(AND(E26&gt;0,$F$71=0)," ",IF(AND(E26&gt;0,$F$71&gt;0),ROUND(E26/$F$71*1000,3))))</f>
        <v> </v>
      </c>
    </row>
    <row r="27" spans="1:6" ht="15.75">
      <c r="A27" s="195" t="str">
        <f>IF((inputPrYr!$B22&gt;"  "),(inputPrYr!$B22),"  ")</f>
        <v>Extension Council (7)</v>
      </c>
      <c r="B27" s="194" t="str">
        <f>IF((inputPrYr!C22&gt;0),(inputPrYr!C22),"  ")</f>
        <v>2-625</v>
      </c>
      <c r="C27" s="187">
        <f>IF('levy page11'!C73&gt;0,'levy page11'!C73,"  ")</f>
        <v>11</v>
      </c>
      <c r="D27" s="195">
        <f>IF('levy page11'!$E$65&lt;&gt;0,'levy page11'!$E$65,"  ")</f>
        <v>284424</v>
      </c>
      <c r="E27" s="579">
        <f>IF('levy page11'!$E$72&lt;&gt;0,'levy page11'!$E$72,0)</f>
        <v>262280</v>
      </c>
      <c r="F27" s="196" t="str">
        <f>IF(AND('levy page11'!E72=0,$F$71&gt;=0)," ",IF(AND(E27&gt;0,$F$71=0)," ",IF(AND(E27&gt;0,$F$71&gt;0),ROUND(E27/$F$71*1000,3))))</f>
        <v> </v>
      </c>
    </row>
    <row r="28" spans="1:6" ht="15.75">
      <c r="A28" s="195" t="str">
        <f>IF((inputPrYr!$B23&gt;"  "),(inputPrYr!$B23),"  ")</f>
        <v>Free Fair (60)</v>
      </c>
      <c r="B28" s="194" t="str">
        <f>IF((inputPrYr!C23&gt;0),(inputPrYr!C23),"  ")</f>
        <v>19-1561</v>
      </c>
      <c r="C28" s="187">
        <f>IF('levy page12'!C75&gt;0,'levy page12'!C75,"  ")</f>
        <v>12</v>
      </c>
      <c r="D28" s="195">
        <f>IF('levy page12'!$E$29&lt;&gt;0,'levy page12'!$E$29,"  ")</f>
        <v>14250</v>
      </c>
      <c r="E28" s="579">
        <f>IF('levy page12'!$E$36&lt;&gt;0,'levy page12'!$E$36,0)</f>
        <v>11443</v>
      </c>
      <c r="F28" s="196" t="str">
        <f>IF(AND('levy page12'!E36=0,$F$71&gt;=0)," ",IF(AND(E28&gt;0,$F$71=0)," ",IF(AND(E28&gt;0,$F$71&gt;0),ROUND(E28/$F$71*1000,3))))</f>
        <v> </v>
      </c>
    </row>
    <row r="29" spans="1:6" ht="15.75">
      <c r="A29" s="195" t="str">
        <f>IF((inputPrYr!$B24&gt;"  "),(inputPrYr!$B24),"  ")</f>
        <v>Animal Shelter (29)</v>
      </c>
      <c r="B29" s="194" t="str">
        <f>IF((inputPrYr!C24&gt;0),(inputPrYr!C24),"  ")</f>
        <v>65-204</v>
      </c>
      <c r="C29" s="187">
        <f>IF('levy page12'!C75&gt;0,'levy page12'!C75,"  ")</f>
        <v>12</v>
      </c>
      <c r="D29" s="195">
        <f>IF('levy page12'!$E$67&lt;&gt;0,'levy page12'!$E$67,"  ")</f>
        <v>193530</v>
      </c>
      <c r="E29" s="579">
        <f>IF('levy page12'!$E$74&lt;&gt;0,'levy page12'!$E$74,0)</f>
        <v>75409</v>
      </c>
      <c r="F29" s="196" t="str">
        <f>IF(AND('levy page12'!E74=0,$F$71&gt;=0)," ",IF(AND(E29&gt;0,$F$71=0)," ",IF(AND(E29&gt;0,$F$71&gt;0),ROUND(E29/$F$71*1000,3))))</f>
        <v> </v>
      </c>
    </row>
    <row r="30" spans="1:6" ht="15.75">
      <c r="A30" s="195" t="str">
        <f>IF((inputPrYr!$B25&gt;"  "),(inputPrYr!$B25),"  ")</f>
        <v>Mental Health (10)</v>
      </c>
      <c r="B30" s="194" t="str">
        <f>IF((inputPrYr!C25&gt;0),(inputPrYr!C25),"  ")</f>
        <v>19-4004</v>
      </c>
      <c r="C30" s="187">
        <f>IF('levy page13'!C75&gt;0,'levy page13'!C75,"  ")</f>
        <v>13</v>
      </c>
      <c r="D30" s="195">
        <f>IF('levy page13'!$E$30&lt;&gt;0,'levy page13'!$E$30,"  ")</f>
        <v>126737</v>
      </c>
      <c r="E30" s="579">
        <f>IF('levy page13'!$E$37&lt;&gt;0,'levy page13'!$E$37,0)</f>
        <v>120544</v>
      </c>
      <c r="F30" s="196" t="str">
        <f>IF(AND('levy page13'!E37=0,$F$71&gt;=0)," ",IF(AND(E30&gt;0,$F$71=0)," ",IF(AND(E30&gt;0,$F$71&gt;0),ROUND(E30/$F$71*1000,3))))</f>
        <v> </v>
      </c>
    </row>
    <row r="31" spans="1:6" ht="15.75">
      <c r="A31" s="195" t="str">
        <f>IF((inputPrYr!$B26&gt;"  "),(inputPrYr!$B26),"  ")</f>
        <v>Election (11)</v>
      </c>
      <c r="B31" s="194" t="str">
        <f>IF((inputPrYr!C26&gt;0),(inputPrYr!C26),"  ")</f>
        <v>19-3435a</v>
      </c>
      <c r="C31" s="187">
        <f>IF('levy page13'!C75&gt;0,'levy page13'!C75,"  ")</f>
        <v>13</v>
      </c>
      <c r="D31" s="195">
        <f>IF('levy page13'!$E$67&lt;&gt;0,'levy page13'!$E$67,"  ")</f>
        <v>212556</v>
      </c>
      <c r="E31" s="579">
        <f>IF('levy page13'!$E$74&lt;&gt;0,'levy page13'!$E$74,0)</f>
        <v>0</v>
      </c>
      <c r="F31" s="196" t="str">
        <f>IF(AND('levy page13'!E74=0,$F$71&gt;=0)," ",IF(AND(E31&gt;0,$F$71=0)," ",IF(AND(E31&gt;0,$F$71&gt;0),ROUND(E31/$F$71*1000,3))))</f>
        <v> </v>
      </c>
    </row>
    <row r="32" spans="1:6" ht="15.75">
      <c r="A32" s="195" t="str">
        <f>IF((inputPrYr!$B27&gt;"  "),(inputPrYr!$B27),"  ")</f>
        <v>Special Assessments (20)</v>
      </c>
      <c r="B32" s="194" t="str">
        <f>IF((inputPrYr!C27&gt;0),(inputPrYr!C27),"  ")</f>
        <v>79-1808</v>
      </c>
      <c r="C32" s="187">
        <f>IF('levy page14'!C73&gt;0,'levy page14'!C73,"  ")</f>
        <v>14</v>
      </c>
      <c r="D32" s="195">
        <f>IF('levy page14'!$E$31&lt;&gt;0,'levy page14'!$E$31,"  ")</f>
        <v>4</v>
      </c>
      <c r="E32" s="579">
        <f>IF('levy page14'!$E$38&lt;&gt;0,'levy page14'!$E$38,0)</f>
        <v>0</v>
      </c>
      <c r="F32" s="196" t="str">
        <f>IF(AND('levy page14'!E38=0,$F$71&gt;=0)," ",IF(AND(E32&gt;0,$F$71=0)," ",IF(AND(E32&gt;0,$F$71&gt;0),ROUND(E32/$F$71*1000,3))))</f>
        <v> </v>
      </c>
    </row>
    <row r="33" spans="1:6" ht="15.75">
      <c r="A33" s="195" t="str">
        <f>IF((inputPrYr!$B28&gt;"  "),(inputPrYr!$B28),"  ")</f>
        <v>Senior Citizens (22)</v>
      </c>
      <c r="B33" s="194" t="str">
        <f>IF((inputPrYr!C28&gt;0),(inputPrYr!C28),"  ")</f>
        <v>12-1680</v>
      </c>
      <c r="C33" s="187">
        <f>IF('levy page14'!C73&gt;0,'levy page14'!C73,"  ")</f>
        <v>14</v>
      </c>
      <c r="D33" s="195">
        <f>IF('levy page14'!$E$65&lt;&gt;0,'levy page14'!$E$65,"  ")</f>
        <v>113000</v>
      </c>
      <c r="E33" s="579">
        <f>IF('levy page14'!$E$72&lt;&gt;0,'levy page14'!$E$72,0)</f>
        <v>108330</v>
      </c>
      <c r="F33" s="196" t="str">
        <f>IF(AND('levy page14'!E72=0,$F$71&gt;=0)," ",IF(AND(E33&gt;0,$F$71=0)," ",IF(AND(E33&gt;0,$F$71&gt;0),ROUND(E33/$F$71*1000,3))))</f>
        <v> </v>
      </c>
    </row>
    <row r="34" spans="1:6" ht="15.75">
      <c r="A34" s="195" t="str">
        <f>IF((inputPrYr!$B29&gt;"  "),(inputPrYr!$B29),"  ")</f>
        <v>Community College (15)</v>
      </c>
      <c r="B34" s="194" t="str">
        <f>IF((inputPrYr!C29&gt;0),(inputPrYr!C29),"  ")</f>
        <v>71-301</v>
      </c>
      <c r="C34" s="187">
        <f>IF('levy page15'!C72&gt;0,'levy page15'!C72,"  ")</f>
        <v>15</v>
      </c>
      <c r="D34" s="195">
        <f>IF('levy page15'!$E$30&lt;&gt;0,'levy page15'!$E$30,"  ")</f>
        <v>500</v>
      </c>
      <c r="E34" s="579">
        <f>IF('levy page15'!$E$37&lt;&gt;0,'levy page15'!$E$37,0)</f>
        <v>0</v>
      </c>
      <c r="F34" s="196" t="str">
        <f>IF(AND('levy page15'!E37=0,$F$71&gt;=0)," ",IF(AND(E34&gt;0,$F$71=0)," ",IF(AND(E34&gt;0,$F$71&gt;0),ROUND(E34/$F$71*1000,3))))</f>
        <v> </v>
      </c>
    </row>
    <row r="35" spans="1:6" ht="15.75">
      <c r="A35" s="195" t="str">
        <f>IF((inputPrYr!$B30&gt;"  "),(inputPrYr!$B30),"  ")</f>
        <v>Mental Retardation (19)</v>
      </c>
      <c r="B35" s="194" t="str">
        <f>IF((inputPrYr!C30&gt;0),(inputPrYr!C30),"  ")</f>
        <v>19-4004</v>
      </c>
      <c r="C35" s="187">
        <f>IF('levy page15'!C72&gt;0,'levy page15'!C72,"  ")</f>
        <v>15</v>
      </c>
      <c r="D35" s="195">
        <f>IF('levy page15'!$E$64&lt;&gt;0,'levy page15'!$E$64,"  ")</f>
        <v>84364</v>
      </c>
      <c r="E35" s="579">
        <f>IF('levy page15'!$E$71&lt;&gt;0,'levy page15'!$E$71,0)</f>
        <v>80156</v>
      </c>
      <c r="F35" s="196" t="str">
        <f>IF(AND('levy page15'!E71=0,$F$71&gt;=0)," ",IF(AND(E35&gt;0,$F$71=0)," ",IF(AND(E35&gt;0,$F$71&gt;0),ROUND(E35/$F$71*1000,3))))</f>
        <v> </v>
      </c>
    </row>
    <row r="36" spans="1:6" ht="15.75">
      <c r="A36" s="195" t="str">
        <f>IF((inputPrYr!$B31&gt;"  "),(inputPrYr!$B31),"  ")</f>
        <v>Economic Development (18)</v>
      </c>
      <c r="B36" s="194" t="str">
        <f>IF((inputPrYr!C31&gt;0),(inputPrYr!C31),"  ")</f>
        <v>19-4102</v>
      </c>
      <c r="C36" s="187">
        <f>IF('levy page16'!C76&gt;0,'levy page16'!C76,"  ")</f>
        <v>16</v>
      </c>
      <c r="D36" s="195">
        <f>IF('levy page16'!$E$32&lt;&gt;0,'levy page16'!$E$32,"  ")</f>
        <v>207000</v>
      </c>
      <c r="E36" s="579">
        <f>IF('levy page16'!$E$39&lt;&gt;0,'levy page16'!$E$39,0)</f>
        <v>181567</v>
      </c>
      <c r="F36" s="196" t="str">
        <f>IF(AND('levy page16'!E39=0,$F$71&gt;=0)," ",IF(AND(E36&gt;0,$F$71=0)," ",IF(AND(E36&gt;0,$F$71&gt;0),ROUND(E36/$F$71*1000,3))))</f>
        <v> </v>
      </c>
    </row>
    <row r="37" spans="1:6" ht="15.75">
      <c r="A37" s="195" t="str">
        <f>IF((inputPrYr!$B32&gt;"  "),(inputPrYr!$B32),"  ")</f>
        <v>Law Enforcement (17)</v>
      </c>
      <c r="B37" s="194" t="str">
        <f>IF((inputPrYr!C32&gt;0),(inputPrYr!C32),"  ")</f>
        <v>12-11a01</v>
      </c>
      <c r="C37" s="187">
        <f>IF('levy page16'!C76&gt;0,'levy page16'!C76,"  ")</f>
        <v>16</v>
      </c>
      <c r="D37" s="195">
        <f>IF('levy page16'!$E$68&lt;&gt;0,'levy page16'!$E$68,"  ")</f>
        <v>407438</v>
      </c>
      <c r="E37" s="579">
        <f>IF('levy page16'!$E$75&lt;&gt;0,'levy page16'!$E$75,0)</f>
        <v>0</v>
      </c>
      <c r="F37" s="196" t="str">
        <f>IF(AND('levy page16'!E75=0,$F$71&gt;=0)," ",IF(AND(E37&gt;0,$F$71=0)," ",IF(AND(E37&gt;0,$F$71&gt;0),ROUND(E37/$F$71*1000,3))))</f>
        <v> </v>
      </c>
    </row>
    <row r="38" spans="1:6" ht="15.75">
      <c r="A38" s="195" t="str">
        <f>IF((inputPrYr!$B33&gt;"  "),(inputPrYr!$B33),"  ")</f>
        <v>Appraisers Cost (2)</v>
      </c>
      <c r="B38" s="194" t="str">
        <f>IF((inputPrYr!C33&gt;0),(inputPrYr!C33),"  ")</f>
        <v>19-436</v>
      </c>
      <c r="C38" s="187">
        <f>IF('levy page17'!C84&gt;0,'levy page17'!C84,"  ")</f>
        <v>17</v>
      </c>
      <c r="D38" s="195">
        <f>IF('levy page17'!$E$31&lt;&gt;0,'levy page17'!$E$31,"  ")</f>
        <v>341202</v>
      </c>
      <c r="E38" s="579">
        <f>IF('levy page17'!$E$38&lt;&gt;0,'levy page17'!$E$38,0)</f>
        <v>301897</v>
      </c>
      <c r="F38" s="196" t="str">
        <f>IF(AND('levy page17'!E38=0,$F$71&gt;=0)," ",IF(AND(E38&gt;0,$F$71=0)," ",IF(AND(E38&gt;0,$F$71&gt;0),ROUND(E38/$F$71*1000,3))))</f>
        <v> </v>
      </c>
    </row>
    <row r="39" spans="1:6" ht="15.75">
      <c r="A39" s="195" t="str">
        <f>IF((inputPrYr!$B34&gt;"  "),(inputPrYr!$B34),"  ")</f>
        <v>Employee Benefits (12)</v>
      </c>
      <c r="B39" s="194" t="str">
        <f>IF((inputPrYr!C34&gt;0),(inputPrYr!C34),"  ")</f>
        <v>12-16,102</v>
      </c>
      <c r="C39" s="187">
        <f>IF('levy page17'!C84&gt;0,'levy page17'!C84,"  ")</f>
        <v>17</v>
      </c>
      <c r="D39" s="195">
        <f>IF('levy page17'!$E$76&lt;&gt;0,'levy page17'!$E$76,"  ")</f>
        <v>3211300</v>
      </c>
      <c r="E39" s="579">
        <f>IF('levy page17'!$E$83&lt;&gt;0,'levy page17'!$E$83,0)</f>
        <v>1927936</v>
      </c>
      <c r="F39" s="196" t="str">
        <f>IF(AND('levy page17'!E83=0,$F$71&gt;=0)," ",IF(AND(E39&gt;0,$F$71=0)," ",IF(AND(E39&gt;0,$F$71&gt;0),ROUND(E39/$F$71*1000,3))))</f>
        <v> </v>
      </c>
    </row>
    <row r="40" spans="1:6" ht="15.75">
      <c r="A40" s="195" t="str">
        <f>IF((inputPrYr!$B35&gt;"  "),(inputPrYr!$B35),"  ")</f>
        <v>Historical (65)</v>
      </c>
      <c r="B40" s="194" t="str">
        <f>IF((inputPrYr!C35&gt;0),(inputPrYr!C35),"  ")</f>
        <v>19-2651</v>
      </c>
      <c r="C40" s="187">
        <f>IF('levy page18'!C73&gt;0,'levy page18'!C73,"  ")</f>
        <v>18</v>
      </c>
      <c r="D40" s="195">
        <f>IF('levy page18'!$E$30&lt;&gt;0,'levy page18'!$E$30,"  ")</f>
        <v>110000</v>
      </c>
      <c r="E40" s="579">
        <f>IF('levy page18'!$E$37&lt;&gt;0,'levy page18'!$E$37,0)</f>
        <v>104757</v>
      </c>
      <c r="F40" s="196" t="str">
        <f>IF(AND('levy page18'!E37=0,$F$71&gt;=0)," ",IF(AND(E40&gt;0,$F$71=0)," ",IF(AND(E40&gt;0,$F$71&gt;0),ROUND(E40/$F$71*1000,3))))</f>
        <v> </v>
      </c>
    </row>
    <row r="41" spans="1:6" ht="15.75">
      <c r="A41" s="195" t="str">
        <f>IF((inputPrYr!$B36&gt;"  "),(inputPrYr!$B36),"  ")</f>
        <v>Hospital (33)</v>
      </c>
      <c r="B41" s="194" t="str">
        <f>IF((inputPrYr!C36&gt;0),(inputPrYr!C36),"  ")</f>
        <v>19-4606</v>
      </c>
      <c r="C41" s="187">
        <f>IF('levy page18'!C73&gt;0,'levy page18'!C73,"  ")</f>
        <v>18</v>
      </c>
      <c r="D41" s="195">
        <f>IF('levy page18'!$E$65&lt;&gt;0,'levy page18'!$E$65,"  ")</f>
        <v>175000</v>
      </c>
      <c r="E41" s="579">
        <f>IF('levy page18'!$E$72&lt;&gt;0,'levy page18'!$E$72,0)</f>
        <v>169611</v>
      </c>
      <c r="F41" s="196" t="str">
        <f>IF(AND('levy page18'!E72=0,$F$71&gt;=0)," ",IF(AND(E41&gt;0,$F$71=0)," ",IF(AND(E41&gt;0,$F$71&gt;0),ROUND(E41/$F$71*1000,3))))</f>
        <v> </v>
      </c>
    </row>
    <row r="42" spans="1:6" ht="15.75">
      <c r="A42" s="195" t="str">
        <f>IF((inputPrYr!$B37&gt;"  "),(inputPrYr!$B37),"  ")</f>
        <v>Juvenile Detention (68)</v>
      </c>
      <c r="B42" s="194" t="str">
        <f>IF((inputPrYr!C37&gt;0),(inputPrYr!C37),"  ")</f>
        <v>38-507</v>
      </c>
      <c r="C42" s="187">
        <f>IF('levy page19'!C73&gt;0,'levy page19'!C73,"  ")</f>
        <v>19</v>
      </c>
      <c r="D42" s="195">
        <f>IF('levy page19'!$E$30&lt;&gt;0,'levy page19'!$E$30,"  ")</f>
        <v>179000</v>
      </c>
      <c r="E42" s="579">
        <f>IF('levy page19'!$E$37&lt;&gt;0,'levy page19'!$E$37,0)</f>
        <v>172233</v>
      </c>
      <c r="F42" s="196" t="str">
        <f>IF(AND('levy page19'!E37=0,$F$71&gt;=0)," ",IF(AND(E42&gt;0,$F$71=0)," ",IF(AND(E42&gt;0,$F$71&gt;0),ROUND(E42/$F$71*1000,3))))</f>
        <v> </v>
      </c>
    </row>
    <row r="43" spans="1:6" ht="15.75">
      <c r="A43" s="195" t="str">
        <f>IF((inputPrYr!$B38&gt;"  "),(inputPrYr!$B38),"  ")</f>
        <v>PBC - Cloud Co CC (25)</v>
      </c>
      <c r="B43" s="194" t="str">
        <f>IF((inputPrYr!C38&gt;0),(inputPrYr!C38),"  ")</f>
        <v>19-15,124</v>
      </c>
      <c r="C43" s="187">
        <f>IF('levy page19'!C73&gt;0,'levy page19'!C73,"  ")</f>
        <v>19</v>
      </c>
      <c r="D43" s="195">
        <f>IF('levy page19'!$E$65&lt;&gt;0,'levy page19'!$E$65,"  ")</f>
        <v>272516</v>
      </c>
      <c r="E43" s="579">
        <f>IF('levy page19'!$E$72&lt;&gt;0,'levy page19'!$E$72,0)</f>
        <v>0</v>
      </c>
      <c r="F43" s="196" t="str">
        <f>IF(AND('levy page19'!E72=0,$F$71&gt;=0)," ",IF(AND(E43&gt;0,$F$71=0)," ",IF(AND(E43&gt;0,$F$71&gt;0),ROUND(E43/$F$71*1000,3))))</f>
        <v> </v>
      </c>
    </row>
    <row r="44" spans="1:6" s="665" customFormat="1" ht="15.75">
      <c r="A44" s="195" t="str">
        <f>IF((inputPrYr!$B39&gt;"  "),(inputPrYr!$B39),"  ")</f>
        <v>Capital Improvements (44)</v>
      </c>
      <c r="B44" s="194" t="str">
        <f>IF((inputPrYr!C39&gt;0),(inputPrYr!C39),"  ")</f>
        <v>19-120</v>
      </c>
      <c r="C44" s="187">
        <f>IF('levy page20'!C77&gt;0,'levy page20'!C77,"  ")</f>
        <v>20</v>
      </c>
      <c r="D44" s="195">
        <f>IF('levy page20'!$E$33&lt;&gt;0,'levy page20'!$E$33,"  ")</f>
        <v>355985</v>
      </c>
      <c r="E44" s="579">
        <f>IF('levy page20'!$E$40&lt;&gt;0,'levy page20'!$E$40,0)</f>
        <v>216179</v>
      </c>
      <c r="F44" s="196" t="str">
        <f>IF(AND('levy page20'!E40=0,$F$71&gt;=0)," ",IF(AND(E44&gt;0,$F$71=0)," ",IF(AND(E44&gt;0,$F$71&gt;0),ROUND(E44/$F$71*1000,3))))</f>
        <v> </v>
      </c>
    </row>
    <row r="45" spans="1:6" s="665" customFormat="1" ht="15.75">
      <c r="A45" s="195" t="str">
        <f>IF((inputPrYr!$B40&gt;"  "),(inputPrYr!$B40),"  ")</f>
        <v>Geary Comm Hosp B&amp;I (27)</v>
      </c>
      <c r="B45" s="194" t="str">
        <f>IF((inputPrYr!C40&gt;0),(inputPrYr!C40),"  ")</f>
        <v>10-113</v>
      </c>
      <c r="C45" s="187">
        <f>IF('levy page20'!C77&gt;0,'levy page20'!C77,"  ")</f>
        <v>20</v>
      </c>
      <c r="D45" s="195">
        <f>IF('levy page20'!$E$69&lt;&gt;0,'levy page20'!$E$69,"  ")</f>
        <v>2412700</v>
      </c>
      <c r="E45" s="579">
        <f>IF('levy page20'!$E$76&lt;&gt;0,'levy page20'!$E$76,0)</f>
        <v>880770</v>
      </c>
      <c r="F45" s="196" t="str">
        <f>IF(AND('levy page20'!E76=0,$F$71&gt;=0)," ",IF(AND(E45&gt;0,$F$71=0)," ",IF(AND(E45&gt;0,$F$71&gt;0),ROUND(E45/$F$71*1000,3))))</f>
        <v> </v>
      </c>
    </row>
    <row r="46" spans="1:6" s="665" customFormat="1" ht="15.75">
      <c r="A46" s="195" t="str">
        <f>IF((inputPrYr!$B41&gt;"  "),(inputPrYr!$B41),"  ")</f>
        <v>Co. Neighborhood Revital (35)</v>
      </c>
      <c r="B46" s="194" t="str">
        <f>IF((inputPrYr!C41&gt;0),(inputPrYr!C41),"  ")</f>
        <v>12-17,118</v>
      </c>
      <c r="C46" s="187">
        <f>IF('levy page21'!C72&gt;0,'levy page21'!C72,"  ")</f>
        <v>21</v>
      </c>
      <c r="D46" s="195">
        <f>IF('levy page21'!$E$30&lt;&gt;0,'levy page21'!$E$30,"  ")</f>
        <v>710000</v>
      </c>
      <c r="E46" s="579">
        <f>IF('levy page21'!$E$37&lt;&gt;0,'levy page21'!$E$37,0)</f>
        <v>613091</v>
      </c>
      <c r="F46" s="196" t="str">
        <f>IF(AND('levy page21'!E37=0,$F$71&gt;=0)," ",IF(AND(E46&gt;0,$F$71=0)," ",IF(AND(E46&gt;0,$F$71&gt;0),ROUND(E46/$F$71*1000,3))))</f>
        <v> </v>
      </c>
    </row>
    <row r="47" spans="1:6" s="665" customFormat="1" ht="15.75">
      <c r="A47" s="195" t="str">
        <f>IF((inputPrYr!$B42&gt;"  "),(inputPrYr!$B42),"  ")</f>
        <v>Co. The Bluffs TIF District (36)</v>
      </c>
      <c r="B47" s="194" t="str">
        <f>IF((inputPrYr!C42&gt;0),(inputPrYr!C42),"  ")</f>
        <v>12-1775</v>
      </c>
      <c r="C47" s="187">
        <f>IF('levy page21'!C72&gt;0,'levy page21'!C72,"  ")</f>
        <v>21</v>
      </c>
      <c r="D47" s="195">
        <f>IF('levy page21'!$E$64&lt;&gt;0,'levy page21'!$E$64,"  ")</f>
        <v>27084</v>
      </c>
      <c r="E47" s="579">
        <f>IF('levy page21'!$E$71&lt;&gt;0,'levy page21'!$E$71,0)</f>
        <v>0</v>
      </c>
      <c r="F47" s="196" t="str">
        <f>IF(AND('levy page21'!E71=0,$F$71&gt;=0)," ",IF(AND(E47&gt;0,$F$71=0)," ",IF(AND(E47&gt;0,$F$71&gt;0),ROUND(E47/$F$71*1000,3))))</f>
        <v> </v>
      </c>
    </row>
    <row r="48" spans="1:6" ht="13.5" customHeight="1">
      <c r="A48" s="195" t="str">
        <f>IF((inputPrYr!$B45&gt;"  "),(inputPrYr!$B45),"  ")</f>
        <v>Waste Disposal (21)</v>
      </c>
      <c r="B48" s="198"/>
      <c r="C48" s="187">
        <f>IF('no levy page22'!C63&gt;0,'no levy page22'!C63,"  ")</f>
        <v>22</v>
      </c>
      <c r="D48" s="195">
        <f>IF('no levy page22'!$E$29&lt;&gt;0,'no levy page22'!$E$29,"  ")</f>
        <v>1699905</v>
      </c>
      <c r="E48" s="192"/>
      <c r="F48" s="192"/>
    </row>
    <row r="49" spans="1:6" ht="13.5" customHeight="1">
      <c r="A49" s="195" t="str">
        <f>IF((inputPrYr!$B46&gt;"  "),(inputPrYr!$B46),"  ")</f>
        <v>Alcohol Program (16)</v>
      </c>
      <c r="B49" s="198"/>
      <c r="C49" s="187">
        <f>IF('no levy page22'!C63&gt;0,'no levy page22'!C63,"  ")</f>
        <v>22</v>
      </c>
      <c r="D49" s="195">
        <f>IF('no levy page22'!$E$57&lt;&gt;0,'no levy page22'!$E$57,"  ")</f>
        <v>130225</v>
      </c>
      <c r="E49" s="192"/>
      <c r="F49" s="192"/>
    </row>
    <row r="50" spans="1:6" ht="13.5" customHeight="1">
      <c r="A50" s="195" t="str">
        <f>IF((inputPrYr!$B47&gt;"  "),(inputPrYr!$B47),"  ")</f>
        <v>Convention &amp; Tourism (32)</v>
      </c>
      <c r="B50" s="198"/>
      <c r="C50" s="187">
        <f>IF('no levy page23'!C62&gt;0,'no levy page23'!C62,"  ")</f>
        <v>23</v>
      </c>
      <c r="D50" s="195">
        <f>IF('no levy page23'!$E$29&lt;&gt;0,'no levy page23'!$E$29,"  ")</f>
        <v>927633</v>
      </c>
      <c r="E50" s="192"/>
      <c r="F50" s="192"/>
    </row>
    <row r="51" spans="1:6" ht="13.5" customHeight="1">
      <c r="A51" s="195" t="str">
        <f>IF((inputPrYr!$B48&gt;"  "),(inputPrYr!$B48),"  ")</f>
        <v>Parks &amp; Recreation (24)</v>
      </c>
      <c r="B51" s="198"/>
      <c r="C51" s="187">
        <f>IF('no levy page23'!C62&gt;0,'no levy page23'!C62,"  ")</f>
        <v>23</v>
      </c>
      <c r="D51" s="195">
        <f>IF('no levy page23'!$E$56&lt;&gt;0,'no levy page23'!$E$56,"  ")</f>
        <v>4864</v>
      </c>
      <c r="E51" s="192"/>
      <c r="F51" s="192"/>
    </row>
    <row r="52" spans="1:6" ht="13.5" customHeight="1">
      <c r="A52" s="195" t="str">
        <f>IF((inputPrYr!$B49&gt;"  "),(inputPrYr!$B49),"  ")</f>
        <v>911 System (56)</v>
      </c>
      <c r="B52" s="198"/>
      <c r="C52" s="187">
        <f>IF('no levy page24'!C62&gt;0,'no levy page24'!C62,"  ")</f>
        <v>24</v>
      </c>
      <c r="D52" s="195">
        <f>IF('no levy page24'!$E$26&lt;&gt;0,'no levy page24'!$E$26,"  ")</f>
        <v>195771</v>
      </c>
      <c r="E52" s="192"/>
      <c r="F52" s="192"/>
    </row>
    <row r="53" spans="1:6" ht="13.5" customHeight="1">
      <c r="A53" s="195" t="str">
        <f>IF((inputPrYr!$B50&gt;"  "),(inputPrYr!$B50),"  ")</f>
        <v>Court Trustee (57)</v>
      </c>
      <c r="B53" s="198"/>
      <c r="C53" s="187">
        <f>IF('no levy page24'!C62&gt;0,'no levy page24'!C62,"  ")</f>
        <v>24</v>
      </c>
      <c r="D53" s="195">
        <f>IF('no levy page24'!$E$56&lt;&gt;0,'no levy page24'!$E$56,"  ")</f>
        <v>1164948</v>
      </c>
      <c r="E53" s="192"/>
      <c r="F53" s="192"/>
    </row>
    <row r="54" spans="1:6" ht="13.5" customHeight="1">
      <c r="A54" s="195" t="str">
        <f>IF((inputPrYr!$B51&gt;"  "),(inputPrYr!$B51),"  ")</f>
        <v>Hospital Improv-Old (13)</v>
      </c>
      <c r="B54" s="198"/>
      <c r="C54" s="187">
        <f>IF('no levy page25'!C62&gt;0,'no levy page25'!C62,"  ")</f>
        <v>25</v>
      </c>
      <c r="D54" s="195" t="str">
        <f>IF('no levy page25'!$E$26&lt;&gt;0,'no levy page25'!$E$26,"  ")</f>
        <v>  </v>
      </c>
      <c r="E54" s="192"/>
      <c r="F54" s="192"/>
    </row>
    <row r="55" spans="1:6" ht="13.5" customHeight="1">
      <c r="A55" s="195" t="str">
        <f>IF((inputPrYr!$B52&gt;"  "),(inputPrYr!$B52),"  ")</f>
        <v>PBC - Pennell/Court (485)</v>
      </c>
      <c r="B55" s="198"/>
      <c r="C55" s="187">
        <f>IF('no levy page25'!C62&gt;0,'no levy page25'!C62,"  ")</f>
        <v>25</v>
      </c>
      <c r="D55" s="195">
        <f>IF('no levy page25'!$E$56&lt;&gt;0,'no levy page25'!$E$56,"  ")</f>
        <v>438400</v>
      </c>
      <c r="E55" s="192"/>
      <c r="F55" s="192"/>
    </row>
    <row r="56" spans="1:6" ht="13.5" customHeight="1">
      <c r="A56" s="195" t="str">
        <f>IF((inputPrYr!$B53&gt;"  "),(inputPrYr!$B53),"  ")</f>
        <v>Riley/Geary Mtg Bds (493)</v>
      </c>
      <c r="B56" s="198"/>
      <c r="C56" s="187">
        <f>IF('no levy page26'!C58&gt;0,'no levy page26'!C58,"  ")</f>
        <v>26</v>
      </c>
      <c r="D56" s="195">
        <f>IF('no levy page26'!$E$25&lt;&gt;0,'no levy page26'!$E$25,"  ")</f>
        <v>9281</v>
      </c>
      <c r="E56" s="192"/>
      <c r="F56" s="192"/>
    </row>
    <row r="57" spans="1:6" ht="13.5" customHeight="1">
      <c r="A57" s="195" t="str">
        <f>IF((inputPrYr!$B54&gt;"  "),(inputPrYr!$B54),"  ")</f>
        <v>E911 Cell Phone (49)</v>
      </c>
      <c r="B57" s="198"/>
      <c r="C57" s="187">
        <f>IF('no levy page26'!C58&gt;0,'no levy page26'!C58,"  ")</f>
        <v>26</v>
      </c>
      <c r="D57" s="195">
        <f>IF('no levy page26'!$E$52&lt;&gt;0,'no levy page26'!$E$52,"  ")</f>
        <v>361215</v>
      </c>
      <c r="E57" s="192"/>
      <c r="F57" s="192"/>
    </row>
    <row r="58" spans="1:6" ht="13.5" customHeight="1">
      <c r="A58" s="195" t="str">
        <f>IF((inputPrYr!$B55&gt;"  "),(inputPrYr!$B55),"  ")</f>
        <v>Sol Waste Environ Haz (30)</v>
      </c>
      <c r="B58" s="198"/>
      <c r="C58" s="187">
        <f>IF('no levy page27'!C61&gt;0,'no levy page27'!C61,"  ")</f>
        <v>27</v>
      </c>
      <c r="D58" s="195">
        <f>IF('no levy page27'!$E$25&lt;&gt;0,'no levy page27'!$E$25,"  ")</f>
        <v>194721</v>
      </c>
      <c r="E58" s="192"/>
      <c r="F58" s="192"/>
    </row>
    <row r="59" spans="1:6" ht="13.5" customHeight="1">
      <c r="A59" s="195" t="str">
        <f>IF((inputPrYr!$B56&gt;"  "),(inputPrYr!$B56),"  ")</f>
        <v>Concealed Weapon/ KORA (48)</v>
      </c>
      <c r="B59" s="198"/>
      <c r="C59" s="187">
        <f>IF('no levy page27'!C61&gt;0,'no levy page27'!C61,"  ")</f>
        <v>27</v>
      </c>
      <c r="D59" s="195">
        <f>IF('no levy page27'!$E$55&lt;&gt;0,'no levy page27'!$E$55,"  ")</f>
        <v>26835</v>
      </c>
      <c r="E59" s="199"/>
      <c r="F59" s="199"/>
    </row>
    <row r="60" spans="1:6" ht="12.75">
      <c r="A60" s="195" t="str">
        <f>IF((inputPrYr!$B57&gt;"  "),(inputPrYr!$B57),"  ")</f>
        <v>  </v>
      </c>
      <c r="B60" s="198"/>
      <c r="C60" s="187" t="str">
        <f>IF('no levy page28'!C66&gt;0,'no levy page28'!C66,"  ")</f>
        <v>  </v>
      </c>
      <c r="D60" s="195" t="str">
        <f>IF('no levy page28'!$E$29&lt;&gt;0,'no levy page28'!$E$29,"  ")</f>
        <v>  </v>
      </c>
      <c r="E60" s="199"/>
      <c r="F60" s="199"/>
    </row>
    <row r="61" spans="1:6" ht="12.75">
      <c r="A61" s="195" t="str">
        <f>IF((inputPrYr!$B58&gt;"  "),(inputPrYr!$B58),"  ")</f>
        <v>  </v>
      </c>
      <c r="B61" s="198"/>
      <c r="C61" s="187" t="str">
        <f>IF('no levy page28'!C66&gt;0,'no levy page28'!C66,"  ")</f>
        <v>  </v>
      </c>
      <c r="D61" s="195" t="str">
        <f>IF('no levy page28'!$E$60&lt;&gt;0,'no levy page28'!$E$60,"  ")</f>
        <v>  </v>
      </c>
      <c r="E61" s="199"/>
      <c r="F61" s="199"/>
    </row>
    <row r="62" spans="1:6" ht="12.75">
      <c r="A62" s="195" t="str">
        <f>IF((inputPrYr!$B59&gt;"  "),(inputPrYr!$B59),"  ")</f>
        <v>  </v>
      </c>
      <c r="B62" s="198"/>
      <c r="C62" s="187" t="str">
        <f>IF('no levy page29'!C66&gt;0,'no levy page29'!C66,"  ")</f>
        <v>  </v>
      </c>
      <c r="D62" s="195" t="str">
        <f>IF('no levy page29'!$E$29&lt;&gt;0,'no levy page29'!$E$29,"  ")</f>
        <v>  </v>
      </c>
      <c r="E62" s="199"/>
      <c r="F62" s="199"/>
    </row>
    <row r="63" spans="1:6" ht="12.75">
      <c r="A63" s="195" t="str">
        <f>IF((inputPrYr!$B60&gt;"  "),(inputPrYr!$B60),"  ")</f>
        <v>  </v>
      </c>
      <c r="B63" s="192"/>
      <c r="C63" s="187" t="str">
        <f>IF('no levy page29'!C66&gt;0,'no levy page29'!C66,"  ")</f>
        <v>  </v>
      </c>
      <c r="D63" s="195" t="str">
        <f>IF('no levy page29'!$E$60&lt;&gt;0,'no levy page29'!$E$60,"  ")</f>
        <v>  </v>
      </c>
      <c r="E63" s="199"/>
      <c r="F63" s="199"/>
    </row>
    <row r="64" spans="1:6" ht="12.75">
      <c r="A64" s="195" t="str">
        <f>IF((inputPrYr!$B64&gt;"  "),(nonbudA!$A3),"  ")</f>
        <v>Non-Budgeted Funds-A</v>
      </c>
      <c r="B64" s="192"/>
      <c r="C64" s="187">
        <f>IF(nonbudA!$F$33&gt;0,nonbudA!$F$33,"  ")</f>
        <v>28</v>
      </c>
      <c r="D64" s="195"/>
      <c r="E64" s="199"/>
      <c r="F64" s="199"/>
    </row>
    <row r="65" spans="1:6" ht="12.75">
      <c r="A65" s="195" t="str">
        <f>IF((inputPrYr!$B70&gt;"  "),(nonbudB!$A3),"  ")</f>
        <v>  </v>
      </c>
      <c r="B65" s="192"/>
      <c r="C65" s="187" t="str">
        <f>IF(nonbudB!$F$33&gt;0,nonbudB!$F$33,"  ")</f>
        <v>  </v>
      </c>
      <c r="D65" s="195"/>
      <c r="E65" s="199"/>
      <c r="F65" s="199"/>
    </row>
    <row r="66" spans="1:6" ht="12.75">
      <c r="A66" s="195" t="str">
        <f>IF((inputPrYr!$B76&gt;"  "),(nonbudC!$A3),"  ")</f>
        <v>  </v>
      </c>
      <c r="B66" s="192"/>
      <c r="C66" s="187" t="str">
        <f>IF(nonbudC!$F$33&gt;0,nonbudC!$F$33,"  ")</f>
        <v>  </v>
      </c>
      <c r="D66" s="195"/>
      <c r="E66" s="199"/>
      <c r="F66" s="199"/>
    </row>
    <row r="67" spans="1:6" ht="12.75">
      <c r="A67" s="195" t="str">
        <f>IF((inputPrYr!$B82&gt;"  "),(nonbudD!$A3),"  ")</f>
        <v>  </v>
      </c>
      <c r="B67" s="192"/>
      <c r="C67" s="187" t="str">
        <f>IF(nonbudD!$F$33&gt;0,nonbudD!$F$33,"  ")</f>
        <v>  </v>
      </c>
      <c r="D67" s="195"/>
      <c r="E67" s="199"/>
      <c r="F67" s="199"/>
    </row>
    <row r="68" spans="1:6" ht="14.25" customHeight="1" thickBot="1">
      <c r="A68" s="200" t="s">
        <v>159</v>
      </c>
      <c r="B68" s="199"/>
      <c r="C68" s="187" t="s">
        <v>49</v>
      </c>
      <c r="D68" s="201">
        <f>SUM(D21:D67)</f>
        <v>28442356</v>
      </c>
      <c r="E68" s="201">
        <f>SUM(E21:E47)</f>
        <v>11779935.045</v>
      </c>
      <c r="F68" s="202">
        <f>IF(SUM(F21:F47)=0,"",SUM(F21:F47))</f>
      </c>
    </row>
    <row r="69" spans="1:6" ht="14.25" customHeight="1" thickTop="1">
      <c r="A69" s="203" t="s">
        <v>48</v>
      </c>
      <c r="B69" s="204"/>
      <c r="C69" s="187">
        <f>summ!E80</f>
        <v>29</v>
      </c>
      <c r="D69" s="205"/>
      <c r="E69" s="205"/>
      <c r="F69" s="183"/>
    </row>
    <row r="70" spans="1:6" ht="12.75">
      <c r="A70" s="184" t="s">
        <v>88</v>
      </c>
      <c r="B70" s="185"/>
      <c r="C70" s="187">
        <f>IF(summ2!E42&gt;0,summ2!E42,"")</f>
        <v>30</v>
      </c>
      <c r="D70" s="206"/>
      <c r="E70" s="167"/>
      <c r="F70" s="475" t="s">
        <v>313</v>
      </c>
    </row>
    <row r="71" spans="1:6" ht="15.75">
      <c r="A71" s="753" t="s">
        <v>78</v>
      </c>
      <c r="B71" s="754"/>
      <c r="C71" s="197">
        <f>IF(Nhood!C51&gt;0,Nhood!C51,"")</f>
      </c>
      <c r="D71" s="207" t="s">
        <v>51</v>
      </c>
      <c r="E71" s="208" t="str">
        <f>IF(E68&gt;computation!J35,"Yes","No")</f>
        <v>No</v>
      </c>
      <c r="F71" s="209"/>
    </row>
    <row r="72" spans="1:6" ht="14.25" customHeight="1">
      <c r="A72" s="184" t="s">
        <v>50</v>
      </c>
      <c r="B72" s="210"/>
      <c r="C72" s="197">
        <f>IF(Resolution!E55&gt;0,Resolution!E55,"")</f>
      </c>
      <c r="D72" s="206"/>
      <c r="E72" s="183"/>
      <c r="F72" s="756" t="str">
        <f>CONCATENATE("Nov 1, ",F3-1," Total Assessed Valuation")</f>
        <v>Nov 1, 2011 Total Assessed Valuation</v>
      </c>
    </row>
    <row r="73" spans="1:6" ht="12.75">
      <c r="A73" s="165" t="s">
        <v>150</v>
      </c>
      <c r="B73" s="167"/>
      <c r="C73" s="171"/>
      <c r="D73" s="167"/>
      <c r="E73" s="167"/>
      <c r="F73" s="757"/>
    </row>
    <row r="74" spans="1:6" ht="12.75">
      <c r="A74" s="212" t="s">
        <v>1046</v>
      </c>
      <c r="B74" s="167"/>
      <c r="C74" s="167"/>
      <c r="D74" s="167"/>
      <c r="E74" s="425"/>
      <c r="F74" s="425"/>
    </row>
    <row r="75" spans="1:6" ht="12.75">
      <c r="A75" s="214"/>
      <c r="B75" s="211"/>
      <c r="C75" s="167"/>
      <c r="D75" s="167"/>
      <c r="E75" s="213"/>
      <c r="F75" s="213"/>
    </row>
    <row r="76" spans="1:6" ht="12.75">
      <c r="A76" s="423" t="s">
        <v>315</v>
      </c>
      <c r="B76" s="211"/>
      <c r="C76" s="473"/>
      <c r="D76" s="473"/>
      <c r="E76" s="474"/>
      <c r="F76" s="474"/>
    </row>
    <row r="77" spans="1:6" ht="12.75">
      <c r="A77" s="214" t="s">
        <v>1047</v>
      </c>
      <c r="B77" s="167"/>
      <c r="C77" s="178"/>
      <c r="D77" s="178"/>
      <c r="E77" s="215"/>
      <c r="F77" s="215"/>
    </row>
    <row r="78" spans="1:6" ht="12.75">
      <c r="A78" s="214" t="s">
        <v>1048</v>
      </c>
      <c r="B78" s="216"/>
      <c r="C78" s="167"/>
      <c r="D78" s="167"/>
      <c r="E78" s="213"/>
      <c r="F78" s="217"/>
    </row>
    <row r="79" spans="1:6" ht="12.75">
      <c r="A79" s="214"/>
      <c r="B79" s="167"/>
      <c r="C79" s="178"/>
      <c r="D79" s="178"/>
      <c r="E79" s="215"/>
      <c r="F79" s="218"/>
    </row>
    <row r="80" spans="1:6" ht="12.75">
      <c r="A80" s="472" t="s">
        <v>6</v>
      </c>
      <c r="B80" s="219">
        <f>F3-1</f>
        <v>2011</v>
      </c>
      <c r="C80" s="167"/>
      <c r="D80" s="167"/>
      <c r="E80" s="169"/>
      <c r="F80" s="167"/>
    </row>
    <row r="81" spans="1:6" ht="12.75">
      <c r="A81" s="471"/>
      <c r="B81" s="167"/>
      <c r="C81" s="178"/>
      <c r="D81" s="178"/>
      <c r="E81" s="178"/>
      <c r="F81" s="178"/>
    </row>
    <row r="82" spans="1:6" ht="15">
      <c r="A82" s="476" t="s">
        <v>152</v>
      </c>
      <c r="B82" s="167"/>
      <c r="C82" s="755" t="s">
        <v>151</v>
      </c>
      <c r="D82" s="752"/>
      <c r="E82" s="752"/>
      <c r="F82" s="752"/>
    </row>
    <row r="83" spans="1:6" ht="12.75">
      <c r="A83" s="744"/>
      <c r="B83" s="744"/>
      <c r="C83" s="744"/>
      <c r="D83" s="744"/>
      <c r="E83" s="744"/>
      <c r="F83" s="744"/>
    </row>
    <row r="84" spans="3:6" ht="12.75">
      <c r="C84" s="220"/>
      <c r="E84" s="220"/>
      <c r="F84" s="220"/>
    </row>
  </sheetData>
  <sheetProtection/>
  <mergeCells count="9">
    <mergeCell ref="A83:F83"/>
    <mergeCell ref="A2:F2"/>
    <mergeCell ref="E13:E14"/>
    <mergeCell ref="A6:F6"/>
    <mergeCell ref="A4:F4"/>
    <mergeCell ref="A5:F5"/>
    <mergeCell ref="A71:B71"/>
    <mergeCell ref="C82:F82"/>
    <mergeCell ref="F72:F73"/>
  </mergeCells>
  <printOptions/>
  <pageMargins left="0.5" right="0.5" top="0" bottom="0.23" header="0" footer="0"/>
  <pageSetup blackAndWhite="1" fitToHeight="1" fitToWidth="1" horizontalDpi="120" verticalDpi="120" orientation="portrait" scale="67" r:id="rId1"/>
  <headerFooter alignWithMargins="0">
    <oddHeader>&amp;L&amp;D   &amp;T&amp;RState of Kansas
County
</oddHeader>
    <oddFooter>&amp;CPage No. 1</oddFooter>
  </headerFooter>
</worksheet>
</file>

<file path=xl/worksheets/sheet5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H67" sqref="H67"/>
    </sheetView>
  </sheetViews>
  <sheetFormatPr defaultColWidth="8.796875" defaultRowHeight="15"/>
  <cols>
    <col min="1" max="1" width="71.296875" style="0" customWidth="1"/>
  </cols>
  <sheetData>
    <row r="3" spans="1:7" ht="15">
      <c r="A3" s="438" t="s">
        <v>598</v>
      </c>
      <c r="B3" s="438"/>
      <c r="C3" s="438"/>
      <c r="D3" s="438"/>
      <c r="E3" s="438"/>
      <c r="F3" s="438"/>
      <c r="G3" s="438"/>
    </row>
    <row r="4" spans="1:7" ht="15">
      <c r="A4" s="438" t="s">
        <v>599</v>
      </c>
      <c r="B4" s="438"/>
      <c r="C4" s="438"/>
      <c r="D4" s="438"/>
      <c r="E4" s="438"/>
      <c r="F4" s="438"/>
      <c r="G4" s="438"/>
    </row>
    <row r="5" spans="1:7" ht="15">
      <c r="A5" s="438"/>
      <c r="B5" s="438"/>
      <c r="C5" s="438"/>
      <c r="D5" s="438"/>
      <c r="E5" s="438"/>
      <c r="F5" s="438"/>
      <c r="G5" s="438"/>
    </row>
    <row r="6" spans="1:7" ht="15">
      <c r="A6" s="438"/>
      <c r="B6" s="438"/>
      <c r="C6" s="438"/>
      <c r="D6" s="438"/>
      <c r="E6" s="438"/>
      <c r="F6" s="438"/>
      <c r="G6" s="438"/>
    </row>
    <row r="7" ht="15">
      <c r="A7" s="439" t="s">
        <v>426</v>
      </c>
    </row>
    <row r="8" ht="15">
      <c r="A8" s="439" t="str">
        <f>CONCATENATE("estimated ",inputPrYr!C4," 'total expenditures' exceed your ",inputPrYr!C4,"")</f>
        <v>estimated 2012 'total expenditures' exceed your 2012</v>
      </c>
    </row>
    <row r="9" ht="15">
      <c r="A9" s="442" t="s">
        <v>600</v>
      </c>
    </row>
    <row r="10" ht="15">
      <c r="A10" s="439"/>
    </row>
    <row r="11" ht="15">
      <c r="A11" s="439" t="s">
        <v>601</v>
      </c>
    </row>
    <row r="12" ht="15">
      <c r="A12" s="439" t="s">
        <v>602</v>
      </c>
    </row>
    <row r="13" ht="15">
      <c r="A13" s="439" t="s">
        <v>603</v>
      </c>
    </row>
    <row r="14" ht="15">
      <c r="A14" s="439"/>
    </row>
    <row r="15" ht="15">
      <c r="A15" s="440" t="s">
        <v>604</v>
      </c>
    </row>
    <row r="16" spans="1:7" ht="15">
      <c r="A16" s="438"/>
      <c r="B16" s="438"/>
      <c r="C16" s="438"/>
      <c r="D16" s="438"/>
      <c r="E16" s="438"/>
      <c r="F16" s="438"/>
      <c r="G16" s="438"/>
    </row>
    <row r="17" spans="1:8" ht="15">
      <c r="A17" s="445" t="s">
        <v>605</v>
      </c>
      <c r="B17" s="422"/>
      <c r="C17" s="422"/>
      <c r="D17" s="422"/>
      <c r="E17" s="422"/>
      <c r="F17" s="422"/>
      <c r="G17" s="422"/>
      <c r="H17" s="422"/>
    </row>
    <row r="18" spans="1:7" ht="15">
      <c r="A18" s="439" t="s">
        <v>606</v>
      </c>
      <c r="B18" s="446"/>
      <c r="C18" s="446"/>
      <c r="D18" s="446"/>
      <c r="E18" s="446"/>
      <c r="F18" s="446"/>
      <c r="G18" s="446"/>
    </row>
    <row r="19" ht="15">
      <c r="A19" s="439" t="s">
        <v>607</v>
      </c>
    </row>
    <row r="20" ht="15">
      <c r="A20" s="439" t="s">
        <v>608</v>
      </c>
    </row>
    <row r="22" ht="15">
      <c r="A22" s="440" t="s">
        <v>609</v>
      </c>
    </row>
    <row r="24" ht="15">
      <c r="A24" s="439" t="s">
        <v>610</v>
      </c>
    </row>
    <row r="25" ht="15">
      <c r="A25" s="439" t="s">
        <v>611</v>
      </c>
    </row>
    <row r="26" ht="15">
      <c r="A26" s="439" t="s">
        <v>612</v>
      </c>
    </row>
    <row r="28" ht="15">
      <c r="A28" s="440" t="s">
        <v>613</v>
      </c>
    </row>
    <row r="30" ht="15">
      <c r="A30" t="s">
        <v>614</v>
      </c>
    </row>
    <row r="31" ht="15">
      <c r="A31" t="s">
        <v>615</v>
      </c>
    </row>
    <row r="32" ht="15">
      <c r="A32" t="s">
        <v>616</v>
      </c>
    </row>
    <row r="33" ht="15">
      <c r="A33" s="439" t="s">
        <v>617</v>
      </c>
    </row>
    <row r="35" ht="15">
      <c r="A35" t="s">
        <v>618</v>
      </c>
    </row>
    <row r="36" ht="15">
      <c r="A36" t="s">
        <v>619</v>
      </c>
    </row>
    <row r="37" ht="15">
      <c r="A37" t="s">
        <v>620</v>
      </c>
    </row>
    <row r="38" ht="15">
      <c r="A38" t="s">
        <v>621</v>
      </c>
    </row>
    <row r="40" ht="15">
      <c r="A40" t="s">
        <v>622</v>
      </c>
    </row>
    <row r="41" ht="15">
      <c r="A41" t="s">
        <v>623</v>
      </c>
    </row>
    <row r="42" ht="15">
      <c r="A42" t="s">
        <v>624</v>
      </c>
    </row>
    <row r="43" ht="15">
      <c r="A43" t="s">
        <v>625</v>
      </c>
    </row>
    <row r="44" ht="15">
      <c r="A44" t="s">
        <v>626</v>
      </c>
    </row>
    <row r="45" ht="15">
      <c r="A45" t="s">
        <v>627</v>
      </c>
    </row>
    <row r="47" ht="15">
      <c r="A47" t="s">
        <v>628</v>
      </c>
    </row>
    <row r="48" ht="15">
      <c r="A48" t="s">
        <v>629</v>
      </c>
    </row>
    <row r="49" ht="15">
      <c r="A49" s="439" t="s">
        <v>630</v>
      </c>
    </row>
    <row r="50" ht="15">
      <c r="A50" s="439" t="s">
        <v>631</v>
      </c>
    </row>
    <row r="52" ht="15">
      <c r="A52" t="s">
        <v>481</v>
      </c>
    </row>
  </sheetData>
  <sheetProtection sheet="1"/>
  <printOptions/>
  <pageMargins left="0.7" right="0.7" top="0.75" bottom="0.75" header="0.3" footer="0.3"/>
  <pageSetup horizontalDpi="600" verticalDpi="600" orientation="portrait" r:id="rId1"/>
</worksheet>
</file>

<file path=xl/worksheets/sheet51.xml><?xml version="1.0" encoding="utf-8"?>
<worksheet xmlns="http://schemas.openxmlformats.org/spreadsheetml/2006/main" xmlns:r="http://schemas.openxmlformats.org/officeDocument/2006/relationships">
  <dimension ref="A1:X354"/>
  <sheetViews>
    <sheetView zoomScalePageLayoutView="0" workbookViewId="0" topLeftCell="A30">
      <selection activeCell="H67" sqref="H67"/>
    </sheetView>
  </sheetViews>
  <sheetFormatPr defaultColWidth="8.796875" defaultRowHeight="15"/>
  <cols>
    <col min="1" max="1" width="7.59765625" style="569" customWidth="1"/>
    <col min="2" max="2" width="11.19921875" style="600" customWidth="1"/>
    <col min="3" max="3" width="7.3984375" style="600" customWidth="1"/>
    <col min="4" max="4" width="8.8984375" style="600" customWidth="1"/>
    <col min="5" max="5" width="1.59765625" style="600" customWidth="1"/>
    <col min="6" max="6" width="14.296875" style="600" customWidth="1"/>
    <col min="7" max="7" width="2.59765625" style="600" customWidth="1"/>
    <col min="8" max="8" width="9.796875" style="600" customWidth="1"/>
    <col min="9" max="9" width="2" style="600" customWidth="1"/>
    <col min="10" max="10" width="8.59765625" style="600" customWidth="1"/>
    <col min="11" max="11" width="11.69921875" style="600" customWidth="1"/>
    <col min="12" max="12" width="7.59765625" style="569" customWidth="1"/>
    <col min="13" max="14" width="8.8984375" style="569" customWidth="1"/>
    <col min="15" max="15" width="9.8984375" style="569" bestFit="1" customWidth="1"/>
    <col min="16" max="16384" width="8.8984375" style="569" customWidth="1"/>
  </cols>
  <sheetData>
    <row r="1" spans="1:12" ht="14.25">
      <c r="A1" s="599"/>
      <c r="B1" s="599"/>
      <c r="C1" s="599"/>
      <c r="D1" s="599"/>
      <c r="E1" s="599"/>
      <c r="F1" s="599"/>
      <c r="G1" s="599"/>
      <c r="H1" s="599"/>
      <c r="I1" s="599"/>
      <c r="J1" s="599"/>
      <c r="K1" s="599"/>
      <c r="L1" s="599"/>
    </row>
    <row r="2" spans="1:12" ht="14.25">
      <c r="A2" s="599"/>
      <c r="B2" s="599"/>
      <c r="C2" s="599"/>
      <c r="D2" s="599"/>
      <c r="E2" s="599"/>
      <c r="F2" s="599"/>
      <c r="G2" s="599"/>
      <c r="H2" s="599"/>
      <c r="I2" s="599"/>
      <c r="J2" s="599"/>
      <c r="K2" s="599"/>
      <c r="L2" s="599"/>
    </row>
    <row r="3" spans="1:12" ht="14.25">
      <c r="A3" s="599"/>
      <c r="B3" s="599"/>
      <c r="C3" s="599"/>
      <c r="D3" s="599"/>
      <c r="E3" s="599"/>
      <c r="F3" s="599"/>
      <c r="G3" s="599"/>
      <c r="H3" s="599"/>
      <c r="I3" s="599"/>
      <c r="J3" s="599"/>
      <c r="K3" s="599"/>
      <c r="L3" s="599"/>
    </row>
    <row r="4" spans="1:12" ht="14.25">
      <c r="A4" s="599"/>
      <c r="L4" s="599"/>
    </row>
    <row r="5" spans="1:12" ht="15" customHeight="1">
      <c r="A5" s="599"/>
      <c r="L5" s="599"/>
    </row>
    <row r="6" spans="1:12" ht="33" customHeight="1">
      <c r="A6" s="599"/>
      <c r="B6" s="819" t="s">
        <v>736</v>
      </c>
      <c r="C6" s="824"/>
      <c r="D6" s="824"/>
      <c r="E6" s="824"/>
      <c r="F6" s="824"/>
      <c r="G6" s="824"/>
      <c r="H6" s="824"/>
      <c r="I6" s="824"/>
      <c r="J6" s="824"/>
      <c r="K6" s="824"/>
      <c r="L6" s="601"/>
    </row>
    <row r="7" spans="1:12" ht="40.5" customHeight="1">
      <c r="A7" s="599"/>
      <c r="B7" s="832" t="s">
        <v>737</v>
      </c>
      <c r="C7" s="833"/>
      <c r="D7" s="833"/>
      <c r="E7" s="833"/>
      <c r="F7" s="833"/>
      <c r="G7" s="833"/>
      <c r="H7" s="833"/>
      <c r="I7" s="833"/>
      <c r="J7" s="833"/>
      <c r="K7" s="833"/>
      <c r="L7" s="599"/>
    </row>
    <row r="8" spans="1:12" ht="14.25">
      <c r="A8" s="599"/>
      <c r="B8" s="825" t="s">
        <v>738</v>
      </c>
      <c r="C8" s="825"/>
      <c r="D8" s="825"/>
      <c r="E8" s="825"/>
      <c r="F8" s="825"/>
      <c r="G8" s="825"/>
      <c r="H8" s="825"/>
      <c r="I8" s="825"/>
      <c r="J8" s="825"/>
      <c r="K8" s="825"/>
      <c r="L8" s="599"/>
    </row>
    <row r="9" spans="1:12" ht="14.25">
      <c r="A9" s="599"/>
      <c r="L9" s="599"/>
    </row>
    <row r="10" spans="1:12" ht="14.25">
      <c r="A10" s="599"/>
      <c r="B10" s="825" t="s">
        <v>739</v>
      </c>
      <c r="C10" s="825"/>
      <c r="D10" s="825"/>
      <c r="E10" s="825"/>
      <c r="F10" s="825"/>
      <c r="G10" s="825"/>
      <c r="H10" s="825"/>
      <c r="I10" s="825"/>
      <c r="J10" s="825"/>
      <c r="K10" s="825"/>
      <c r="L10" s="599"/>
    </row>
    <row r="11" spans="1:12" ht="14.25">
      <c r="A11" s="599"/>
      <c r="B11" s="580"/>
      <c r="C11" s="580"/>
      <c r="D11" s="580"/>
      <c r="E11" s="580"/>
      <c r="F11" s="580"/>
      <c r="G11" s="580"/>
      <c r="H11" s="580"/>
      <c r="I11" s="580"/>
      <c r="J11" s="580"/>
      <c r="K11" s="580"/>
      <c r="L11" s="599"/>
    </row>
    <row r="12" spans="1:12" ht="32.25" customHeight="1">
      <c r="A12" s="599"/>
      <c r="B12" s="820" t="s">
        <v>740</v>
      </c>
      <c r="C12" s="820"/>
      <c r="D12" s="820"/>
      <c r="E12" s="820"/>
      <c r="F12" s="820"/>
      <c r="G12" s="820"/>
      <c r="H12" s="820"/>
      <c r="I12" s="820"/>
      <c r="J12" s="820"/>
      <c r="K12" s="820"/>
      <c r="L12" s="599"/>
    </row>
    <row r="13" spans="1:12" ht="14.25">
      <c r="A13" s="599"/>
      <c r="L13" s="599"/>
    </row>
    <row r="14" spans="1:12" ht="14.25">
      <c r="A14" s="599"/>
      <c r="B14" s="581" t="s">
        <v>741</v>
      </c>
      <c r="L14" s="599"/>
    </row>
    <row r="15" spans="1:12" ht="14.25">
      <c r="A15" s="599"/>
      <c r="L15" s="599"/>
    </row>
    <row r="16" spans="1:12" ht="14.25">
      <c r="A16" s="599"/>
      <c r="B16" s="600" t="s">
        <v>742</v>
      </c>
      <c r="L16" s="599"/>
    </row>
    <row r="17" spans="1:12" ht="14.25">
      <c r="A17" s="599"/>
      <c r="B17" s="600" t="s">
        <v>743</v>
      </c>
      <c r="L17" s="599"/>
    </row>
    <row r="18" spans="1:12" ht="14.25">
      <c r="A18" s="599"/>
      <c r="L18" s="599"/>
    </row>
    <row r="19" spans="1:12" ht="14.25">
      <c r="A19" s="599"/>
      <c r="B19" s="581" t="s">
        <v>744</v>
      </c>
      <c r="L19" s="599"/>
    </row>
    <row r="20" spans="1:12" ht="14.25">
      <c r="A20" s="599"/>
      <c r="B20" s="581"/>
      <c r="L20" s="599"/>
    </row>
    <row r="21" spans="1:12" ht="14.25">
      <c r="A21" s="599"/>
      <c r="B21" s="600" t="s">
        <v>745</v>
      </c>
      <c r="L21" s="599"/>
    </row>
    <row r="22" spans="1:12" ht="14.25">
      <c r="A22" s="599"/>
      <c r="L22" s="599"/>
    </row>
    <row r="23" spans="1:12" ht="14.25">
      <c r="A23" s="599"/>
      <c r="B23" s="600" t="s">
        <v>746</v>
      </c>
      <c r="E23" s="600" t="s">
        <v>747</v>
      </c>
      <c r="F23" s="821">
        <v>133685008</v>
      </c>
      <c r="G23" s="821"/>
      <c r="L23" s="599"/>
    </row>
    <row r="24" spans="1:12" ht="14.25">
      <c r="A24" s="599"/>
      <c r="L24" s="599"/>
    </row>
    <row r="25" spans="1:12" ht="14.25">
      <c r="A25" s="599"/>
      <c r="C25" s="834">
        <f>F23</f>
        <v>133685008</v>
      </c>
      <c r="D25" s="834"/>
      <c r="E25" s="600" t="s">
        <v>748</v>
      </c>
      <c r="F25" s="602">
        <v>1000</v>
      </c>
      <c r="G25" s="602" t="s">
        <v>747</v>
      </c>
      <c r="H25" s="603">
        <f>F23/F25</f>
        <v>133685.008</v>
      </c>
      <c r="L25" s="599"/>
    </row>
    <row r="26" spans="1:12" ht="15" thickBot="1">
      <c r="A26" s="599"/>
      <c r="L26" s="599"/>
    </row>
    <row r="27" spans="1:12" ht="14.25">
      <c r="A27" s="599"/>
      <c r="B27" s="582" t="s">
        <v>741</v>
      </c>
      <c r="C27" s="604"/>
      <c r="D27" s="604"/>
      <c r="E27" s="604"/>
      <c r="F27" s="604"/>
      <c r="G27" s="604"/>
      <c r="H27" s="604"/>
      <c r="I27" s="604"/>
      <c r="J27" s="604"/>
      <c r="K27" s="605"/>
      <c r="L27" s="599"/>
    </row>
    <row r="28" spans="1:12" ht="14.25">
      <c r="A28" s="599"/>
      <c r="B28" s="606">
        <f>F23</f>
        <v>133685008</v>
      </c>
      <c r="C28" s="607" t="s">
        <v>749</v>
      </c>
      <c r="D28" s="607"/>
      <c r="E28" s="607" t="s">
        <v>748</v>
      </c>
      <c r="F28" s="608">
        <v>1000</v>
      </c>
      <c r="G28" s="608" t="s">
        <v>747</v>
      </c>
      <c r="H28" s="609">
        <f>B28/F28</f>
        <v>133685.008</v>
      </c>
      <c r="I28" s="607" t="s">
        <v>750</v>
      </c>
      <c r="J28" s="607"/>
      <c r="K28" s="610"/>
      <c r="L28" s="599"/>
    </row>
    <row r="29" spans="1:12" ht="15" thickBot="1">
      <c r="A29" s="599"/>
      <c r="B29" s="611"/>
      <c r="C29" s="612"/>
      <c r="D29" s="612"/>
      <c r="E29" s="612"/>
      <c r="F29" s="612"/>
      <c r="G29" s="612"/>
      <c r="H29" s="612"/>
      <c r="I29" s="612"/>
      <c r="J29" s="612"/>
      <c r="K29" s="613"/>
      <c r="L29" s="599"/>
    </row>
    <row r="30" spans="1:12" ht="40.5" customHeight="1">
      <c r="A30" s="599"/>
      <c r="B30" s="822" t="s">
        <v>737</v>
      </c>
      <c r="C30" s="822"/>
      <c r="D30" s="822"/>
      <c r="E30" s="822"/>
      <c r="F30" s="822"/>
      <c r="G30" s="822"/>
      <c r="H30" s="822"/>
      <c r="I30" s="822"/>
      <c r="J30" s="822"/>
      <c r="K30" s="822"/>
      <c r="L30" s="599"/>
    </row>
    <row r="31" spans="1:12" ht="14.25">
      <c r="A31" s="599"/>
      <c r="B31" s="825" t="s">
        <v>751</v>
      </c>
      <c r="C31" s="825"/>
      <c r="D31" s="825"/>
      <c r="E31" s="825"/>
      <c r="F31" s="825"/>
      <c r="G31" s="825"/>
      <c r="H31" s="825"/>
      <c r="I31" s="825"/>
      <c r="J31" s="825"/>
      <c r="K31" s="825"/>
      <c r="L31" s="599"/>
    </row>
    <row r="32" spans="1:12" ht="14.25">
      <c r="A32" s="599"/>
      <c r="L32" s="599"/>
    </row>
    <row r="33" spans="1:12" ht="14.25">
      <c r="A33" s="599"/>
      <c r="B33" s="825" t="s">
        <v>752</v>
      </c>
      <c r="C33" s="825"/>
      <c r="D33" s="825"/>
      <c r="E33" s="825"/>
      <c r="F33" s="825"/>
      <c r="G33" s="825"/>
      <c r="H33" s="825"/>
      <c r="I33" s="825"/>
      <c r="J33" s="825"/>
      <c r="K33" s="825"/>
      <c r="L33" s="599"/>
    </row>
    <row r="34" spans="1:12" ht="14.25">
      <c r="A34" s="599"/>
      <c r="L34" s="599"/>
    </row>
    <row r="35" spans="1:12" ht="89.25" customHeight="1">
      <c r="A35" s="599"/>
      <c r="B35" s="820" t="s">
        <v>753</v>
      </c>
      <c r="C35" s="826"/>
      <c r="D35" s="826"/>
      <c r="E35" s="826"/>
      <c r="F35" s="826"/>
      <c r="G35" s="826"/>
      <c r="H35" s="826"/>
      <c r="I35" s="826"/>
      <c r="J35" s="826"/>
      <c r="K35" s="826"/>
      <c r="L35" s="599"/>
    </row>
    <row r="36" spans="1:12" ht="14.25">
      <c r="A36" s="599"/>
      <c r="L36" s="599"/>
    </row>
    <row r="37" spans="1:12" ht="14.25">
      <c r="A37" s="599"/>
      <c r="B37" s="581" t="s">
        <v>754</v>
      </c>
      <c r="L37" s="599"/>
    </row>
    <row r="38" spans="1:12" ht="14.25">
      <c r="A38" s="599"/>
      <c r="L38" s="599"/>
    </row>
    <row r="39" spans="1:12" ht="14.25">
      <c r="A39" s="599"/>
      <c r="B39" s="600" t="s">
        <v>755</v>
      </c>
      <c r="L39" s="599"/>
    </row>
    <row r="40" spans="1:12" ht="14.25">
      <c r="A40" s="599"/>
      <c r="L40" s="599"/>
    </row>
    <row r="41" spans="1:12" ht="14.25">
      <c r="A41" s="599"/>
      <c r="C41" s="827">
        <v>3120000</v>
      </c>
      <c r="D41" s="827"/>
      <c r="E41" s="600" t="s">
        <v>748</v>
      </c>
      <c r="F41" s="602">
        <v>1000</v>
      </c>
      <c r="G41" s="602" t="s">
        <v>747</v>
      </c>
      <c r="H41" s="614">
        <f>C41/F41</f>
        <v>3120</v>
      </c>
      <c r="L41" s="599"/>
    </row>
    <row r="42" spans="1:12" ht="14.25">
      <c r="A42" s="599"/>
      <c r="L42" s="599"/>
    </row>
    <row r="43" spans="1:12" ht="14.25">
      <c r="A43" s="599"/>
      <c r="B43" s="600" t="s">
        <v>756</v>
      </c>
      <c r="L43" s="599"/>
    </row>
    <row r="44" spans="1:12" ht="14.25">
      <c r="A44" s="599"/>
      <c r="L44" s="599"/>
    </row>
    <row r="45" spans="1:12" ht="14.25">
      <c r="A45" s="599"/>
      <c r="B45" s="600" t="s">
        <v>757</v>
      </c>
      <c r="L45" s="599"/>
    </row>
    <row r="46" spans="1:12" ht="15" thickBot="1">
      <c r="A46" s="599"/>
      <c r="L46" s="599"/>
    </row>
    <row r="47" spans="1:12" ht="14.25">
      <c r="A47" s="599"/>
      <c r="B47" s="615" t="s">
        <v>741</v>
      </c>
      <c r="C47" s="604"/>
      <c r="D47" s="604"/>
      <c r="E47" s="604"/>
      <c r="F47" s="604"/>
      <c r="G47" s="604"/>
      <c r="H47" s="604"/>
      <c r="I47" s="604"/>
      <c r="J47" s="604"/>
      <c r="K47" s="605"/>
      <c r="L47" s="599"/>
    </row>
    <row r="48" spans="1:12" ht="14.25">
      <c r="A48" s="599"/>
      <c r="B48" s="821">
        <v>133685008</v>
      </c>
      <c r="C48" s="821"/>
      <c r="D48" s="607" t="s">
        <v>758</v>
      </c>
      <c r="E48" s="607" t="s">
        <v>748</v>
      </c>
      <c r="F48" s="608">
        <v>1000</v>
      </c>
      <c r="G48" s="608" t="s">
        <v>747</v>
      </c>
      <c r="H48" s="609">
        <f>B48/F48</f>
        <v>133685.008</v>
      </c>
      <c r="I48" s="607" t="s">
        <v>759</v>
      </c>
      <c r="J48" s="607"/>
      <c r="K48" s="610"/>
      <c r="L48" s="599"/>
    </row>
    <row r="49" spans="1:12" ht="14.25">
      <c r="A49" s="599"/>
      <c r="B49" s="616"/>
      <c r="C49" s="607"/>
      <c r="D49" s="607"/>
      <c r="E49" s="607"/>
      <c r="F49" s="607"/>
      <c r="G49" s="607"/>
      <c r="H49" s="607"/>
      <c r="I49" s="607"/>
      <c r="J49" s="607"/>
      <c r="K49" s="610"/>
      <c r="L49" s="599"/>
    </row>
    <row r="50" spans="1:12" ht="14.25">
      <c r="A50" s="599"/>
      <c r="B50" s="617">
        <v>7067793</v>
      </c>
      <c r="C50" s="607" t="s">
        <v>760</v>
      </c>
      <c r="D50" s="607"/>
      <c r="E50" s="607" t="s">
        <v>748</v>
      </c>
      <c r="F50" s="609">
        <f>H48</f>
        <v>133685.008</v>
      </c>
      <c r="G50" s="828" t="s">
        <v>761</v>
      </c>
      <c r="H50" s="829"/>
      <c r="I50" s="608" t="s">
        <v>747</v>
      </c>
      <c r="J50" s="618">
        <f>B50/F50</f>
        <v>52.8690023342034</v>
      </c>
      <c r="K50" s="610"/>
      <c r="L50" s="599"/>
    </row>
    <row r="51" spans="1:15" ht="15" thickBot="1">
      <c r="A51" s="599"/>
      <c r="B51" s="611"/>
      <c r="C51" s="612"/>
      <c r="D51" s="612"/>
      <c r="E51" s="612"/>
      <c r="F51" s="612"/>
      <c r="G51" s="612"/>
      <c r="H51" s="612"/>
      <c r="I51" s="830" t="s">
        <v>762</v>
      </c>
      <c r="J51" s="830"/>
      <c r="K51" s="831"/>
      <c r="L51" s="599"/>
      <c r="O51" s="619"/>
    </row>
    <row r="52" spans="1:12" ht="40.5" customHeight="1">
      <c r="A52" s="599"/>
      <c r="B52" s="822" t="s">
        <v>737</v>
      </c>
      <c r="C52" s="822"/>
      <c r="D52" s="822"/>
      <c r="E52" s="822"/>
      <c r="F52" s="822"/>
      <c r="G52" s="822"/>
      <c r="H52" s="822"/>
      <c r="I52" s="822"/>
      <c r="J52" s="822"/>
      <c r="K52" s="822"/>
      <c r="L52" s="599"/>
    </row>
    <row r="53" spans="1:12" ht="14.25">
      <c r="A53" s="599"/>
      <c r="B53" s="825" t="s">
        <v>763</v>
      </c>
      <c r="C53" s="825"/>
      <c r="D53" s="825"/>
      <c r="E53" s="825"/>
      <c r="F53" s="825"/>
      <c r="G53" s="825"/>
      <c r="H53" s="825"/>
      <c r="I53" s="825"/>
      <c r="J53" s="825"/>
      <c r="K53" s="825"/>
      <c r="L53" s="599"/>
    </row>
    <row r="54" spans="1:12" ht="14.25">
      <c r="A54" s="599"/>
      <c r="B54" s="580"/>
      <c r="C54" s="580"/>
      <c r="D54" s="580"/>
      <c r="E54" s="580"/>
      <c r="F54" s="580"/>
      <c r="G54" s="580"/>
      <c r="H54" s="580"/>
      <c r="I54" s="580"/>
      <c r="J54" s="580"/>
      <c r="K54" s="580"/>
      <c r="L54" s="599"/>
    </row>
    <row r="55" spans="1:12" ht="14.25">
      <c r="A55" s="599"/>
      <c r="B55" s="819" t="s">
        <v>764</v>
      </c>
      <c r="C55" s="819"/>
      <c r="D55" s="819"/>
      <c r="E55" s="819"/>
      <c r="F55" s="819"/>
      <c r="G55" s="819"/>
      <c r="H55" s="819"/>
      <c r="I55" s="819"/>
      <c r="J55" s="819"/>
      <c r="K55" s="819"/>
      <c r="L55" s="599"/>
    </row>
    <row r="56" spans="1:12" ht="15" customHeight="1">
      <c r="A56" s="599"/>
      <c r="L56" s="599"/>
    </row>
    <row r="57" spans="1:24" ht="74.25" customHeight="1">
      <c r="A57" s="599"/>
      <c r="B57" s="820" t="s">
        <v>765</v>
      </c>
      <c r="C57" s="826"/>
      <c r="D57" s="826"/>
      <c r="E57" s="826"/>
      <c r="F57" s="826"/>
      <c r="G57" s="826"/>
      <c r="H57" s="826"/>
      <c r="I57" s="826"/>
      <c r="J57" s="826"/>
      <c r="K57" s="826"/>
      <c r="L57" s="599"/>
      <c r="M57" s="583"/>
      <c r="N57" s="568"/>
      <c r="O57" s="568"/>
      <c r="P57" s="568"/>
      <c r="Q57" s="568"/>
      <c r="R57" s="568"/>
      <c r="S57" s="568"/>
      <c r="T57" s="568"/>
      <c r="U57" s="568"/>
      <c r="V57" s="568"/>
      <c r="W57" s="568"/>
      <c r="X57" s="568"/>
    </row>
    <row r="58" spans="1:24" ht="15" customHeight="1">
      <c r="A58" s="599"/>
      <c r="B58" s="820"/>
      <c r="C58" s="826"/>
      <c r="D58" s="826"/>
      <c r="E58" s="826"/>
      <c r="F58" s="826"/>
      <c r="G58" s="826"/>
      <c r="H58" s="826"/>
      <c r="I58" s="826"/>
      <c r="J58" s="826"/>
      <c r="K58" s="826"/>
      <c r="L58" s="599"/>
      <c r="M58" s="583"/>
      <c r="N58" s="568"/>
      <c r="O58" s="568"/>
      <c r="P58" s="568"/>
      <c r="Q58" s="568"/>
      <c r="R58" s="568"/>
      <c r="S58" s="568"/>
      <c r="T58" s="568"/>
      <c r="U58" s="568"/>
      <c r="V58" s="568"/>
      <c r="W58" s="568"/>
      <c r="X58" s="568"/>
    </row>
    <row r="59" spans="1:24" ht="14.25">
      <c r="A59" s="599"/>
      <c r="B59" s="581" t="s">
        <v>754</v>
      </c>
      <c r="L59" s="599"/>
      <c r="M59" s="568"/>
      <c r="N59" s="568"/>
      <c r="O59" s="568"/>
      <c r="P59" s="568"/>
      <c r="Q59" s="568"/>
      <c r="R59" s="568"/>
      <c r="S59" s="568"/>
      <c r="T59" s="568"/>
      <c r="U59" s="568"/>
      <c r="V59" s="568"/>
      <c r="W59" s="568"/>
      <c r="X59" s="568"/>
    </row>
    <row r="60" spans="1:24" ht="14.25">
      <c r="A60" s="599"/>
      <c r="L60" s="599"/>
      <c r="M60" s="568"/>
      <c r="N60" s="568"/>
      <c r="O60" s="568"/>
      <c r="P60" s="568"/>
      <c r="Q60" s="568"/>
      <c r="R60" s="568"/>
      <c r="S60" s="568"/>
      <c r="T60" s="568"/>
      <c r="U60" s="568"/>
      <c r="V60" s="568"/>
      <c r="W60" s="568"/>
      <c r="X60" s="568"/>
    </row>
    <row r="61" spans="1:24" ht="14.25">
      <c r="A61" s="599"/>
      <c r="B61" s="600" t="s">
        <v>766</v>
      </c>
      <c r="L61" s="599"/>
      <c r="M61" s="568"/>
      <c r="N61" s="568"/>
      <c r="O61" s="568"/>
      <c r="P61" s="568"/>
      <c r="Q61" s="568"/>
      <c r="R61" s="568"/>
      <c r="S61" s="568"/>
      <c r="T61" s="568"/>
      <c r="U61" s="568"/>
      <c r="V61" s="568"/>
      <c r="W61" s="568"/>
      <c r="X61" s="568"/>
    </row>
    <row r="62" spans="1:24" ht="14.25">
      <c r="A62" s="599"/>
      <c r="B62" s="600" t="s">
        <v>767</v>
      </c>
      <c r="L62" s="599"/>
      <c r="M62" s="568"/>
      <c r="N62" s="568"/>
      <c r="O62" s="568"/>
      <c r="P62" s="568"/>
      <c r="Q62" s="568"/>
      <c r="R62" s="568"/>
      <c r="S62" s="568"/>
      <c r="T62" s="568"/>
      <c r="U62" s="568"/>
      <c r="V62" s="568"/>
      <c r="W62" s="568"/>
      <c r="X62" s="568"/>
    </row>
    <row r="63" spans="1:24" ht="14.25">
      <c r="A63" s="599"/>
      <c r="B63" s="600" t="s">
        <v>768</v>
      </c>
      <c r="L63" s="599"/>
      <c r="M63" s="568"/>
      <c r="N63" s="568"/>
      <c r="O63" s="568"/>
      <c r="P63" s="568"/>
      <c r="Q63" s="568"/>
      <c r="R63" s="568"/>
      <c r="S63" s="568"/>
      <c r="T63" s="568"/>
      <c r="U63" s="568"/>
      <c r="V63" s="568"/>
      <c r="W63" s="568"/>
      <c r="X63" s="568"/>
    </row>
    <row r="64" spans="1:24" ht="14.25">
      <c r="A64" s="599"/>
      <c r="L64" s="599"/>
      <c r="M64" s="568"/>
      <c r="N64" s="568"/>
      <c r="O64" s="568"/>
      <c r="P64" s="568"/>
      <c r="Q64" s="568"/>
      <c r="R64" s="568"/>
      <c r="S64" s="568"/>
      <c r="T64" s="568"/>
      <c r="U64" s="568"/>
      <c r="V64" s="568"/>
      <c r="W64" s="568"/>
      <c r="X64" s="568"/>
    </row>
    <row r="65" spans="1:24" ht="14.25">
      <c r="A65" s="599"/>
      <c r="B65" s="600" t="s">
        <v>769</v>
      </c>
      <c r="L65" s="599"/>
      <c r="M65" s="568"/>
      <c r="N65" s="568"/>
      <c r="O65" s="568"/>
      <c r="P65" s="568"/>
      <c r="Q65" s="568"/>
      <c r="R65" s="568"/>
      <c r="S65" s="568"/>
      <c r="T65" s="568"/>
      <c r="U65" s="568"/>
      <c r="V65" s="568"/>
      <c r="W65" s="568"/>
      <c r="X65" s="568"/>
    </row>
    <row r="66" spans="1:24" ht="14.25">
      <c r="A66" s="599"/>
      <c r="B66" s="600" t="s">
        <v>770</v>
      </c>
      <c r="L66" s="599"/>
      <c r="M66" s="568"/>
      <c r="N66" s="568"/>
      <c r="O66" s="568"/>
      <c r="P66" s="568"/>
      <c r="Q66" s="568"/>
      <c r="R66" s="568"/>
      <c r="S66" s="568"/>
      <c r="T66" s="568"/>
      <c r="U66" s="568"/>
      <c r="V66" s="568"/>
      <c r="W66" s="568"/>
      <c r="X66" s="568"/>
    </row>
    <row r="67" spans="1:24" ht="14.25">
      <c r="A67" s="599"/>
      <c r="L67" s="599"/>
      <c r="M67" s="568"/>
      <c r="N67" s="568"/>
      <c r="O67" s="568"/>
      <c r="P67" s="568"/>
      <c r="Q67" s="568"/>
      <c r="R67" s="568"/>
      <c r="S67" s="568"/>
      <c r="T67" s="568"/>
      <c r="U67" s="568"/>
      <c r="V67" s="568"/>
      <c r="W67" s="568"/>
      <c r="X67" s="568"/>
    </row>
    <row r="68" spans="1:24" ht="14.25">
      <c r="A68" s="599"/>
      <c r="B68" s="600" t="s">
        <v>771</v>
      </c>
      <c r="L68" s="599"/>
      <c r="M68" s="584"/>
      <c r="N68" s="567"/>
      <c r="O68" s="567"/>
      <c r="P68" s="567"/>
      <c r="Q68" s="567"/>
      <c r="R68" s="567"/>
      <c r="S68" s="567"/>
      <c r="T68" s="567"/>
      <c r="U68" s="567"/>
      <c r="V68" s="567"/>
      <c r="W68" s="567"/>
      <c r="X68" s="568"/>
    </row>
    <row r="69" spans="1:24" ht="14.25">
      <c r="A69" s="599"/>
      <c r="B69" s="600" t="s">
        <v>772</v>
      </c>
      <c r="L69" s="599"/>
      <c r="M69" s="568"/>
      <c r="N69" s="568"/>
      <c r="O69" s="568"/>
      <c r="P69" s="568"/>
      <c r="Q69" s="568"/>
      <c r="R69" s="568"/>
      <c r="S69" s="568"/>
      <c r="T69" s="568"/>
      <c r="U69" s="568"/>
      <c r="V69" s="568"/>
      <c r="W69" s="568"/>
      <c r="X69" s="568"/>
    </row>
    <row r="70" spans="1:24" ht="14.25">
      <c r="A70" s="599"/>
      <c r="B70" s="600" t="s">
        <v>773</v>
      </c>
      <c r="L70" s="599"/>
      <c r="M70" s="568"/>
      <c r="N70" s="568"/>
      <c r="O70" s="568"/>
      <c r="P70" s="568"/>
      <c r="Q70" s="568"/>
      <c r="R70" s="568"/>
      <c r="S70" s="568"/>
      <c r="T70" s="568"/>
      <c r="U70" s="568"/>
      <c r="V70" s="568"/>
      <c r="W70" s="568"/>
      <c r="X70" s="568"/>
    </row>
    <row r="71" spans="1:12" ht="15" thickBot="1">
      <c r="A71" s="599"/>
      <c r="B71" s="607"/>
      <c r="C71" s="607"/>
      <c r="D71" s="607"/>
      <c r="E71" s="607"/>
      <c r="F71" s="607"/>
      <c r="G71" s="607"/>
      <c r="H71" s="607"/>
      <c r="I71" s="607"/>
      <c r="J71" s="607"/>
      <c r="K71" s="607"/>
      <c r="L71" s="599"/>
    </row>
    <row r="72" spans="1:12" ht="14.25">
      <c r="A72" s="599"/>
      <c r="B72" s="582" t="s">
        <v>741</v>
      </c>
      <c r="C72" s="604"/>
      <c r="D72" s="604"/>
      <c r="E72" s="604"/>
      <c r="F72" s="604"/>
      <c r="G72" s="604"/>
      <c r="H72" s="604"/>
      <c r="I72" s="604"/>
      <c r="J72" s="604"/>
      <c r="K72" s="605"/>
      <c r="L72" s="620"/>
    </row>
    <row r="73" spans="1:12" ht="14.25">
      <c r="A73" s="599"/>
      <c r="B73" s="616"/>
      <c r="C73" s="607" t="s">
        <v>749</v>
      </c>
      <c r="D73" s="607"/>
      <c r="E73" s="607"/>
      <c r="F73" s="607"/>
      <c r="G73" s="607"/>
      <c r="H73" s="607"/>
      <c r="I73" s="607"/>
      <c r="J73" s="607"/>
      <c r="K73" s="610"/>
      <c r="L73" s="620"/>
    </row>
    <row r="74" spans="1:12" ht="14.25">
      <c r="A74" s="599"/>
      <c r="B74" s="616" t="s">
        <v>774</v>
      </c>
      <c r="C74" s="821">
        <v>220187728</v>
      </c>
      <c r="D74" s="821"/>
      <c r="E74" s="608" t="s">
        <v>748</v>
      </c>
      <c r="F74" s="608">
        <v>1000</v>
      </c>
      <c r="G74" s="608" t="s">
        <v>747</v>
      </c>
      <c r="H74" s="621">
        <f>C74/F74</f>
        <v>220187.728</v>
      </c>
      <c r="I74" s="607" t="s">
        <v>775</v>
      </c>
      <c r="J74" s="607"/>
      <c r="K74" s="610"/>
      <c r="L74" s="620"/>
    </row>
    <row r="75" spans="1:12" ht="14.25">
      <c r="A75" s="599"/>
      <c r="B75" s="616"/>
      <c r="C75" s="607"/>
      <c r="D75" s="607"/>
      <c r="E75" s="608"/>
      <c r="F75" s="607"/>
      <c r="G75" s="607"/>
      <c r="H75" s="607"/>
      <c r="I75" s="607"/>
      <c r="J75" s="607"/>
      <c r="K75" s="610"/>
      <c r="L75" s="620"/>
    </row>
    <row r="76" spans="1:12" ht="14.25">
      <c r="A76" s="599"/>
      <c r="B76" s="616"/>
      <c r="C76" s="607" t="s">
        <v>776</v>
      </c>
      <c r="D76" s="607"/>
      <c r="E76" s="608"/>
      <c r="F76" s="607" t="s">
        <v>775</v>
      </c>
      <c r="G76" s="607"/>
      <c r="H76" s="607"/>
      <c r="I76" s="607"/>
      <c r="J76" s="607"/>
      <c r="K76" s="610"/>
      <c r="L76" s="620"/>
    </row>
    <row r="77" spans="1:12" ht="14.25">
      <c r="A77" s="599"/>
      <c r="B77" s="616" t="s">
        <v>779</v>
      </c>
      <c r="C77" s="821">
        <v>5000</v>
      </c>
      <c r="D77" s="821"/>
      <c r="E77" s="608" t="s">
        <v>748</v>
      </c>
      <c r="F77" s="621">
        <f>H74</f>
        <v>220187.728</v>
      </c>
      <c r="G77" s="608" t="s">
        <v>747</v>
      </c>
      <c r="H77" s="618">
        <f>C77/F77</f>
        <v>0.02270789587328863</v>
      </c>
      <c r="I77" s="607" t="s">
        <v>777</v>
      </c>
      <c r="J77" s="607"/>
      <c r="K77" s="610"/>
      <c r="L77" s="620"/>
    </row>
    <row r="78" spans="1:12" ht="14.25">
      <c r="A78" s="599"/>
      <c r="B78" s="616"/>
      <c r="C78" s="607"/>
      <c r="D78" s="607"/>
      <c r="E78" s="608"/>
      <c r="F78" s="607"/>
      <c r="G78" s="607"/>
      <c r="H78" s="607"/>
      <c r="I78" s="607"/>
      <c r="J78" s="607"/>
      <c r="K78" s="610"/>
      <c r="L78" s="620"/>
    </row>
    <row r="79" spans="1:12" ht="14.25">
      <c r="A79" s="599"/>
      <c r="B79" s="622"/>
      <c r="C79" s="623" t="s">
        <v>778</v>
      </c>
      <c r="D79" s="623"/>
      <c r="E79" s="624"/>
      <c r="F79" s="623"/>
      <c r="G79" s="623"/>
      <c r="H79" s="623"/>
      <c r="I79" s="623"/>
      <c r="J79" s="623"/>
      <c r="K79" s="625"/>
      <c r="L79" s="620"/>
    </row>
    <row r="80" spans="1:12" ht="14.25">
      <c r="A80" s="599"/>
      <c r="B80" s="616" t="s">
        <v>822</v>
      </c>
      <c r="C80" s="821">
        <v>100000</v>
      </c>
      <c r="D80" s="821"/>
      <c r="E80" s="608" t="s">
        <v>149</v>
      </c>
      <c r="F80" s="608">
        <v>0.115</v>
      </c>
      <c r="G80" s="608" t="s">
        <v>747</v>
      </c>
      <c r="H80" s="621">
        <f>C80*F80</f>
        <v>11500</v>
      </c>
      <c r="I80" s="607" t="s">
        <v>780</v>
      </c>
      <c r="J80" s="607"/>
      <c r="K80" s="610"/>
      <c r="L80" s="620"/>
    </row>
    <row r="81" spans="1:12" ht="14.25">
      <c r="A81" s="599"/>
      <c r="B81" s="616"/>
      <c r="C81" s="607"/>
      <c r="D81" s="607"/>
      <c r="E81" s="608"/>
      <c r="F81" s="607"/>
      <c r="G81" s="607"/>
      <c r="H81" s="607"/>
      <c r="I81" s="607"/>
      <c r="J81" s="607"/>
      <c r="K81" s="610"/>
      <c r="L81" s="620"/>
    </row>
    <row r="82" spans="1:12" ht="14.25">
      <c r="A82" s="599"/>
      <c r="B82" s="622"/>
      <c r="C82" s="623" t="s">
        <v>781</v>
      </c>
      <c r="D82" s="623"/>
      <c r="E82" s="624"/>
      <c r="F82" s="623" t="s">
        <v>777</v>
      </c>
      <c r="G82" s="623"/>
      <c r="H82" s="623"/>
      <c r="I82" s="623"/>
      <c r="J82" s="623" t="s">
        <v>782</v>
      </c>
      <c r="K82" s="625"/>
      <c r="L82" s="620"/>
    </row>
    <row r="83" spans="1:12" ht="14.25">
      <c r="A83" s="599"/>
      <c r="B83" s="616" t="s">
        <v>823</v>
      </c>
      <c r="C83" s="810">
        <f>H80</f>
        <v>11500</v>
      </c>
      <c r="D83" s="810"/>
      <c r="E83" s="608" t="s">
        <v>149</v>
      </c>
      <c r="F83" s="618">
        <f>H77</f>
        <v>0.02270789587328863</v>
      </c>
      <c r="G83" s="608" t="s">
        <v>748</v>
      </c>
      <c r="H83" s="608">
        <v>1000</v>
      </c>
      <c r="I83" s="608" t="s">
        <v>747</v>
      </c>
      <c r="J83" s="626">
        <f>C83*F83/H83</f>
        <v>0.26114080254281924</v>
      </c>
      <c r="K83" s="610"/>
      <c r="L83" s="620"/>
    </row>
    <row r="84" spans="1:12" ht="15" thickBot="1">
      <c r="A84" s="599"/>
      <c r="B84" s="611"/>
      <c r="C84" s="627"/>
      <c r="D84" s="627"/>
      <c r="E84" s="628"/>
      <c r="F84" s="629"/>
      <c r="G84" s="628"/>
      <c r="H84" s="628"/>
      <c r="I84" s="628"/>
      <c r="J84" s="630"/>
      <c r="K84" s="613"/>
      <c r="L84" s="620"/>
    </row>
    <row r="85" spans="1:12" ht="40.5" customHeight="1">
      <c r="A85" s="599"/>
      <c r="B85" s="822" t="s">
        <v>737</v>
      </c>
      <c r="C85" s="822"/>
      <c r="D85" s="822"/>
      <c r="E85" s="822"/>
      <c r="F85" s="822"/>
      <c r="G85" s="822"/>
      <c r="H85" s="822"/>
      <c r="I85" s="822"/>
      <c r="J85" s="822"/>
      <c r="K85" s="822"/>
      <c r="L85" s="599"/>
    </row>
    <row r="86" spans="1:12" ht="14.25">
      <c r="A86" s="599"/>
      <c r="B86" s="819" t="s">
        <v>783</v>
      </c>
      <c r="C86" s="819"/>
      <c r="D86" s="819"/>
      <c r="E86" s="819"/>
      <c r="F86" s="819"/>
      <c r="G86" s="819"/>
      <c r="H86" s="819"/>
      <c r="I86" s="819"/>
      <c r="J86" s="819"/>
      <c r="K86" s="819"/>
      <c r="L86" s="599"/>
    </row>
    <row r="87" spans="1:12" ht="14.25">
      <c r="A87" s="599"/>
      <c r="B87" s="631"/>
      <c r="C87" s="631"/>
      <c r="D87" s="631"/>
      <c r="E87" s="631"/>
      <c r="F87" s="631"/>
      <c r="G87" s="631"/>
      <c r="H87" s="631"/>
      <c r="I87" s="631"/>
      <c r="J87" s="631"/>
      <c r="K87" s="631"/>
      <c r="L87" s="599"/>
    </row>
    <row r="88" spans="1:12" ht="14.25">
      <c r="A88" s="599"/>
      <c r="B88" s="819" t="s">
        <v>784</v>
      </c>
      <c r="C88" s="819"/>
      <c r="D88" s="819"/>
      <c r="E88" s="819"/>
      <c r="F88" s="819"/>
      <c r="G88" s="819"/>
      <c r="H88" s="819"/>
      <c r="I88" s="819"/>
      <c r="J88" s="819"/>
      <c r="K88" s="819"/>
      <c r="L88" s="599"/>
    </row>
    <row r="89" spans="1:12" ht="14.25">
      <c r="A89" s="599"/>
      <c r="B89" s="585"/>
      <c r="C89" s="585"/>
      <c r="D89" s="585"/>
      <c r="E89" s="585"/>
      <c r="F89" s="585"/>
      <c r="G89" s="585"/>
      <c r="H89" s="585"/>
      <c r="I89" s="585"/>
      <c r="J89" s="585"/>
      <c r="K89" s="585"/>
      <c r="L89" s="599"/>
    </row>
    <row r="90" spans="1:12" ht="45" customHeight="1">
      <c r="A90" s="599"/>
      <c r="B90" s="820" t="s">
        <v>785</v>
      </c>
      <c r="C90" s="820"/>
      <c r="D90" s="820"/>
      <c r="E90" s="820"/>
      <c r="F90" s="820"/>
      <c r="G90" s="820"/>
      <c r="H90" s="820"/>
      <c r="I90" s="820"/>
      <c r="J90" s="820"/>
      <c r="K90" s="820"/>
      <c r="L90" s="599"/>
    </row>
    <row r="91" spans="1:12" ht="15" customHeight="1" thickBot="1">
      <c r="A91" s="599"/>
      <c r="L91" s="599"/>
    </row>
    <row r="92" spans="1:12" ht="15" customHeight="1">
      <c r="A92" s="599"/>
      <c r="B92" s="586" t="s">
        <v>741</v>
      </c>
      <c r="C92" s="632"/>
      <c r="D92" s="632"/>
      <c r="E92" s="632"/>
      <c r="F92" s="632"/>
      <c r="G92" s="632"/>
      <c r="H92" s="632"/>
      <c r="I92" s="632"/>
      <c r="J92" s="632"/>
      <c r="K92" s="633"/>
      <c r="L92" s="599"/>
    </row>
    <row r="93" spans="1:12" ht="15" customHeight="1">
      <c r="A93" s="599"/>
      <c r="B93" s="634"/>
      <c r="C93" s="635" t="s">
        <v>749</v>
      </c>
      <c r="D93" s="635"/>
      <c r="E93" s="635"/>
      <c r="F93" s="635"/>
      <c r="G93" s="635"/>
      <c r="H93" s="635"/>
      <c r="I93" s="635"/>
      <c r="J93" s="635"/>
      <c r="K93" s="636"/>
      <c r="L93" s="599"/>
    </row>
    <row r="94" spans="1:12" ht="15" customHeight="1">
      <c r="A94" s="599"/>
      <c r="B94" s="634" t="s">
        <v>774</v>
      </c>
      <c r="C94" s="821">
        <v>133685008</v>
      </c>
      <c r="D94" s="821"/>
      <c r="E94" s="608" t="s">
        <v>748</v>
      </c>
      <c r="F94" s="608">
        <v>1000</v>
      </c>
      <c r="G94" s="608" t="s">
        <v>747</v>
      </c>
      <c r="H94" s="621">
        <f>C94/F94</f>
        <v>133685.008</v>
      </c>
      <c r="I94" s="635" t="s">
        <v>775</v>
      </c>
      <c r="J94" s="635"/>
      <c r="K94" s="636"/>
      <c r="L94" s="599"/>
    </row>
    <row r="95" spans="1:12" ht="15" customHeight="1">
      <c r="A95" s="599"/>
      <c r="B95" s="634"/>
      <c r="C95" s="635"/>
      <c r="D95" s="635"/>
      <c r="E95" s="608"/>
      <c r="F95" s="635"/>
      <c r="G95" s="635"/>
      <c r="H95" s="635"/>
      <c r="I95" s="635"/>
      <c r="J95" s="635"/>
      <c r="K95" s="636"/>
      <c r="L95" s="599"/>
    </row>
    <row r="96" spans="1:12" ht="15" customHeight="1">
      <c r="A96" s="599"/>
      <c r="B96" s="634"/>
      <c r="C96" s="635" t="s">
        <v>776</v>
      </c>
      <c r="D96" s="635"/>
      <c r="E96" s="608"/>
      <c r="F96" s="635" t="s">
        <v>775</v>
      </c>
      <c r="G96" s="635"/>
      <c r="H96" s="635"/>
      <c r="I96" s="635"/>
      <c r="J96" s="635"/>
      <c r="K96" s="636"/>
      <c r="L96" s="599"/>
    </row>
    <row r="97" spans="1:12" ht="15" customHeight="1">
      <c r="A97" s="599"/>
      <c r="B97" s="634" t="s">
        <v>779</v>
      </c>
      <c r="C97" s="821">
        <v>50000</v>
      </c>
      <c r="D97" s="821"/>
      <c r="E97" s="608" t="s">
        <v>748</v>
      </c>
      <c r="F97" s="621">
        <f>H94</f>
        <v>133685.008</v>
      </c>
      <c r="G97" s="608" t="s">
        <v>747</v>
      </c>
      <c r="H97" s="618">
        <f>C97/F97</f>
        <v>0.3740135169083432</v>
      </c>
      <c r="I97" s="635" t="s">
        <v>777</v>
      </c>
      <c r="J97" s="635"/>
      <c r="K97" s="636"/>
      <c r="L97" s="599"/>
    </row>
    <row r="98" spans="1:12" ht="15" customHeight="1">
      <c r="A98" s="599"/>
      <c r="B98" s="634"/>
      <c r="C98" s="635"/>
      <c r="D98" s="635"/>
      <c r="E98" s="608"/>
      <c r="F98" s="635"/>
      <c r="G98" s="635"/>
      <c r="H98" s="635"/>
      <c r="I98" s="635"/>
      <c r="J98" s="635"/>
      <c r="K98" s="636"/>
      <c r="L98" s="599"/>
    </row>
    <row r="99" spans="1:12" ht="15" customHeight="1">
      <c r="A99" s="599"/>
      <c r="B99" s="637"/>
      <c r="C99" s="638" t="s">
        <v>786</v>
      </c>
      <c r="D99" s="638"/>
      <c r="E99" s="624"/>
      <c r="F99" s="638"/>
      <c r="G99" s="638"/>
      <c r="H99" s="638"/>
      <c r="I99" s="638"/>
      <c r="J99" s="638"/>
      <c r="K99" s="639"/>
      <c r="L99" s="599"/>
    </row>
    <row r="100" spans="1:12" ht="15" customHeight="1">
      <c r="A100" s="599"/>
      <c r="B100" s="634" t="s">
        <v>822</v>
      </c>
      <c r="C100" s="821">
        <v>2500000</v>
      </c>
      <c r="D100" s="821"/>
      <c r="E100" s="608" t="s">
        <v>149</v>
      </c>
      <c r="F100" s="640">
        <v>0.3</v>
      </c>
      <c r="G100" s="608" t="s">
        <v>747</v>
      </c>
      <c r="H100" s="621">
        <f>C100*F100</f>
        <v>750000</v>
      </c>
      <c r="I100" s="635" t="s">
        <v>780</v>
      </c>
      <c r="J100" s="635"/>
      <c r="K100" s="636"/>
      <c r="L100" s="599"/>
    </row>
    <row r="101" spans="1:12" ht="15" customHeight="1">
      <c r="A101" s="599"/>
      <c r="B101" s="634"/>
      <c r="C101" s="635"/>
      <c r="D101" s="635"/>
      <c r="E101" s="608"/>
      <c r="F101" s="635"/>
      <c r="G101" s="635"/>
      <c r="H101" s="635"/>
      <c r="I101" s="635"/>
      <c r="J101" s="635"/>
      <c r="K101" s="636"/>
      <c r="L101" s="599"/>
    </row>
    <row r="102" spans="1:12" ht="15" customHeight="1">
      <c r="A102" s="599"/>
      <c r="B102" s="637"/>
      <c r="C102" s="638" t="s">
        <v>781</v>
      </c>
      <c r="D102" s="638"/>
      <c r="E102" s="624"/>
      <c r="F102" s="638" t="s">
        <v>777</v>
      </c>
      <c r="G102" s="638"/>
      <c r="H102" s="638"/>
      <c r="I102" s="638"/>
      <c r="J102" s="638" t="s">
        <v>782</v>
      </c>
      <c r="K102" s="639"/>
      <c r="L102" s="599"/>
    </row>
    <row r="103" spans="1:12" ht="15" customHeight="1">
      <c r="A103" s="599"/>
      <c r="B103" s="634" t="s">
        <v>823</v>
      </c>
      <c r="C103" s="810">
        <f>H100</f>
        <v>750000</v>
      </c>
      <c r="D103" s="810"/>
      <c r="E103" s="608" t="s">
        <v>149</v>
      </c>
      <c r="F103" s="618">
        <f>H97</f>
        <v>0.3740135169083432</v>
      </c>
      <c r="G103" s="608" t="s">
        <v>748</v>
      </c>
      <c r="H103" s="608">
        <v>1000</v>
      </c>
      <c r="I103" s="608" t="s">
        <v>747</v>
      </c>
      <c r="J103" s="626">
        <f>C103*F103/H103</f>
        <v>280.51013768125745</v>
      </c>
      <c r="K103" s="636"/>
      <c r="L103" s="599"/>
    </row>
    <row r="104" spans="1:12" ht="15" customHeight="1" thickBot="1">
      <c r="A104" s="599"/>
      <c r="B104" s="641"/>
      <c r="C104" s="627"/>
      <c r="D104" s="627"/>
      <c r="E104" s="628"/>
      <c r="F104" s="629"/>
      <c r="G104" s="628"/>
      <c r="H104" s="628"/>
      <c r="I104" s="628"/>
      <c r="J104" s="630"/>
      <c r="K104" s="642"/>
      <c r="L104" s="599"/>
    </row>
    <row r="105" spans="1:12" ht="40.5" customHeight="1">
      <c r="A105" s="599"/>
      <c r="B105" s="822" t="s">
        <v>737</v>
      </c>
      <c r="C105" s="823"/>
      <c r="D105" s="823"/>
      <c r="E105" s="823"/>
      <c r="F105" s="823"/>
      <c r="G105" s="823"/>
      <c r="H105" s="823"/>
      <c r="I105" s="823"/>
      <c r="J105" s="823"/>
      <c r="K105" s="823"/>
      <c r="L105" s="599"/>
    </row>
    <row r="106" spans="1:12" ht="15" customHeight="1">
      <c r="A106" s="599"/>
      <c r="B106" s="817" t="s">
        <v>787</v>
      </c>
      <c r="C106" s="824"/>
      <c r="D106" s="824"/>
      <c r="E106" s="824"/>
      <c r="F106" s="824"/>
      <c r="G106" s="824"/>
      <c r="H106" s="824"/>
      <c r="I106" s="824"/>
      <c r="J106" s="824"/>
      <c r="K106" s="824"/>
      <c r="L106" s="599"/>
    </row>
    <row r="107" spans="1:12" ht="15" customHeight="1">
      <c r="A107" s="599"/>
      <c r="B107" s="635"/>
      <c r="C107" s="643"/>
      <c r="D107" s="643"/>
      <c r="E107" s="608"/>
      <c r="F107" s="618"/>
      <c r="G107" s="608"/>
      <c r="H107" s="608"/>
      <c r="I107" s="608"/>
      <c r="J107" s="626"/>
      <c r="K107" s="635"/>
      <c r="L107" s="599"/>
    </row>
    <row r="108" spans="1:12" ht="15" customHeight="1">
      <c r="A108" s="599"/>
      <c r="B108" s="817" t="s">
        <v>788</v>
      </c>
      <c r="C108" s="818"/>
      <c r="D108" s="818"/>
      <c r="E108" s="818"/>
      <c r="F108" s="818"/>
      <c r="G108" s="818"/>
      <c r="H108" s="818"/>
      <c r="I108" s="818"/>
      <c r="J108" s="818"/>
      <c r="K108" s="818"/>
      <c r="L108" s="599"/>
    </row>
    <row r="109" spans="1:12" ht="15" customHeight="1">
      <c r="A109" s="599"/>
      <c r="B109" s="635"/>
      <c r="C109" s="643"/>
      <c r="D109" s="643"/>
      <c r="E109" s="608"/>
      <c r="F109" s="618"/>
      <c r="G109" s="608"/>
      <c r="H109" s="608"/>
      <c r="I109" s="608"/>
      <c r="J109" s="626"/>
      <c r="K109" s="635"/>
      <c r="L109" s="599"/>
    </row>
    <row r="110" spans="1:12" ht="59.25" customHeight="1">
      <c r="A110" s="599"/>
      <c r="B110" s="835" t="s">
        <v>789</v>
      </c>
      <c r="C110" s="826"/>
      <c r="D110" s="826"/>
      <c r="E110" s="826"/>
      <c r="F110" s="826"/>
      <c r="G110" s="826"/>
      <c r="H110" s="826"/>
      <c r="I110" s="826"/>
      <c r="J110" s="826"/>
      <c r="K110" s="826"/>
      <c r="L110" s="599"/>
    </row>
    <row r="111" spans="1:12" ht="15" thickBot="1">
      <c r="A111" s="599"/>
      <c r="B111" s="580"/>
      <c r="C111" s="580"/>
      <c r="D111" s="580"/>
      <c r="E111" s="580"/>
      <c r="F111" s="580"/>
      <c r="G111" s="580"/>
      <c r="H111" s="580"/>
      <c r="I111" s="580"/>
      <c r="J111" s="580"/>
      <c r="K111" s="580"/>
      <c r="L111" s="644"/>
    </row>
    <row r="112" spans="1:12" ht="14.25">
      <c r="A112" s="599"/>
      <c r="B112" s="582" t="s">
        <v>741</v>
      </c>
      <c r="C112" s="604"/>
      <c r="D112" s="604"/>
      <c r="E112" s="604"/>
      <c r="F112" s="604"/>
      <c r="G112" s="604"/>
      <c r="H112" s="604"/>
      <c r="I112" s="604"/>
      <c r="J112" s="604"/>
      <c r="K112" s="605"/>
      <c r="L112" s="599"/>
    </row>
    <row r="113" spans="1:12" ht="14.25">
      <c r="A113" s="599"/>
      <c r="B113" s="616"/>
      <c r="C113" s="607" t="s">
        <v>749</v>
      </c>
      <c r="D113" s="607"/>
      <c r="E113" s="607"/>
      <c r="F113" s="607"/>
      <c r="G113" s="607"/>
      <c r="H113" s="607"/>
      <c r="I113" s="607"/>
      <c r="J113" s="607"/>
      <c r="K113" s="610"/>
      <c r="L113" s="599"/>
    </row>
    <row r="114" spans="1:12" ht="14.25">
      <c r="A114" s="599"/>
      <c r="B114" s="616" t="s">
        <v>774</v>
      </c>
      <c r="C114" s="821">
        <v>133685008</v>
      </c>
      <c r="D114" s="821"/>
      <c r="E114" s="608" t="s">
        <v>748</v>
      </c>
      <c r="F114" s="608">
        <v>1000</v>
      </c>
      <c r="G114" s="608" t="s">
        <v>747</v>
      </c>
      <c r="H114" s="621">
        <f>C114/F114</f>
        <v>133685.008</v>
      </c>
      <c r="I114" s="607" t="s">
        <v>775</v>
      </c>
      <c r="J114" s="607"/>
      <c r="K114" s="610"/>
      <c r="L114" s="599"/>
    </row>
    <row r="115" spans="1:12" ht="14.25">
      <c r="A115" s="599"/>
      <c r="B115" s="616"/>
      <c r="C115" s="607"/>
      <c r="D115" s="607"/>
      <c r="E115" s="608"/>
      <c r="F115" s="607"/>
      <c r="G115" s="607"/>
      <c r="H115" s="607"/>
      <c r="I115" s="607"/>
      <c r="J115" s="607"/>
      <c r="K115" s="610"/>
      <c r="L115" s="599"/>
    </row>
    <row r="116" spans="1:12" ht="14.25">
      <c r="A116" s="599"/>
      <c r="B116" s="616"/>
      <c r="C116" s="607" t="s">
        <v>776</v>
      </c>
      <c r="D116" s="607"/>
      <c r="E116" s="608"/>
      <c r="F116" s="607" t="s">
        <v>775</v>
      </c>
      <c r="G116" s="607"/>
      <c r="H116" s="607"/>
      <c r="I116" s="607"/>
      <c r="J116" s="607"/>
      <c r="K116" s="610"/>
      <c r="L116" s="599"/>
    </row>
    <row r="117" spans="1:12" ht="14.25">
      <c r="A117" s="599"/>
      <c r="B117" s="616" t="s">
        <v>779</v>
      </c>
      <c r="C117" s="821">
        <v>50000</v>
      </c>
      <c r="D117" s="821"/>
      <c r="E117" s="608" t="s">
        <v>748</v>
      </c>
      <c r="F117" s="621">
        <f>H114</f>
        <v>133685.008</v>
      </c>
      <c r="G117" s="608" t="s">
        <v>747</v>
      </c>
      <c r="H117" s="618">
        <f>C117/F117</f>
        <v>0.3740135169083432</v>
      </c>
      <c r="I117" s="607" t="s">
        <v>777</v>
      </c>
      <c r="J117" s="607"/>
      <c r="K117" s="610"/>
      <c r="L117" s="599"/>
    </row>
    <row r="118" spans="1:12" ht="14.25">
      <c r="A118" s="599"/>
      <c r="B118" s="616"/>
      <c r="C118" s="607"/>
      <c r="D118" s="607"/>
      <c r="E118" s="608"/>
      <c r="F118" s="607"/>
      <c r="G118" s="607"/>
      <c r="H118" s="607"/>
      <c r="I118" s="607"/>
      <c r="J118" s="607"/>
      <c r="K118" s="610"/>
      <c r="L118" s="599"/>
    </row>
    <row r="119" spans="1:12" ht="14.25">
      <c r="A119" s="599"/>
      <c r="B119" s="622"/>
      <c r="C119" s="623" t="s">
        <v>786</v>
      </c>
      <c r="D119" s="623"/>
      <c r="E119" s="624"/>
      <c r="F119" s="623"/>
      <c r="G119" s="623"/>
      <c r="H119" s="623"/>
      <c r="I119" s="623"/>
      <c r="J119" s="623"/>
      <c r="K119" s="625"/>
      <c r="L119" s="599"/>
    </row>
    <row r="120" spans="1:12" ht="14.25">
      <c r="A120" s="599"/>
      <c r="B120" s="616" t="s">
        <v>822</v>
      </c>
      <c r="C120" s="821">
        <v>2500000</v>
      </c>
      <c r="D120" s="821"/>
      <c r="E120" s="608" t="s">
        <v>149</v>
      </c>
      <c r="F120" s="640">
        <v>0.25</v>
      </c>
      <c r="G120" s="608" t="s">
        <v>747</v>
      </c>
      <c r="H120" s="621">
        <f>C120*F120</f>
        <v>625000</v>
      </c>
      <c r="I120" s="607" t="s">
        <v>780</v>
      </c>
      <c r="J120" s="607"/>
      <c r="K120" s="610"/>
      <c r="L120" s="599"/>
    </row>
    <row r="121" spans="1:12" ht="14.25">
      <c r="A121" s="599"/>
      <c r="B121" s="616"/>
      <c r="C121" s="607"/>
      <c r="D121" s="607"/>
      <c r="E121" s="608"/>
      <c r="F121" s="607"/>
      <c r="G121" s="607"/>
      <c r="H121" s="607"/>
      <c r="I121" s="607"/>
      <c r="J121" s="607"/>
      <c r="K121" s="610"/>
      <c r="L121" s="599"/>
    </row>
    <row r="122" spans="1:12" ht="14.25">
      <c r="A122" s="599"/>
      <c r="B122" s="622"/>
      <c r="C122" s="623" t="s">
        <v>781</v>
      </c>
      <c r="D122" s="623"/>
      <c r="E122" s="624"/>
      <c r="F122" s="623" t="s">
        <v>777</v>
      </c>
      <c r="G122" s="623"/>
      <c r="H122" s="623"/>
      <c r="I122" s="623"/>
      <c r="J122" s="623" t="s">
        <v>782</v>
      </c>
      <c r="K122" s="625"/>
      <c r="L122" s="599"/>
    </row>
    <row r="123" spans="1:12" ht="14.25">
      <c r="A123" s="599"/>
      <c r="B123" s="616" t="s">
        <v>823</v>
      </c>
      <c r="C123" s="810">
        <f>H120</f>
        <v>625000</v>
      </c>
      <c r="D123" s="810"/>
      <c r="E123" s="608" t="s">
        <v>149</v>
      </c>
      <c r="F123" s="618">
        <f>H117</f>
        <v>0.3740135169083432</v>
      </c>
      <c r="G123" s="608" t="s">
        <v>748</v>
      </c>
      <c r="H123" s="608">
        <v>1000</v>
      </c>
      <c r="I123" s="608" t="s">
        <v>747</v>
      </c>
      <c r="J123" s="626">
        <f>C123*F123/H123</f>
        <v>233.7584480677145</v>
      </c>
      <c r="K123" s="610"/>
      <c r="L123" s="599"/>
    </row>
    <row r="124" spans="1:12" ht="15" thickBot="1">
      <c r="A124" s="599"/>
      <c r="B124" s="611"/>
      <c r="C124" s="627"/>
      <c r="D124" s="627"/>
      <c r="E124" s="628"/>
      <c r="F124" s="629"/>
      <c r="G124" s="628"/>
      <c r="H124" s="628"/>
      <c r="I124" s="628"/>
      <c r="J124" s="630"/>
      <c r="K124" s="613"/>
      <c r="L124" s="599"/>
    </row>
    <row r="125" spans="1:12" ht="40.5" customHeight="1">
      <c r="A125" s="599"/>
      <c r="B125" s="822" t="s">
        <v>737</v>
      </c>
      <c r="C125" s="822"/>
      <c r="D125" s="822"/>
      <c r="E125" s="822"/>
      <c r="F125" s="822"/>
      <c r="G125" s="822"/>
      <c r="H125" s="822"/>
      <c r="I125" s="822"/>
      <c r="J125" s="822"/>
      <c r="K125" s="822"/>
      <c r="L125" s="644"/>
    </row>
    <row r="126" spans="1:12" ht="14.25">
      <c r="A126" s="599"/>
      <c r="B126" s="819" t="s">
        <v>790</v>
      </c>
      <c r="C126" s="819"/>
      <c r="D126" s="819"/>
      <c r="E126" s="819"/>
      <c r="F126" s="819"/>
      <c r="G126" s="819"/>
      <c r="H126" s="819"/>
      <c r="I126" s="819"/>
      <c r="J126" s="819"/>
      <c r="K126" s="819"/>
      <c r="L126" s="644"/>
    </row>
    <row r="127" spans="1:12" ht="14.25">
      <c r="A127" s="599"/>
      <c r="B127" s="580"/>
      <c r="C127" s="580"/>
      <c r="D127" s="580"/>
      <c r="E127" s="580"/>
      <c r="F127" s="580"/>
      <c r="G127" s="580"/>
      <c r="H127" s="580"/>
      <c r="I127" s="580"/>
      <c r="J127" s="580"/>
      <c r="K127" s="580"/>
      <c r="L127" s="644"/>
    </row>
    <row r="128" spans="1:12" ht="14.25">
      <c r="A128" s="599"/>
      <c r="B128" s="819" t="s">
        <v>791</v>
      </c>
      <c r="C128" s="819"/>
      <c r="D128" s="819"/>
      <c r="E128" s="819"/>
      <c r="F128" s="819"/>
      <c r="G128" s="819"/>
      <c r="H128" s="819"/>
      <c r="I128" s="819"/>
      <c r="J128" s="819"/>
      <c r="K128" s="819"/>
      <c r="L128" s="644"/>
    </row>
    <row r="129" spans="1:12" ht="14.25">
      <c r="A129" s="599"/>
      <c r="B129" s="585"/>
      <c r="C129" s="585"/>
      <c r="D129" s="585"/>
      <c r="E129" s="585"/>
      <c r="F129" s="585"/>
      <c r="G129" s="585"/>
      <c r="H129" s="585"/>
      <c r="I129" s="585"/>
      <c r="J129" s="585"/>
      <c r="K129" s="585"/>
      <c r="L129" s="644"/>
    </row>
    <row r="130" spans="1:12" ht="74.25" customHeight="1">
      <c r="A130" s="599"/>
      <c r="B130" s="820" t="s">
        <v>824</v>
      </c>
      <c r="C130" s="820"/>
      <c r="D130" s="820"/>
      <c r="E130" s="820"/>
      <c r="F130" s="820"/>
      <c r="G130" s="820"/>
      <c r="H130" s="820"/>
      <c r="I130" s="820"/>
      <c r="J130" s="820"/>
      <c r="K130" s="820"/>
      <c r="L130" s="644"/>
    </row>
    <row r="131" spans="1:12" ht="15" thickBot="1">
      <c r="A131" s="599"/>
      <c r="L131" s="599"/>
    </row>
    <row r="132" spans="1:12" ht="14.25">
      <c r="A132" s="599"/>
      <c r="B132" s="582" t="s">
        <v>741</v>
      </c>
      <c r="C132" s="604"/>
      <c r="D132" s="604"/>
      <c r="E132" s="604"/>
      <c r="F132" s="604"/>
      <c r="G132" s="604"/>
      <c r="H132" s="604"/>
      <c r="I132" s="604"/>
      <c r="J132" s="604"/>
      <c r="K132" s="605"/>
      <c r="L132" s="599"/>
    </row>
    <row r="133" spans="1:12" ht="14.25">
      <c r="A133" s="599"/>
      <c r="B133" s="616"/>
      <c r="C133" s="836" t="s">
        <v>792</v>
      </c>
      <c r="D133" s="836"/>
      <c r="E133" s="607"/>
      <c r="F133" s="608" t="s">
        <v>793</v>
      </c>
      <c r="G133" s="607"/>
      <c r="H133" s="836" t="s">
        <v>780</v>
      </c>
      <c r="I133" s="836"/>
      <c r="J133" s="607"/>
      <c r="K133" s="610"/>
      <c r="L133" s="599"/>
    </row>
    <row r="134" spans="1:12" ht="14.25">
      <c r="A134" s="599"/>
      <c r="B134" s="616" t="s">
        <v>774</v>
      </c>
      <c r="C134" s="821">
        <v>100000</v>
      </c>
      <c r="D134" s="821"/>
      <c r="E134" s="608" t="s">
        <v>149</v>
      </c>
      <c r="F134" s="608">
        <v>0.115</v>
      </c>
      <c r="G134" s="608" t="s">
        <v>747</v>
      </c>
      <c r="H134" s="808">
        <f>C134*F134</f>
        <v>11500</v>
      </c>
      <c r="I134" s="808"/>
      <c r="J134" s="607"/>
      <c r="K134" s="610"/>
      <c r="L134" s="599"/>
    </row>
    <row r="135" spans="1:12" ht="14.25">
      <c r="A135" s="599"/>
      <c r="B135" s="616"/>
      <c r="C135" s="607"/>
      <c r="D135" s="607"/>
      <c r="E135" s="607"/>
      <c r="F135" s="607"/>
      <c r="G135" s="607"/>
      <c r="H135" s="607"/>
      <c r="I135" s="607"/>
      <c r="J135" s="607"/>
      <c r="K135" s="610"/>
      <c r="L135" s="599"/>
    </row>
    <row r="136" spans="1:12" ht="14.25">
      <c r="A136" s="599"/>
      <c r="B136" s="622"/>
      <c r="C136" s="811" t="s">
        <v>780</v>
      </c>
      <c r="D136" s="811"/>
      <c r="E136" s="623"/>
      <c r="F136" s="624" t="s">
        <v>794</v>
      </c>
      <c r="G136" s="624"/>
      <c r="H136" s="623"/>
      <c r="I136" s="623"/>
      <c r="J136" s="623" t="s">
        <v>795</v>
      </c>
      <c r="K136" s="625"/>
      <c r="L136" s="599"/>
    </row>
    <row r="137" spans="1:12" ht="14.25">
      <c r="A137" s="599"/>
      <c r="B137" s="616" t="s">
        <v>779</v>
      </c>
      <c r="C137" s="808">
        <f>H134</f>
        <v>11500</v>
      </c>
      <c r="D137" s="808"/>
      <c r="E137" s="608" t="s">
        <v>149</v>
      </c>
      <c r="F137" s="645">
        <v>52.869</v>
      </c>
      <c r="G137" s="608" t="s">
        <v>748</v>
      </c>
      <c r="H137" s="608">
        <v>1000</v>
      </c>
      <c r="I137" s="608" t="s">
        <v>747</v>
      </c>
      <c r="J137" s="646">
        <f>C137*F137/H137</f>
        <v>607.9935</v>
      </c>
      <c r="K137" s="610"/>
      <c r="L137" s="599"/>
    </row>
    <row r="138" spans="1:12" ht="15" thickBot="1">
      <c r="A138" s="599"/>
      <c r="B138" s="611"/>
      <c r="C138" s="647"/>
      <c r="D138" s="647"/>
      <c r="E138" s="628"/>
      <c r="F138" s="648"/>
      <c r="G138" s="628"/>
      <c r="H138" s="628"/>
      <c r="I138" s="628"/>
      <c r="J138" s="649"/>
      <c r="K138" s="613"/>
      <c r="L138" s="599"/>
    </row>
    <row r="139" spans="1:12" ht="40.5" customHeight="1">
      <c r="A139" s="599"/>
      <c r="B139" s="587" t="s">
        <v>737</v>
      </c>
      <c r="C139" s="588"/>
      <c r="D139" s="588"/>
      <c r="E139" s="589"/>
      <c r="F139" s="590"/>
      <c r="G139" s="589"/>
      <c r="H139" s="589"/>
      <c r="I139" s="589"/>
      <c r="J139" s="591"/>
      <c r="K139" s="592"/>
      <c r="L139" s="599"/>
    </row>
    <row r="140" spans="1:12" ht="14.25">
      <c r="A140" s="599"/>
      <c r="B140" s="593" t="s">
        <v>825</v>
      </c>
      <c r="C140" s="594"/>
      <c r="D140" s="594"/>
      <c r="E140" s="595"/>
      <c r="F140" s="596"/>
      <c r="G140" s="595"/>
      <c r="H140" s="595"/>
      <c r="I140" s="595"/>
      <c r="J140" s="597"/>
      <c r="K140" s="598"/>
      <c r="L140" s="599"/>
    </row>
    <row r="141" spans="1:12" ht="14.25">
      <c r="A141" s="599"/>
      <c r="B141" s="616"/>
      <c r="C141" s="621"/>
      <c r="D141" s="621"/>
      <c r="E141" s="608"/>
      <c r="F141" s="650"/>
      <c r="G141" s="608"/>
      <c r="H141" s="608"/>
      <c r="I141" s="608"/>
      <c r="J141" s="646"/>
      <c r="K141" s="610"/>
      <c r="L141" s="599"/>
    </row>
    <row r="142" spans="1:12" ht="14.25">
      <c r="A142" s="599"/>
      <c r="B142" s="593" t="s">
        <v>826</v>
      </c>
      <c r="C142" s="594"/>
      <c r="D142" s="594"/>
      <c r="E142" s="595"/>
      <c r="F142" s="596"/>
      <c r="G142" s="595"/>
      <c r="H142" s="595"/>
      <c r="I142" s="595"/>
      <c r="J142" s="597"/>
      <c r="K142" s="598"/>
      <c r="L142" s="599"/>
    </row>
    <row r="143" spans="1:12" ht="14.25">
      <c r="A143" s="599"/>
      <c r="B143" s="616"/>
      <c r="C143" s="621"/>
      <c r="D143" s="621"/>
      <c r="E143" s="608"/>
      <c r="F143" s="650"/>
      <c r="G143" s="608"/>
      <c r="H143" s="608"/>
      <c r="I143" s="608"/>
      <c r="J143" s="646"/>
      <c r="K143" s="610"/>
      <c r="L143" s="599"/>
    </row>
    <row r="144" spans="1:12" ht="76.5" customHeight="1">
      <c r="A144" s="599"/>
      <c r="B144" s="812" t="s">
        <v>827</v>
      </c>
      <c r="C144" s="813"/>
      <c r="D144" s="813"/>
      <c r="E144" s="813"/>
      <c r="F144" s="813"/>
      <c r="G144" s="813"/>
      <c r="H144" s="813"/>
      <c r="I144" s="813"/>
      <c r="J144" s="813"/>
      <c r="K144" s="814"/>
      <c r="L144" s="599"/>
    </row>
    <row r="145" spans="1:12" ht="15" thickBot="1">
      <c r="A145" s="599"/>
      <c r="B145" s="616"/>
      <c r="C145" s="621"/>
      <c r="D145" s="621"/>
      <c r="E145" s="608"/>
      <c r="F145" s="650"/>
      <c r="G145" s="608"/>
      <c r="H145" s="608"/>
      <c r="I145" s="608"/>
      <c r="J145" s="646"/>
      <c r="K145" s="610"/>
      <c r="L145" s="599"/>
    </row>
    <row r="146" spans="1:12" ht="14.25">
      <c r="A146" s="599"/>
      <c r="B146" s="582" t="s">
        <v>741</v>
      </c>
      <c r="C146" s="651"/>
      <c r="D146" s="651"/>
      <c r="E146" s="652"/>
      <c r="F146" s="653"/>
      <c r="G146" s="652"/>
      <c r="H146" s="652"/>
      <c r="I146" s="652"/>
      <c r="J146" s="654"/>
      <c r="K146" s="605"/>
      <c r="L146" s="599"/>
    </row>
    <row r="147" spans="1:12" ht="14.25">
      <c r="A147" s="599"/>
      <c r="B147" s="616"/>
      <c r="C147" s="808" t="s">
        <v>828</v>
      </c>
      <c r="D147" s="808"/>
      <c r="E147" s="608"/>
      <c r="F147" s="650" t="s">
        <v>829</v>
      </c>
      <c r="G147" s="608"/>
      <c r="H147" s="608"/>
      <c r="I147" s="608"/>
      <c r="J147" s="815" t="s">
        <v>830</v>
      </c>
      <c r="K147" s="816"/>
      <c r="L147" s="599"/>
    </row>
    <row r="148" spans="1:12" ht="14.25">
      <c r="A148" s="599"/>
      <c r="B148" s="616"/>
      <c r="C148" s="807">
        <v>52.869</v>
      </c>
      <c r="D148" s="807"/>
      <c r="E148" s="608" t="s">
        <v>149</v>
      </c>
      <c r="F148" s="655">
        <v>133685008</v>
      </c>
      <c r="G148" s="656" t="s">
        <v>748</v>
      </c>
      <c r="H148" s="608">
        <v>1000</v>
      </c>
      <c r="I148" s="608" t="s">
        <v>747</v>
      </c>
      <c r="J148" s="808">
        <f>C148*(F148/1000)</f>
        <v>7067792.687952</v>
      </c>
      <c r="K148" s="809"/>
      <c r="L148" s="599"/>
    </row>
    <row r="149" spans="1:12" ht="15" thickBot="1">
      <c r="A149" s="599"/>
      <c r="B149" s="611"/>
      <c r="C149" s="647"/>
      <c r="D149" s="647"/>
      <c r="E149" s="628"/>
      <c r="F149" s="648"/>
      <c r="G149" s="628"/>
      <c r="H149" s="628"/>
      <c r="I149" s="628"/>
      <c r="J149" s="649"/>
      <c r="K149" s="613"/>
      <c r="L149" s="599"/>
    </row>
    <row r="150" spans="1:12" ht="15" thickBot="1">
      <c r="A150" s="599"/>
      <c r="B150" s="611"/>
      <c r="C150" s="612"/>
      <c r="D150" s="612"/>
      <c r="E150" s="612"/>
      <c r="F150" s="612"/>
      <c r="G150" s="612"/>
      <c r="H150" s="612"/>
      <c r="I150" s="612"/>
      <c r="J150" s="612"/>
      <c r="K150" s="613"/>
      <c r="L150" s="599"/>
    </row>
    <row r="151" spans="1:12" ht="14.25">
      <c r="A151" s="599"/>
      <c r="B151" s="599"/>
      <c r="C151" s="599"/>
      <c r="D151" s="599"/>
      <c r="E151" s="599"/>
      <c r="F151" s="599"/>
      <c r="G151" s="599"/>
      <c r="H151" s="599"/>
      <c r="I151" s="599"/>
      <c r="J151" s="599"/>
      <c r="K151" s="599"/>
      <c r="L151" s="599"/>
    </row>
    <row r="152" spans="1:12" ht="14.25">
      <c r="A152" s="599"/>
      <c r="B152" s="599"/>
      <c r="C152" s="599"/>
      <c r="D152" s="599"/>
      <c r="E152" s="599"/>
      <c r="F152" s="599"/>
      <c r="G152" s="599"/>
      <c r="H152" s="599"/>
      <c r="I152" s="599"/>
      <c r="J152" s="599"/>
      <c r="K152" s="599"/>
      <c r="L152" s="599"/>
    </row>
    <row r="153" spans="1:12" ht="14.25">
      <c r="A153" s="599"/>
      <c r="B153" s="599"/>
      <c r="C153" s="599"/>
      <c r="D153" s="599"/>
      <c r="E153" s="599"/>
      <c r="F153" s="599"/>
      <c r="G153" s="599"/>
      <c r="H153" s="599"/>
      <c r="I153" s="599"/>
      <c r="J153" s="599"/>
      <c r="K153" s="599"/>
      <c r="L153" s="599"/>
    </row>
    <row r="154" spans="1:12" ht="14.25">
      <c r="A154" s="657"/>
      <c r="B154" s="657"/>
      <c r="C154" s="657"/>
      <c r="D154" s="657"/>
      <c r="E154" s="657"/>
      <c r="F154" s="657"/>
      <c r="G154" s="657"/>
      <c r="H154" s="657"/>
      <c r="I154" s="657"/>
      <c r="J154" s="657"/>
      <c r="K154" s="657"/>
      <c r="L154" s="657"/>
    </row>
    <row r="155" spans="1:12" ht="14.25">
      <c r="A155" s="657"/>
      <c r="B155" s="657"/>
      <c r="C155" s="657"/>
      <c r="D155" s="657"/>
      <c r="E155" s="657"/>
      <c r="F155" s="657"/>
      <c r="G155" s="657"/>
      <c r="H155" s="657"/>
      <c r="I155" s="657"/>
      <c r="J155" s="657"/>
      <c r="K155" s="657"/>
      <c r="L155" s="657"/>
    </row>
    <row r="156" spans="1:12" ht="14.25">
      <c r="A156" s="657"/>
      <c r="B156" s="657"/>
      <c r="C156" s="657"/>
      <c r="D156" s="657"/>
      <c r="E156" s="657"/>
      <c r="F156" s="657"/>
      <c r="G156" s="657"/>
      <c r="H156" s="657"/>
      <c r="I156" s="657"/>
      <c r="J156" s="657"/>
      <c r="K156" s="657"/>
      <c r="L156" s="657"/>
    </row>
    <row r="157" spans="1:12" ht="14.25">
      <c r="A157" s="657"/>
      <c r="B157" s="657"/>
      <c r="C157" s="657"/>
      <c r="D157" s="657"/>
      <c r="E157" s="657"/>
      <c r="F157" s="657"/>
      <c r="G157" s="657"/>
      <c r="H157" s="657"/>
      <c r="I157" s="657"/>
      <c r="J157" s="657"/>
      <c r="K157" s="657"/>
      <c r="L157" s="657"/>
    </row>
    <row r="158" spans="1:12" ht="14.25">
      <c r="A158" s="657"/>
      <c r="B158" s="657"/>
      <c r="C158" s="657"/>
      <c r="D158" s="657"/>
      <c r="E158" s="657"/>
      <c r="F158" s="657"/>
      <c r="G158" s="657"/>
      <c r="H158" s="657"/>
      <c r="I158" s="657"/>
      <c r="J158" s="657"/>
      <c r="K158" s="657"/>
      <c r="L158" s="657"/>
    </row>
    <row r="159" spans="1:12" ht="14.25">
      <c r="A159" s="657"/>
      <c r="B159" s="657"/>
      <c r="C159" s="657"/>
      <c r="D159" s="657"/>
      <c r="E159" s="657"/>
      <c r="F159" s="657"/>
      <c r="G159" s="657"/>
      <c r="H159" s="657"/>
      <c r="I159" s="657"/>
      <c r="J159" s="657"/>
      <c r="K159" s="657"/>
      <c r="L159" s="657"/>
    </row>
    <row r="160" spans="1:12" ht="14.25">
      <c r="A160" s="657"/>
      <c r="B160" s="657"/>
      <c r="C160" s="657"/>
      <c r="D160" s="657"/>
      <c r="E160" s="657"/>
      <c r="F160" s="657"/>
      <c r="G160" s="657"/>
      <c r="H160" s="657"/>
      <c r="I160" s="657"/>
      <c r="J160" s="657"/>
      <c r="K160" s="657"/>
      <c r="L160" s="657"/>
    </row>
    <row r="161" spans="1:12" ht="14.25">
      <c r="A161" s="657"/>
      <c r="B161" s="657"/>
      <c r="C161" s="657"/>
      <c r="D161" s="657"/>
      <c r="E161" s="657"/>
      <c r="F161" s="657"/>
      <c r="G161" s="657"/>
      <c r="H161" s="657"/>
      <c r="I161" s="657"/>
      <c r="J161" s="657"/>
      <c r="K161" s="657"/>
      <c r="L161" s="657"/>
    </row>
    <row r="162" spans="1:12" ht="14.25">
      <c r="A162" s="657"/>
      <c r="B162" s="657"/>
      <c r="C162" s="657"/>
      <c r="D162" s="657"/>
      <c r="E162" s="657"/>
      <c r="F162" s="657"/>
      <c r="G162" s="657"/>
      <c r="H162" s="657"/>
      <c r="I162" s="657"/>
      <c r="J162" s="657"/>
      <c r="K162" s="657"/>
      <c r="L162" s="657"/>
    </row>
    <row r="163" spans="1:12" ht="14.25">
      <c r="A163" s="657"/>
      <c r="B163" s="657"/>
      <c r="C163" s="657"/>
      <c r="D163" s="657"/>
      <c r="E163" s="657"/>
      <c r="F163" s="657"/>
      <c r="G163" s="657"/>
      <c r="H163" s="657"/>
      <c r="I163" s="657"/>
      <c r="J163" s="657"/>
      <c r="K163" s="657"/>
      <c r="L163" s="657"/>
    </row>
    <row r="164" spans="1:12" ht="14.25">
      <c r="A164" s="657"/>
      <c r="B164" s="657"/>
      <c r="C164" s="657"/>
      <c r="D164" s="657"/>
      <c r="E164" s="657"/>
      <c r="F164" s="657"/>
      <c r="G164" s="657"/>
      <c r="H164" s="657"/>
      <c r="I164" s="657"/>
      <c r="J164" s="657"/>
      <c r="K164" s="657"/>
      <c r="L164" s="657"/>
    </row>
    <row r="165" spans="1:12" ht="14.25">
      <c r="A165" s="657"/>
      <c r="B165" s="657"/>
      <c r="C165" s="657"/>
      <c r="D165" s="657"/>
      <c r="E165" s="657"/>
      <c r="F165" s="657"/>
      <c r="G165" s="657"/>
      <c r="H165" s="657"/>
      <c r="I165" s="657"/>
      <c r="J165" s="657"/>
      <c r="K165" s="657"/>
      <c r="L165" s="657"/>
    </row>
    <row r="166" spans="1:12" ht="14.25">
      <c r="A166" s="657"/>
      <c r="B166" s="657"/>
      <c r="C166" s="657"/>
      <c r="D166" s="657"/>
      <c r="E166" s="657"/>
      <c r="F166" s="657"/>
      <c r="G166" s="657"/>
      <c r="H166" s="657"/>
      <c r="I166" s="657"/>
      <c r="J166" s="657"/>
      <c r="K166" s="657"/>
      <c r="L166" s="657"/>
    </row>
    <row r="167" spans="1:12" ht="14.25">
      <c r="A167" s="657"/>
      <c r="B167" s="657"/>
      <c r="C167" s="657"/>
      <c r="D167" s="657"/>
      <c r="E167" s="657"/>
      <c r="F167" s="657"/>
      <c r="G167" s="657"/>
      <c r="H167" s="657"/>
      <c r="I167" s="657"/>
      <c r="J167" s="657"/>
      <c r="K167" s="657"/>
      <c r="L167" s="657"/>
    </row>
    <row r="168" spans="1:12" ht="14.25">
      <c r="A168" s="657"/>
      <c r="B168" s="657"/>
      <c r="C168" s="657"/>
      <c r="D168" s="657"/>
      <c r="E168" s="657"/>
      <c r="F168" s="657"/>
      <c r="G168" s="657"/>
      <c r="H168" s="657"/>
      <c r="I168" s="657"/>
      <c r="J168" s="657"/>
      <c r="K168" s="657"/>
      <c r="L168" s="657"/>
    </row>
    <row r="169" spans="1:12" ht="14.25">
      <c r="A169" s="657"/>
      <c r="B169" s="657"/>
      <c r="C169" s="657"/>
      <c r="D169" s="657"/>
      <c r="E169" s="657"/>
      <c r="F169" s="657"/>
      <c r="G169" s="657"/>
      <c r="H169" s="657"/>
      <c r="I169" s="657"/>
      <c r="J169" s="657"/>
      <c r="K169" s="657"/>
      <c r="L169" s="657"/>
    </row>
    <row r="170" spans="1:12" ht="14.25">
      <c r="A170" s="657"/>
      <c r="B170" s="657"/>
      <c r="C170" s="657"/>
      <c r="D170" s="657"/>
      <c r="E170" s="657"/>
      <c r="F170" s="657"/>
      <c r="G170" s="657"/>
      <c r="H170" s="657"/>
      <c r="I170" s="657"/>
      <c r="J170" s="657"/>
      <c r="K170" s="657"/>
      <c r="L170" s="657"/>
    </row>
    <row r="171" spans="1:12" ht="14.25">
      <c r="A171" s="657"/>
      <c r="B171" s="657"/>
      <c r="C171" s="657"/>
      <c r="D171" s="657"/>
      <c r="E171" s="657"/>
      <c r="F171" s="657"/>
      <c r="G171" s="657"/>
      <c r="H171" s="657"/>
      <c r="I171" s="657"/>
      <c r="J171" s="657"/>
      <c r="K171" s="657"/>
      <c r="L171" s="657"/>
    </row>
    <row r="172" spans="1:12" ht="14.25">
      <c r="A172" s="657"/>
      <c r="B172" s="657"/>
      <c r="C172" s="657"/>
      <c r="D172" s="657"/>
      <c r="E172" s="657"/>
      <c r="F172" s="657"/>
      <c r="G172" s="657"/>
      <c r="H172" s="657"/>
      <c r="I172" s="657"/>
      <c r="J172" s="657"/>
      <c r="K172" s="657"/>
      <c r="L172" s="657"/>
    </row>
    <row r="173" spans="1:12" ht="14.25">
      <c r="A173" s="657"/>
      <c r="B173" s="657"/>
      <c r="C173" s="657"/>
      <c r="D173" s="657"/>
      <c r="E173" s="657"/>
      <c r="F173" s="657"/>
      <c r="G173" s="657"/>
      <c r="H173" s="657"/>
      <c r="I173" s="657"/>
      <c r="J173" s="657"/>
      <c r="K173" s="657"/>
      <c r="L173" s="657"/>
    </row>
    <row r="174" spans="1:12" ht="14.25">
      <c r="A174" s="657"/>
      <c r="B174" s="657"/>
      <c r="C174" s="657"/>
      <c r="D174" s="657"/>
      <c r="E174" s="657"/>
      <c r="F174" s="657"/>
      <c r="G174" s="657"/>
      <c r="H174" s="657"/>
      <c r="I174" s="657"/>
      <c r="J174" s="657"/>
      <c r="K174" s="657"/>
      <c r="L174" s="657"/>
    </row>
    <row r="175" spans="1:12" ht="14.25">
      <c r="A175" s="657"/>
      <c r="B175" s="657"/>
      <c r="C175" s="657"/>
      <c r="D175" s="657"/>
      <c r="E175" s="657"/>
      <c r="F175" s="657"/>
      <c r="G175" s="657"/>
      <c r="H175" s="657"/>
      <c r="I175" s="657"/>
      <c r="J175" s="657"/>
      <c r="K175" s="657"/>
      <c r="L175" s="657"/>
    </row>
    <row r="176" spans="1:12" ht="14.25">
      <c r="A176" s="657"/>
      <c r="B176" s="657"/>
      <c r="C176" s="657"/>
      <c r="D176" s="657"/>
      <c r="E176" s="657"/>
      <c r="F176" s="657"/>
      <c r="G176" s="657"/>
      <c r="H176" s="657"/>
      <c r="I176" s="657"/>
      <c r="J176" s="657"/>
      <c r="K176" s="657"/>
      <c r="L176" s="657"/>
    </row>
    <row r="177" spans="1:12" ht="14.25">
      <c r="A177" s="657"/>
      <c r="B177" s="657"/>
      <c r="C177" s="657"/>
      <c r="D177" s="657"/>
      <c r="E177" s="657"/>
      <c r="F177" s="657"/>
      <c r="G177" s="657"/>
      <c r="H177" s="657"/>
      <c r="I177" s="657"/>
      <c r="J177" s="657"/>
      <c r="K177" s="657"/>
      <c r="L177" s="657"/>
    </row>
    <row r="178" spans="1:12" ht="14.25">
      <c r="A178" s="657"/>
      <c r="B178" s="657"/>
      <c r="C178" s="657"/>
      <c r="D178" s="657"/>
      <c r="E178" s="657"/>
      <c r="F178" s="657"/>
      <c r="G178" s="657"/>
      <c r="H178" s="657"/>
      <c r="I178" s="657"/>
      <c r="J178" s="657"/>
      <c r="K178" s="657"/>
      <c r="L178" s="657"/>
    </row>
    <row r="179" spans="1:12" ht="14.25">
      <c r="A179" s="657"/>
      <c r="B179" s="657"/>
      <c r="C179" s="657"/>
      <c r="D179" s="657"/>
      <c r="E179" s="657"/>
      <c r="F179" s="657"/>
      <c r="G179" s="657"/>
      <c r="H179" s="657"/>
      <c r="I179" s="657"/>
      <c r="J179" s="657"/>
      <c r="K179" s="657"/>
      <c r="L179" s="657"/>
    </row>
    <row r="180" spans="1:12" ht="14.25">
      <c r="A180" s="657"/>
      <c r="B180" s="657"/>
      <c r="C180" s="657"/>
      <c r="D180" s="657"/>
      <c r="E180" s="657"/>
      <c r="F180" s="657"/>
      <c r="G180" s="657"/>
      <c r="H180" s="657"/>
      <c r="I180" s="657"/>
      <c r="J180" s="657"/>
      <c r="K180" s="657"/>
      <c r="L180" s="657"/>
    </row>
    <row r="181" spans="1:12" ht="14.25">
      <c r="A181" s="657"/>
      <c r="B181" s="657"/>
      <c r="C181" s="657"/>
      <c r="D181" s="657"/>
      <c r="E181" s="657"/>
      <c r="F181" s="657"/>
      <c r="G181" s="657"/>
      <c r="H181" s="657"/>
      <c r="I181" s="657"/>
      <c r="J181" s="657"/>
      <c r="K181" s="657"/>
      <c r="L181" s="657"/>
    </row>
    <row r="182" spans="1:12" ht="14.25">
      <c r="A182" s="657"/>
      <c r="B182" s="657"/>
      <c r="C182" s="657"/>
      <c r="D182" s="657"/>
      <c r="E182" s="657"/>
      <c r="F182" s="657"/>
      <c r="G182" s="657"/>
      <c r="H182" s="657"/>
      <c r="I182" s="657"/>
      <c r="J182" s="657"/>
      <c r="K182" s="657"/>
      <c r="L182" s="657"/>
    </row>
    <row r="183" spans="1:12" ht="14.25">
      <c r="A183" s="657"/>
      <c r="B183" s="657"/>
      <c r="C183" s="657"/>
      <c r="D183" s="657"/>
      <c r="E183" s="657"/>
      <c r="F183" s="657"/>
      <c r="G183" s="657"/>
      <c r="H183" s="657"/>
      <c r="I183" s="657"/>
      <c r="J183" s="657"/>
      <c r="K183" s="657"/>
      <c r="L183" s="657"/>
    </row>
    <row r="184" spans="1:12" ht="14.25">
      <c r="A184" s="657"/>
      <c r="B184" s="657"/>
      <c r="C184" s="657"/>
      <c r="D184" s="657"/>
      <c r="E184" s="657"/>
      <c r="F184" s="657"/>
      <c r="G184" s="657"/>
      <c r="H184" s="657"/>
      <c r="I184" s="657"/>
      <c r="J184" s="657"/>
      <c r="K184" s="657"/>
      <c r="L184" s="657"/>
    </row>
    <row r="185" spans="1:12" ht="14.25">
      <c r="A185" s="657"/>
      <c r="B185" s="657"/>
      <c r="C185" s="657"/>
      <c r="D185" s="657"/>
      <c r="E185" s="657"/>
      <c r="F185" s="657"/>
      <c r="G185" s="657"/>
      <c r="H185" s="657"/>
      <c r="I185" s="657"/>
      <c r="J185" s="657"/>
      <c r="K185" s="657"/>
      <c r="L185" s="657"/>
    </row>
    <row r="186" spans="1:12" ht="14.25">
      <c r="A186" s="657"/>
      <c r="B186" s="657"/>
      <c r="C186" s="657"/>
      <c r="D186" s="657"/>
      <c r="E186" s="657"/>
      <c r="F186" s="657"/>
      <c r="G186" s="657"/>
      <c r="H186" s="657"/>
      <c r="I186" s="657"/>
      <c r="J186" s="657"/>
      <c r="K186" s="657"/>
      <c r="L186" s="657"/>
    </row>
    <row r="187" spans="1:12" ht="14.25">
      <c r="A187" s="657"/>
      <c r="B187" s="657"/>
      <c r="C187" s="657"/>
      <c r="D187" s="657"/>
      <c r="E187" s="657"/>
      <c r="F187" s="657"/>
      <c r="G187" s="657"/>
      <c r="H187" s="657"/>
      <c r="I187" s="657"/>
      <c r="J187" s="657"/>
      <c r="K187" s="657"/>
      <c r="L187" s="657"/>
    </row>
    <row r="188" spans="1:12" ht="14.25">
      <c r="A188" s="657"/>
      <c r="B188" s="657"/>
      <c r="C188" s="657"/>
      <c r="D188" s="657"/>
      <c r="E188" s="657"/>
      <c r="F188" s="657"/>
      <c r="G188" s="657"/>
      <c r="H188" s="657"/>
      <c r="I188" s="657"/>
      <c r="J188" s="657"/>
      <c r="K188" s="657"/>
      <c r="L188" s="657"/>
    </row>
    <row r="189" spans="1:12" ht="14.25">
      <c r="A189" s="657"/>
      <c r="B189" s="657"/>
      <c r="C189" s="657"/>
      <c r="D189" s="657"/>
      <c r="E189" s="657"/>
      <c r="F189" s="657"/>
      <c r="G189" s="657"/>
      <c r="H189" s="657"/>
      <c r="I189" s="657"/>
      <c r="J189" s="657"/>
      <c r="K189" s="657"/>
      <c r="L189" s="657"/>
    </row>
    <row r="190" spans="1:12" ht="14.25">
      <c r="A190" s="657"/>
      <c r="B190" s="657"/>
      <c r="C190" s="657"/>
      <c r="D190" s="657"/>
      <c r="E190" s="657"/>
      <c r="F190" s="657"/>
      <c r="G190" s="657"/>
      <c r="H190" s="657"/>
      <c r="I190" s="657"/>
      <c r="J190" s="657"/>
      <c r="K190" s="657"/>
      <c r="L190" s="657"/>
    </row>
    <row r="191" spans="1:12" ht="14.25">
      <c r="A191" s="657"/>
      <c r="B191" s="657"/>
      <c r="C191" s="657"/>
      <c r="D191" s="657"/>
      <c r="E191" s="657"/>
      <c r="F191" s="657"/>
      <c r="G191" s="657"/>
      <c r="H191" s="657"/>
      <c r="I191" s="657"/>
      <c r="J191" s="657"/>
      <c r="K191" s="657"/>
      <c r="L191" s="657"/>
    </row>
    <row r="192" spans="1:12" ht="14.25">
      <c r="A192" s="657"/>
      <c r="B192" s="657"/>
      <c r="C192" s="657"/>
      <c r="D192" s="657"/>
      <c r="E192" s="657"/>
      <c r="F192" s="657"/>
      <c r="G192" s="657"/>
      <c r="H192" s="657"/>
      <c r="I192" s="657"/>
      <c r="J192" s="657"/>
      <c r="K192" s="657"/>
      <c r="L192" s="657"/>
    </row>
    <row r="193" spans="1:12" ht="14.25">
      <c r="A193" s="657"/>
      <c r="B193" s="657"/>
      <c r="C193" s="657"/>
      <c r="D193" s="657"/>
      <c r="E193" s="657"/>
      <c r="F193" s="657"/>
      <c r="G193" s="657"/>
      <c r="H193" s="657"/>
      <c r="I193" s="657"/>
      <c r="J193" s="657"/>
      <c r="K193" s="657"/>
      <c r="L193" s="657"/>
    </row>
    <row r="194" spans="1:12" ht="14.25">
      <c r="A194" s="657"/>
      <c r="B194" s="657"/>
      <c r="C194" s="657"/>
      <c r="D194" s="657"/>
      <c r="E194" s="657"/>
      <c r="F194" s="657"/>
      <c r="G194" s="657"/>
      <c r="H194" s="657"/>
      <c r="I194" s="657"/>
      <c r="J194" s="657"/>
      <c r="K194" s="657"/>
      <c r="L194" s="657"/>
    </row>
    <row r="195" spans="1:12" ht="14.25">
      <c r="A195" s="657"/>
      <c r="B195" s="657"/>
      <c r="C195" s="657"/>
      <c r="D195" s="657"/>
      <c r="E195" s="657"/>
      <c r="F195" s="657"/>
      <c r="G195" s="657"/>
      <c r="H195" s="657"/>
      <c r="I195" s="657"/>
      <c r="J195" s="657"/>
      <c r="K195" s="657"/>
      <c r="L195" s="657"/>
    </row>
    <row r="196" spans="1:12" ht="14.25">
      <c r="A196" s="657"/>
      <c r="B196" s="657"/>
      <c r="C196" s="657"/>
      <c r="D196" s="657"/>
      <c r="E196" s="657"/>
      <c r="F196" s="657"/>
      <c r="G196" s="657"/>
      <c r="H196" s="657"/>
      <c r="I196" s="657"/>
      <c r="J196" s="657"/>
      <c r="K196" s="657"/>
      <c r="L196" s="657"/>
    </row>
    <row r="197" spans="1:12" ht="14.25">
      <c r="A197" s="657"/>
      <c r="B197" s="657"/>
      <c r="C197" s="657"/>
      <c r="D197" s="657"/>
      <c r="E197" s="657"/>
      <c r="F197" s="657"/>
      <c r="G197" s="657"/>
      <c r="H197" s="657"/>
      <c r="I197" s="657"/>
      <c r="J197" s="657"/>
      <c r="K197" s="657"/>
      <c r="L197" s="657"/>
    </row>
    <row r="198" spans="1:12" ht="14.25">
      <c r="A198" s="657"/>
      <c r="B198" s="657"/>
      <c r="C198" s="657"/>
      <c r="D198" s="657"/>
      <c r="E198" s="657"/>
      <c r="F198" s="657"/>
      <c r="G198" s="657"/>
      <c r="H198" s="657"/>
      <c r="I198" s="657"/>
      <c r="J198" s="657"/>
      <c r="K198" s="657"/>
      <c r="L198" s="657"/>
    </row>
    <row r="199" spans="1:12" ht="14.25">
      <c r="A199" s="657"/>
      <c r="B199" s="657"/>
      <c r="C199" s="657"/>
      <c r="D199" s="657"/>
      <c r="E199" s="657"/>
      <c r="F199" s="657"/>
      <c r="G199" s="657"/>
      <c r="H199" s="657"/>
      <c r="I199" s="657"/>
      <c r="J199" s="657"/>
      <c r="K199" s="657"/>
      <c r="L199" s="657"/>
    </row>
    <row r="200" spans="1:12" ht="14.25">
      <c r="A200" s="657"/>
      <c r="B200" s="657"/>
      <c r="C200" s="657"/>
      <c r="D200" s="657"/>
      <c r="E200" s="657"/>
      <c r="F200" s="657"/>
      <c r="G200" s="657"/>
      <c r="H200" s="657"/>
      <c r="I200" s="657"/>
      <c r="J200" s="657"/>
      <c r="K200" s="657"/>
      <c r="L200" s="657"/>
    </row>
    <row r="201" spans="1:12" ht="14.25">
      <c r="A201" s="657"/>
      <c r="B201" s="657"/>
      <c r="C201" s="657"/>
      <c r="D201" s="657"/>
      <c r="E201" s="657"/>
      <c r="F201" s="657"/>
      <c r="G201" s="657"/>
      <c r="H201" s="657"/>
      <c r="I201" s="657"/>
      <c r="J201" s="657"/>
      <c r="K201" s="657"/>
      <c r="L201" s="657"/>
    </row>
    <row r="202" spans="1:12" ht="14.25">
      <c r="A202" s="657"/>
      <c r="B202" s="657"/>
      <c r="C202" s="657"/>
      <c r="D202" s="657"/>
      <c r="E202" s="657"/>
      <c r="F202" s="657"/>
      <c r="G202" s="657"/>
      <c r="H202" s="657"/>
      <c r="I202" s="657"/>
      <c r="J202" s="657"/>
      <c r="K202" s="657"/>
      <c r="L202" s="657"/>
    </row>
    <row r="203" spans="1:12" ht="14.25">
      <c r="A203" s="657"/>
      <c r="B203" s="657"/>
      <c r="C203" s="657"/>
      <c r="D203" s="657"/>
      <c r="E203" s="657"/>
      <c r="F203" s="657"/>
      <c r="G203" s="657"/>
      <c r="H203" s="657"/>
      <c r="I203" s="657"/>
      <c r="J203" s="657"/>
      <c r="K203" s="657"/>
      <c r="L203" s="657"/>
    </row>
    <row r="204" spans="1:12" ht="14.25">
      <c r="A204" s="657"/>
      <c r="B204" s="657"/>
      <c r="C204" s="657"/>
      <c r="D204" s="657"/>
      <c r="E204" s="657"/>
      <c r="F204" s="657"/>
      <c r="G204" s="657"/>
      <c r="H204" s="657"/>
      <c r="I204" s="657"/>
      <c r="J204" s="657"/>
      <c r="K204" s="657"/>
      <c r="L204" s="657"/>
    </row>
    <row r="205" spans="1:12" ht="14.25">
      <c r="A205" s="657"/>
      <c r="B205" s="657"/>
      <c r="C205" s="657"/>
      <c r="D205" s="657"/>
      <c r="E205" s="657"/>
      <c r="F205" s="657"/>
      <c r="G205" s="657"/>
      <c r="H205" s="657"/>
      <c r="I205" s="657"/>
      <c r="J205" s="657"/>
      <c r="K205" s="657"/>
      <c r="L205" s="657"/>
    </row>
    <row r="206" spans="1:12" ht="14.25">
      <c r="A206" s="657"/>
      <c r="B206" s="657"/>
      <c r="C206" s="657"/>
      <c r="D206" s="657"/>
      <c r="E206" s="657"/>
      <c r="F206" s="657"/>
      <c r="G206" s="657"/>
      <c r="H206" s="657"/>
      <c r="I206" s="657"/>
      <c r="J206" s="657"/>
      <c r="K206" s="657"/>
      <c r="L206" s="657"/>
    </row>
    <row r="207" spans="1:12" ht="14.25">
      <c r="A207" s="657"/>
      <c r="B207" s="657"/>
      <c r="C207" s="657"/>
      <c r="D207" s="657"/>
      <c r="E207" s="657"/>
      <c r="F207" s="657"/>
      <c r="G207" s="657"/>
      <c r="H207" s="657"/>
      <c r="I207" s="657"/>
      <c r="J207" s="657"/>
      <c r="K207" s="657"/>
      <c r="L207" s="657"/>
    </row>
    <row r="208" spans="1:12" ht="14.25">
      <c r="A208" s="657"/>
      <c r="B208" s="657"/>
      <c r="C208" s="657"/>
      <c r="D208" s="657"/>
      <c r="E208" s="657"/>
      <c r="F208" s="657"/>
      <c r="G208" s="657"/>
      <c r="H208" s="657"/>
      <c r="I208" s="657"/>
      <c r="J208" s="657"/>
      <c r="K208" s="657"/>
      <c r="L208" s="657"/>
    </row>
    <row r="209" spans="1:12" ht="14.25">
      <c r="A209" s="657"/>
      <c r="B209" s="657"/>
      <c r="C209" s="657"/>
      <c r="D209" s="657"/>
      <c r="E209" s="657"/>
      <c r="F209" s="657"/>
      <c r="G209" s="657"/>
      <c r="H209" s="657"/>
      <c r="I209" s="657"/>
      <c r="J209" s="657"/>
      <c r="K209" s="657"/>
      <c r="L209" s="657"/>
    </row>
    <row r="210" spans="1:12" ht="14.25">
      <c r="A210" s="657"/>
      <c r="B210" s="657"/>
      <c r="C210" s="657"/>
      <c r="D210" s="657"/>
      <c r="E210" s="657"/>
      <c r="F210" s="657"/>
      <c r="G210" s="657"/>
      <c r="H210" s="657"/>
      <c r="I210" s="657"/>
      <c r="J210" s="657"/>
      <c r="K210" s="657"/>
      <c r="L210" s="657"/>
    </row>
    <row r="211" spans="1:12" ht="14.25">
      <c r="A211" s="657"/>
      <c r="B211" s="657"/>
      <c r="C211" s="657"/>
      <c r="D211" s="657"/>
      <c r="E211" s="657"/>
      <c r="F211" s="657"/>
      <c r="G211" s="657"/>
      <c r="H211" s="657"/>
      <c r="I211" s="657"/>
      <c r="J211" s="657"/>
      <c r="K211" s="657"/>
      <c r="L211" s="657"/>
    </row>
    <row r="212" spans="1:12" ht="14.25">
      <c r="A212" s="657"/>
      <c r="B212" s="657"/>
      <c r="C212" s="657"/>
      <c r="D212" s="657"/>
      <c r="E212" s="657"/>
      <c r="F212" s="657"/>
      <c r="G212" s="657"/>
      <c r="H212" s="657"/>
      <c r="I212" s="657"/>
      <c r="J212" s="657"/>
      <c r="K212" s="657"/>
      <c r="L212" s="657"/>
    </row>
    <row r="213" spans="1:12" ht="14.25">
      <c r="A213" s="657"/>
      <c r="B213" s="657"/>
      <c r="C213" s="657"/>
      <c r="D213" s="657"/>
      <c r="E213" s="657"/>
      <c r="F213" s="657"/>
      <c r="G213" s="657"/>
      <c r="H213" s="657"/>
      <c r="I213" s="657"/>
      <c r="J213" s="657"/>
      <c r="K213" s="657"/>
      <c r="L213" s="657"/>
    </row>
    <row r="214" spans="1:12" ht="14.25">
      <c r="A214" s="657"/>
      <c r="B214" s="657"/>
      <c r="C214" s="657"/>
      <c r="D214" s="657"/>
      <c r="E214" s="657"/>
      <c r="F214" s="657"/>
      <c r="G214" s="657"/>
      <c r="H214" s="657"/>
      <c r="I214" s="657"/>
      <c r="J214" s="657"/>
      <c r="K214" s="657"/>
      <c r="L214" s="657"/>
    </row>
    <row r="215" spans="1:12" ht="14.25">
      <c r="A215" s="657"/>
      <c r="B215" s="657"/>
      <c r="C215" s="657"/>
      <c r="D215" s="657"/>
      <c r="E215" s="657"/>
      <c r="F215" s="657"/>
      <c r="G215" s="657"/>
      <c r="H215" s="657"/>
      <c r="I215" s="657"/>
      <c r="J215" s="657"/>
      <c r="K215" s="657"/>
      <c r="L215" s="657"/>
    </row>
    <row r="216" spans="1:12" ht="14.25">
      <c r="A216" s="657"/>
      <c r="B216" s="657"/>
      <c r="C216" s="657"/>
      <c r="D216" s="657"/>
      <c r="E216" s="657"/>
      <c r="F216" s="657"/>
      <c r="G216" s="657"/>
      <c r="H216" s="657"/>
      <c r="I216" s="657"/>
      <c r="J216" s="657"/>
      <c r="K216" s="657"/>
      <c r="L216" s="657"/>
    </row>
    <row r="217" spans="1:12" ht="14.25">
      <c r="A217" s="657"/>
      <c r="B217" s="657"/>
      <c r="C217" s="657"/>
      <c r="D217" s="657"/>
      <c r="E217" s="657"/>
      <c r="F217" s="657"/>
      <c r="G217" s="657"/>
      <c r="H217" s="657"/>
      <c r="I217" s="657"/>
      <c r="J217" s="657"/>
      <c r="K217" s="657"/>
      <c r="L217" s="657"/>
    </row>
    <row r="218" spans="1:12" ht="14.25">
      <c r="A218" s="657"/>
      <c r="B218" s="657"/>
      <c r="C218" s="657"/>
      <c r="D218" s="657"/>
      <c r="E218" s="657"/>
      <c r="F218" s="657"/>
      <c r="G218" s="657"/>
      <c r="H218" s="657"/>
      <c r="I218" s="657"/>
      <c r="J218" s="657"/>
      <c r="K218" s="657"/>
      <c r="L218" s="657"/>
    </row>
    <row r="219" spans="1:12" ht="14.25">
      <c r="A219" s="657"/>
      <c r="B219" s="657"/>
      <c r="C219" s="657"/>
      <c r="D219" s="657"/>
      <c r="E219" s="657"/>
      <c r="F219" s="657"/>
      <c r="G219" s="657"/>
      <c r="H219" s="657"/>
      <c r="I219" s="657"/>
      <c r="J219" s="657"/>
      <c r="K219" s="657"/>
      <c r="L219" s="657"/>
    </row>
    <row r="220" spans="1:12" ht="14.25">
      <c r="A220" s="657"/>
      <c r="B220" s="657"/>
      <c r="C220" s="657"/>
      <c r="D220" s="657"/>
      <c r="E220" s="657"/>
      <c r="F220" s="657"/>
      <c r="G220" s="657"/>
      <c r="H220" s="657"/>
      <c r="I220" s="657"/>
      <c r="J220" s="657"/>
      <c r="K220" s="657"/>
      <c r="L220" s="657"/>
    </row>
    <row r="221" spans="1:12" ht="14.25">
      <c r="A221" s="657"/>
      <c r="B221" s="657"/>
      <c r="C221" s="657"/>
      <c r="D221" s="657"/>
      <c r="E221" s="657"/>
      <c r="F221" s="657"/>
      <c r="G221" s="657"/>
      <c r="H221" s="657"/>
      <c r="I221" s="657"/>
      <c r="J221" s="657"/>
      <c r="K221" s="657"/>
      <c r="L221" s="657"/>
    </row>
    <row r="222" spans="1:12" ht="14.25">
      <c r="A222" s="657"/>
      <c r="B222" s="657"/>
      <c r="C222" s="657"/>
      <c r="D222" s="657"/>
      <c r="E222" s="657"/>
      <c r="F222" s="657"/>
      <c r="G222" s="657"/>
      <c r="H222" s="657"/>
      <c r="I222" s="657"/>
      <c r="J222" s="657"/>
      <c r="K222" s="657"/>
      <c r="L222" s="657"/>
    </row>
    <row r="223" spans="1:12" ht="14.25">
      <c r="A223" s="657"/>
      <c r="B223" s="657"/>
      <c r="C223" s="657"/>
      <c r="D223" s="657"/>
      <c r="E223" s="657"/>
      <c r="F223" s="657"/>
      <c r="G223" s="657"/>
      <c r="H223" s="657"/>
      <c r="I223" s="657"/>
      <c r="J223" s="657"/>
      <c r="K223" s="657"/>
      <c r="L223" s="657"/>
    </row>
    <row r="224" spans="1:12" ht="14.25">
      <c r="A224" s="657"/>
      <c r="B224" s="657"/>
      <c r="C224" s="657"/>
      <c r="D224" s="657"/>
      <c r="E224" s="657"/>
      <c r="F224" s="657"/>
      <c r="G224" s="657"/>
      <c r="H224" s="657"/>
      <c r="I224" s="657"/>
      <c r="J224" s="657"/>
      <c r="K224" s="657"/>
      <c r="L224" s="657"/>
    </row>
    <row r="225" spans="1:12" ht="14.25">
      <c r="A225" s="657"/>
      <c r="B225" s="657"/>
      <c r="C225" s="657"/>
      <c r="D225" s="657"/>
      <c r="E225" s="657"/>
      <c r="F225" s="657"/>
      <c r="G225" s="657"/>
      <c r="H225" s="657"/>
      <c r="I225" s="657"/>
      <c r="J225" s="657"/>
      <c r="K225" s="657"/>
      <c r="L225" s="657"/>
    </row>
    <row r="226" spans="1:12" ht="14.25">
      <c r="A226" s="657"/>
      <c r="B226" s="657"/>
      <c r="C226" s="657"/>
      <c r="D226" s="657"/>
      <c r="E226" s="657"/>
      <c r="F226" s="657"/>
      <c r="G226" s="657"/>
      <c r="H226" s="657"/>
      <c r="I226" s="657"/>
      <c r="J226" s="657"/>
      <c r="K226" s="657"/>
      <c r="L226" s="657"/>
    </row>
    <row r="227" spans="1:12" ht="14.25">
      <c r="A227" s="657"/>
      <c r="B227" s="657"/>
      <c r="C227" s="657"/>
      <c r="D227" s="657"/>
      <c r="E227" s="657"/>
      <c r="F227" s="657"/>
      <c r="G227" s="657"/>
      <c r="H227" s="657"/>
      <c r="I227" s="657"/>
      <c r="J227" s="657"/>
      <c r="K227" s="657"/>
      <c r="L227" s="657"/>
    </row>
    <row r="228" spans="1:12" ht="14.25">
      <c r="A228" s="657"/>
      <c r="B228" s="657"/>
      <c r="C228" s="657"/>
      <c r="D228" s="657"/>
      <c r="E228" s="657"/>
      <c r="F228" s="657"/>
      <c r="G228" s="657"/>
      <c r="H228" s="657"/>
      <c r="I228" s="657"/>
      <c r="J228" s="657"/>
      <c r="K228" s="657"/>
      <c r="L228" s="657"/>
    </row>
    <row r="229" spans="1:12" ht="14.25">
      <c r="A229" s="657"/>
      <c r="B229" s="657"/>
      <c r="C229" s="657"/>
      <c r="D229" s="657"/>
      <c r="E229" s="657"/>
      <c r="F229" s="657"/>
      <c r="G229" s="657"/>
      <c r="H229" s="657"/>
      <c r="I229" s="657"/>
      <c r="J229" s="657"/>
      <c r="K229" s="657"/>
      <c r="L229" s="657"/>
    </row>
    <row r="230" spans="1:12" ht="14.25">
      <c r="A230" s="657"/>
      <c r="B230" s="657"/>
      <c r="C230" s="657"/>
      <c r="D230" s="657"/>
      <c r="E230" s="657"/>
      <c r="F230" s="657"/>
      <c r="G230" s="657"/>
      <c r="H230" s="657"/>
      <c r="I230" s="657"/>
      <c r="J230" s="657"/>
      <c r="K230" s="657"/>
      <c r="L230" s="657"/>
    </row>
    <row r="231" spans="1:12" ht="14.25">
      <c r="A231" s="657"/>
      <c r="B231" s="657"/>
      <c r="C231" s="657"/>
      <c r="D231" s="657"/>
      <c r="E231" s="657"/>
      <c r="F231" s="657"/>
      <c r="G231" s="657"/>
      <c r="H231" s="657"/>
      <c r="I231" s="657"/>
      <c r="J231" s="657"/>
      <c r="K231" s="657"/>
      <c r="L231" s="657"/>
    </row>
    <row r="232" spans="1:12" ht="14.25">
      <c r="A232" s="657"/>
      <c r="B232" s="657"/>
      <c r="C232" s="657"/>
      <c r="D232" s="657"/>
      <c r="E232" s="657"/>
      <c r="F232" s="657"/>
      <c r="G232" s="657"/>
      <c r="H232" s="657"/>
      <c r="I232" s="657"/>
      <c r="J232" s="657"/>
      <c r="K232" s="657"/>
      <c r="L232" s="657"/>
    </row>
    <row r="233" spans="1:12" ht="14.25">
      <c r="A233" s="657"/>
      <c r="B233" s="657"/>
      <c r="C233" s="657"/>
      <c r="D233" s="657"/>
      <c r="E233" s="657"/>
      <c r="F233" s="657"/>
      <c r="G233" s="657"/>
      <c r="H233" s="657"/>
      <c r="I233" s="657"/>
      <c r="J233" s="657"/>
      <c r="K233" s="657"/>
      <c r="L233" s="657"/>
    </row>
    <row r="234" spans="1:12" ht="14.25">
      <c r="A234" s="657"/>
      <c r="B234" s="657"/>
      <c r="C234" s="657"/>
      <c r="D234" s="657"/>
      <c r="E234" s="657"/>
      <c r="F234" s="657"/>
      <c r="G234" s="657"/>
      <c r="H234" s="657"/>
      <c r="I234" s="657"/>
      <c r="J234" s="657"/>
      <c r="K234" s="657"/>
      <c r="L234" s="657"/>
    </row>
    <row r="235" spans="1:12" ht="14.25">
      <c r="A235" s="657"/>
      <c r="B235" s="657"/>
      <c r="C235" s="657"/>
      <c r="D235" s="657"/>
      <c r="E235" s="657"/>
      <c r="F235" s="657"/>
      <c r="G235" s="657"/>
      <c r="H235" s="657"/>
      <c r="I235" s="657"/>
      <c r="J235" s="657"/>
      <c r="K235" s="657"/>
      <c r="L235" s="657"/>
    </row>
    <row r="236" spans="1:12" ht="14.25">
      <c r="A236" s="657"/>
      <c r="B236" s="657"/>
      <c r="C236" s="657"/>
      <c r="D236" s="657"/>
      <c r="E236" s="657"/>
      <c r="F236" s="657"/>
      <c r="G236" s="657"/>
      <c r="H236" s="657"/>
      <c r="I236" s="657"/>
      <c r="J236" s="657"/>
      <c r="K236" s="657"/>
      <c r="L236" s="657"/>
    </row>
    <row r="237" spans="1:12" ht="14.25">
      <c r="A237" s="657"/>
      <c r="B237" s="657"/>
      <c r="C237" s="657"/>
      <c r="D237" s="657"/>
      <c r="E237" s="657"/>
      <c r="F237" s="657"/>
      <c r="G237" s="657"/>
      <c r="H237" s="657"/>
      <c r="I237" s="657"/>
      <c r="J237" s="657"/>
      <c r="K237" s="657"/>
      <c r="L237" s="657"/>
    </row>
    <row r="238" spans="1:12" ht="14.25">
      <c r="A238" s="657"/>
      <c r="B238" s="657"/>
      <c r="C238" s="657"/>
      <c r="D238" s="657"/>
      <c r="E238" s="657"/>
      <c r="F238" s="657"/>
      <c r="G238" s="657"/>
      <c r="H238" s="657"/>
      <c r="I238" s="657"/>
      <c r="J238" s="657"/>
      <c r="K238" s="657"/>
      <c r="L238" s="657"/>
    </row>
    <row r="239" spans="1:12" ht="14.25">
      <c r="A239" s="657"/>
      <c r="B239" s="657"/>
      <c r="C239" s="657"/>
      <c r="D239" s="657"/>
      <c r="E239" s="657"/>
      <c r="F239" s="657"/>
      <c r="G239" s="657"/>
      <c r="H239" s="657"/>
      <c r="I239" s="657"/>
      <c r="J239" s="657"/>
      <c r="K239" s="657"/>
      <c r="L239" s="657"/>
    </row>
    <row r="240" spans="1:12" ht="14.25">
      <c r="A240" s="657"/>
      <c r="B240" s="657"/>
      <c r="C240" s="657"/>
      <c r="D240" s="657"/>
      <c r="E240" s="657"/>
      <c r="F240" s="657"/>
      <c r="G240" s="657"/>
      <c r="H240" s="657"/>
      <c r="I240" s="657"/>
      <c r="J240" s="657"/>
      <c r="K240" s="657"/>
      <c r="L240" s="657"/>
    </row>
    <row r="241" spans="1:12" ht="14.25">
      <c r="A241" s="657"/>
      <c r="B241" s="657"/>
      <c r="C241" s="657"/>
      <c r="D241" s="657"/>
      <c r="E241" s="657"/>
      <c r="F241" s="657"/>
      <c r="G241" s="657"/>
      <c r="H241" s="657"/>
      <c r="I241" s="657"/>
      <c r="J241" s="657"/>
      <c r="K241" s="657"/>
      <c r="L241" s="657"/>
    </row>
    <row r="242" spans="1:12" ht="14.25">
      <c r="A242" s="657"/>
      <c r="B242" s="657"/>
      <c r="C242" s="657"/>
      <c r="D242" s="657"/>
      <c r="E242" s="657"/>
      <c r="F242" s="657"/>
      <c r="G242" s="657"/>
      <c r="H242" s="657"/>
      <c r="I242" s="657"/>
      <c r="J242" s="657"/>
      <c r="K242" s="657"/>
      <c r="L242" s="657"/>
    </row>
    <row r="243" spans="1:12" ht="14.25">
      <c r="A243" s="657"/>
      <c r="B243" s="657"/>
      <c r="C243" s="657"/>
      <c r="D243" s="657"/>
      <c r="E243" s="657"/>
      <c r="F243" s="657"/>
      <c r="G243" s="657"/>
      <c r="H243" s="657"/>
      <c r="I243" s="657"/>
      <c r="J243" s="657"/>
      <c r="K243" s="657"/>
      <c r="L243" s="657"/>
    </row>
    <row r="244" spans="1:12" ht="14.25">
      <c r="A244" s="657"/>
      <c r="B244" s="657"/>
      <c r="C244" s="657"/>
      <c r="D244" s="657"/>
      <c r="E244" s="657"/>
      <c r="F244" s="657"/>
      <c r="G244" s="657"/>
      <c r="H244" s="657"/>
      <c r="I244" s="657"/>
      <c r="J244" s="657"/>
      <c r="K244" s="657"/>
      <c r="L244" s="657"/>
    </row>
    <row r="245" spans="1:12" ht="14.25">
      <c r="A245" s="657"/>
      <c r="B245" s="657"/>
      <c r="C245" s="657"/>
      <c r="D245" s="657"/>
      <c r="E245" s="657"/>
      <c r="F245" s="657"/>
      <c r="G245" s="657"/>
      <c r="H245" s="657"/>
      <c r="I245" s="657"/>
      <c r="J245" s="657"/>
      <c r="K245" s="657"/>
      <c r="L245" s="657"/>
    </row>
    <row r="246" spans="1:12" ht="14.25">
      <c r="A246" s="657"/>
      <c r="B246" s="657"/>
      <c r="C246" s="657"/>
      <c r="D246" s="657"/>
      <c r="E246" s="657"/>
      <c r="F246" s="657"/>
      <c r="G246" s="657"/>
      <c r="H246" s="657"/>
      <c r="I246" s="657"/>
      <c r="J246" s="657"/>
      <c r="K246" s="657"/>
      <c r="L246" s="657"/>
    </row>
    <row r="247" spans="1:12" ht="14.25">
      <c r="A247" s="657"/>
      <c r="B247" s="657"/>
      <c r="C247" s="657"/>
      <c r="D247" s="657"/>
      <c r="E247" s="657"/>
      <c r="F247" s="657"/>
      <c r="G247" s="657"/>
      <c r="H247" s="657"/>
      <c r="I247" s="657"/>
      <c r="J247" s="657"/>
      <c r="K247" s="657"/>
      <c r="L247" s="657"/>
    </row>
    <row r="248" spans="1:12" ht="14.25">
      <c r="A248" s="657"/>
      <c r="B248" s="657"/>
      <c r="C248" s="657"/>
      <c r="D248" s="657"/>
      <c r="E248" s="657"/>
      <c r="F248" s="657"/>
      <c r="G248" s="657"/>
      <c r="H248" s="657"/>
      <c r="I248" s="657"/>
      <c r="J248" s="657"/>
      <c r="K248" s="657"/>
      <c r="L248" s="657"/>
    </row>
    <row r="249" spans="1:12" ht="14.25">
      <c r="A249" s="657"/>
      <c r="B249" s="657"/>
      <c r="C249" s="657"/>
      <c r="D249" s="657"/>
      <c r="E249" s="657"/>
      <c r="F249" s="657"/>
      <c r="G249" s="657"/>
      <c r="H249" s="657"/>
      <c r="I249" s="657"/>
      <c r="J249" s="657"/>
      <c r="K249" s="657"/>
      <c r="L249" s="657"/>
    </row>
    <row r="250" spans="1:12" ht="14.25">
      <c r="A250" s="657"/>
      <c r="B250" s="657"/>
      <c r="C250" s="657"/>
      <c r="D250" s="657"/>
      <c r="E250" s="657"/>
      <c r="F250" s="657"/>
      <c r="G250" s="657"/>
      <c r="H250" s="657"/>
      <c r="I250" s="657"/>
      <c r="J250" s="657"/>
      <c r="K250" s="657"/>
      <c r="L250" s="657"/>
    </row>
    <row r="251" spans="1:12" ht="14.25">
      <c r="A251" s="657"/>
      <c r="B251" s="657"/>
      <c r="C251" s="657"/>
      <c r="D251" s="657"/>
      <c r="E251" s="657"/>
      <c r="F251" s="657"/>
      <c r="G251" s="657"/>
      <c r="H251" s="657"/>
      <c r="I251" s="657"/>
      <c r="J251" s="657"/>
      <c r="K251" s="657"/>
      <c r="L251" s="657"/>
    </row>
    <row r="252" spans="1:12" ht="14.25">
      <c r="A252" s="657"/>
      <c r="B252" s="657"/>
      <c r="C252" s="657"/>
      <c r="D252" s="657"/>
      <c r="E252" s="657"/>
      <c r="F252" s="657"/>
      <c r="G252" s="657"/>
      <c r="H252" s="657"/>
      <c r="I252" s="657"/>
      <c r="J252" s="657"/>
      <c r="K252" s="657"/>
      <c r="L252" s="657"/>
    </row>
    <row r="253" spans="1:12" ht="14.25">
      <c r="A253" s="657"/>
      <c r="B253" s="657"/>
      <c r="C253" s="657"/>
      <c r="D253" s="657"/>
      <c r="E253" s="657"/>
      <c r="F253" s="657"/>
      <c r="G253" s="657"/>
      <c r="H253" s="657"/>
      <c r="I253" s="657"/>
      <c r="J253" s="657"/>
      <c r="K253" s="657"/>
      <c r="L253" s="657"/>
    </row>
    <row r="254" spans="1:12" ht="14.25">
      <c r="A254" s="657"/>
      <c r="B254" s="657"/>
      <c r="C254" s="657"/>
      <c r="D254" s="657"/>
      <c r="E254" s="657"/>
      <c r="F254" s="657"/>
      <c r="G254" s="657"/>
      <c r="H254" s="657"/>
      <c r="I254" s="657"/>
      <c r="J254" s="657"/>
      <c r="K254" s="657"/>
      <c r="L254" s="657"/>
    </row>
    <row r="255" spans="1:12" ht="14.25">
      <c r="A255" s="657"/>
      <c r="B255" s="657"/>
      <c r="C255" s="657"/>
      <c r="D255" s="657"/>
      <c r="E255" s="657"/>
      <c r="F255" s="657"/>
      <c r="G255" s="657"/>
      <c r="H255" s="657"/>
      <c r="I255" s="657"/>
      <c r="J255" s="657"/>
      <c r="K255" s="657"/>
      <c r="L255" s="657"/>
    </row>
    <row r="256" spans="1:12" ht="14.25">
      <c r="A256" s="657"/>
      <c r="B256" s="657"/>
      <c r="C256" s="657"/>
      <c r="D256" s="657"/>
      <c r="E256" s="657"/>
      <c r="F256" s="657"/>
      <c r="G256" s="657"/>
      <c r="H256" s="657"/>
      <c r="I256" s="657"/>
      <c r="J256" s="657"/>
      <c r="K256" s="657"/>
      <c r="L256" s="657"/>
    </row>
    <row r="257" spans="1:12" ht="14.25">
      <c r="A257" s="657"/>
      <c r="B257" s="657"/>
      <c r="C257" s="657"/>
      <c r="D257" s="657"/>
      <c r="E257" s="657"/>
      <c r="F257" s="657"/>
      <c r="G257" s="657"/>
      <c r="H257" s="657"/>
      <c r="I257" s="657"/>
      <c r="J257" s="657"/>
      <c r="K257" s="657"/>
      <c r="L257" s="657"/>
    </row>
    <row r="258" spans="1:12" ht="14.25">
      <c r="A258" s="657"/>
      <c r="B258" s="657"/>
      <c r="C258" s="657"/>
      <c r="D258" s="657"/>
      <c r="E258" s="657"/>
      <c r="F258" s="657"/>
      <c r="G258" s="657"/>
      <c r="H258" s="657"/>
      <c r="I258" s="657"/>
      <c r="J258" s="657"/>
      <c r="K258" s="657"/>
      <c r="L258" s="657"/>
    </row>
    <row r="259" spans="1:12" ht="14.25">
      <c r="A259" s="657"/>
      <c r="B259" s="657"/>
      <c r="C259" s="657"/>
      <c r="D259" s="657"/>
      <c r="E259" s="657"/>
      <c r="F259" s="657"/>
      <c r="G259" s="657"/>
      <c r="H259" s="657"/>
      <c r="I259" s="657"/>
      <c r="J259" s="657"/>
      <c r="K259" s="657"/>
      <c r="L259" s="657"/>
    </row>
    <row r="260" spans="1:12" ht="14.25">
      <c r="A260" s="657"/>
      <c r="B260" s="657"/>
      <c r="C260" s="657"/>
      <c r="D260" s="657"/>
      <c r="E260" s="657"/>
      <c r="F260" s="657"/>
      <c r="G260" s="657"/>
      <c r="H260" s="657"/>
      <c r="I260" s="657"/>
      <c r="J260" s="657"/>
      <c r="K260" s="657"/>
      <c r="L260" s="657"/>
    </row>
    <row r="261" spans="1:12" ht="14.25">
      <c r="A261" s="657"/>
      <c r="B261" s="657"/>
      <c r="C261" s="657"/>
      <c r="D261" s="657"/>
      <c r="E261" s="657"/>
      <c r="F261" s="657"/>
      <c r="G261" s="657"/>
      <c r="H261" s="657"/>
      <c r="I261" s="657"/>
      <c r="J261" s="657"/>
      <c r="K261" s="657"/>
      <c r="L261" s="657"/>
    </row>
    <row r="262" spans="1:12" ht="14.25">
      <c r="A262" s="657"/>
      <c r="B262" s="657"/>
      <c r="C262" s="657"/>
      <c r="D262" s="657"/>
      <c r="E262" s="657"/>
      <c r="F262" s="657"/>
      <c r="G262" s="657"/>
      <c r="H262" s="657"/>
      <c r="I262" s="657"/>
      <c r="J262" s="657"/>
      <c r="K262" s="657"/>
      <c r="L262" s="657"/>
    </row>
    <row r="263" spans="1:12" ht="14.25">
      <c r="A263" s="657"/>
      <c r="B263" s="657"/>
      <c r="C263" s="657"/>
      <c r="D263" s="657"/>
      <c r="E263" s="657"/>
      <c r="F263" s="657"/>
      <c r="G263" s="657"/>
      <c r="H263" s="657"/>
      <c r="I263" s="657"/>
      <c r="J263" s="657"/>
      <c r="K263" s="657"/>
      <c r="L263" s="657"/>
    </row>
    <row r="264" spans="1:12" ht="14.25">
      <c r="A264" s="657"/>
      <c r="B264" s="657"/>
      <c r="C264" s="657"/>
      <c r="D264" s="657"/>
      <c r="E264" s="657"/>
      <c r="F264" s="657"/>
      <c r="G264" s="657"/>
      <c r="H264" s="657"/>
      <c r="I264" s="657"/>
      <c r="J264" s="657"/>
      <c r="K264" s="657"/>
      <c r="L264" s="657"/>
    </row>
    <row r="265" spans="1:12" ht="14.25">
      <c r="A265" s="657"/>
      <c r="B265" s="657"/>
      <c r="C265" s="657"/>
      <c r="D265" s="657"/>
      <c r="E265" s="657"/>
      <c r="F265" s="657"/>
      <c r="G265" s="657"/>
      <c r="H265" s="657"/>
      <c r="I265" s="657"/>
      <c r="J265" s="657"/>
      <c r="K265" s="657"/>
      <c r="L265" s="657"/>
    </row>
    <row r="266" spans="1:12" ht="14.25">
      <c r="A266" s="657"/>
      <c r="B266" s="657"/>
      <c r="C266" s="657"/>
      <c r="D266" s="657"/>
      <c r="E266" s="657"/>
      <c r="F266" s="657"/>
      <c r="G266" s="657"/>
      <c r="H266" s="657"/>
      <c r="I266" s="657"/>
      <c r="J266" s="657"/>
      <c r="K266" s="657"/>
      <c r="L266" s="657"/>
    </row>
    <row r="267" spans="1:12" ht="14.25">
      <c r="A267" s="657"/>
      <c r="B267" s="657"/>
      <c r="C267" s="657"/>
      <c r="D267" s="657"/>
      <c r="E267" s="657"/>
      <c r="F267" s="657"/>
      <c r="G267" s="657"/>
      <c r="H267" s="657"/>
      <c r="I267" s="657"/>
      <c r="J267" s="657"/>
      <c r="K267" s="657"/>
      <c r="L267" s="657"/>
    </row>
    <row r="268" spans="1:12" ht="14.25">
      <c r="A268" s="657"/>
      <c r="B268" s="657"/>
      <c r="C268" s="657"/>
      <c r="D268" s="657"/>
      <c r="E268" s="657"/>
      <c r="F268" s="657"/>
      <c r="G268" s="657"/>
      <c r="H268" s="657"/>
      <c r="I268" s="657"/>
      <c r="J268" s="657"/>
      <c r="K268" s="657"/>
      <c r="L268" s="657"/>
    </row>
    <row r="269" spans="1:12" ht="14.25">
      <c r="A269" s="657"/>
      <c r="B269" s="657"/>
      <c r="C269" s="657"/>
      <c r="D269" s="657"/>
      <c r="E269" s="657"/>
      <c r="F269" s="657"/>
      <c r="G269" s="657"/>
      <c r="H269" s="657"/>
      <c r="I269" s="657"/>
      <c r="J269" s="657"/>
      <c r="K269" s="657"/>
      <c r="L269" s="657"/>
    </row>
    <row r="270" spans="1:12" ht="14.25">
      <c r="A270" s="657"/>
      <c r="B270" s="657"/>
      <c r="C270" s="657"/>
      <c r="D270" s="657"/>
      <c r="E270" s="657"/>
      <c r="F270" s="657"/>
      <c r="G270" s="657"/>
      <c r="H270" s="657"/>
      <c r="I270" s="657"/>
      <c r="J270" s="657"/>
      <c r="K270" s="657"/>
      <c r="L270" s="657"/>
    </row>
    <row r="271" spans="1:12" ht="14.25">
      <c r="A271" s="657"/>
      <c r="B271" s="657"/>
      <c r="C271" s="657"/>
      <c r="D271" s="657"/>
      <c r="E271" s="657"/>
      <c r="F271" s="657"/>
      <c r="G271" s="657"/>
      <c r="H271" s="657"/>
      <c r="I271" s="657"/>
      <c r="J271" s="657"/>
      <c r="K271" s="657"/>
      <c r="L271" s="657"/>
    </row>
    <row r="272" spans="1:12" ht="14.25">
      <c r="A272" s="657"/>
      <c r="B272" s="657"/>
      <c r="C272" s="657"/>
      <c r="D272" s="657"/>
      <c r="E272" s="657"/>
      <c r="F272" s="657"/>
      <c r="G272" s="657"/>
      <c r="H272" s="657"/>
      <c r="I272" s="657"/>
      <c r="J272" s="657"/>
      <c r="K272" s="657"/>
      <c r="L272" s="657"/>
    </row>
    <row r="273" spans="1:12" ht="14.25">
      <c r="A273" s="657"/>
      <c r="B273" s="657"/>
      <c r="C273" s="657"/>
      <c r="D273" s="657"/>
      <c r="E273" s="657"/>
      <c r="F273" s="657"/>
      <c r="G273" s="657"/>
      <c r="H273" s="657"/>
      <c r="I273" s="657"/>
      <c r="J273" s="657"/>
      <c r="K273" s="657"/>
      <c r="L273" s="657"/>
    </row>
    <row r="274" spans="1:12" ht="14.25">
      <c r="A274" s="657"/>
      <c r="B274" s="657"/>
      <c r="C274" s="657"/>
      <c r="D274" s="657"/>
      <c r="E274" s="657"/>
      <c r="F274" s="657"/>
      <c r="G274" s="657"/>
      <c r="H274" s="657"/>
      <c r="I274" s="657"/>
      <c r="J274" s="657"/>
      <c r="K274" s="657"/>
      <c r="L274" s="657"/>
    </row>
    <row r="275" spans="1:12" ht="14.25">
      <c r="A275" s="657"/>
      <c r="B275" s="657"/>
      <c r="C275" s="657"/>
      <c r="D275" s="657"/>
      <c r="E275" s="657"/>
      <c r="F275" s="657"/>
      <c r="G275" s="657"/>
      <c r="H275" s="657"/>
      <c r="I275" s="657"/>
      <c r="J275" s="657"/>
      <c r="K275" s="657"/>
      <c r="L275" s="657"/>
    </row>
    <row r="276" spans="1:12" ht="14.25">
      <c r="A276" s="657"/>
      <c r="B276" s="657"/>
      <c r="C276" s="657"/>
      <c r="D276" s="657"/>
      <c r="E276" s="657"/>
      <c r="F276" s="657"/>
      <c r="G276" s="657"/>
      <c r="H276" s="657"/>
      <c r="I276" s="657"/>
      <c r="J276" s="657"/>
      <c r="K276" s="657"/>
      <c r="L276" s="657"/>
    </row>
    <row r="277" spans="1:12" ht="14.25">
      <c r="A277" s="657"/>
      <c r="B277" s="657"/>
      <c r="C277" s="657"/>
      <c r="D277" s="657"/>
      <c r="E277" s="657"/>
      <c r="F277" s="657"/>
      <c r="G277" s="657"/>
      <c r="H277" s="657"/>
      <c r="I277" s="657"/>
      <c r="J277" s="657"/>
      <c r="K277" s="657"/>
      <c r="L277" s="657"/>
    </row>
    <row r="278" spans="1:12" ht="14.25">
      <c r="A278" s="657"/>
      <c r="B278" s="657"/>
      <c r="C278" s="657"/>
      <c r="D278" s="657"/>
      <c r="E278" s="657"/>
      <c r="F278" s="657"/>
      <c r="G278" s="657"/>
      <c r="H278" s="657"/>
      <c r="I278" s="657"/>
      <c r="J278" s="657"/>
      <c r="K278" s="657"/>
      <c r="L278" s="657"/>
    </row>
    <row r="279" spans="1:12" ht="14.25">
      <c r="A279" s="657"/>
      <c r="B279" s="657"/>
      <c r="C279" s="657"/>
      <c r="D279" s="657"/>
      <c r="E279" s="657"/>
      <c r="F279" s="657"/>
      <c r="G279" s="657"/>
      <c r="H279" s="657"/>
      <c r="I279" s="657"/>
      <c r="J279" s="657"/>
      <c r="K279" s="657"/>
      <c r="L279" s="657"/>
    </row>
    <row r="280" spans="1:12" ht="14.25">
      <c r="A280" s="657"/>
      <c r="B280" s="657"/>
      <c r="C280" s="657"/>
      <c r="D280" s="657"/>
      <c r="E280" s="657"/>
      <c r="F280" s="657"/>
      <c r="G280" s="657"/>
      <c r="H280" s="657"/>
      <c r="I280" s="657"/>
      <c r="J280" s="657"/>
      <c r="K280" s="657"/>
      <c r="L280" s="657"/>
    </row>
    <row r="281" spans="1:12" ht="14.25">
      <c r="A281" s="657"/>
      <c r="B281" s="657"/>
      <c r="C281" s="657"/>
      <c r="D281" s="657"/>
      <c r="E281" s="657"/>
      <c r="F281" s="657"/>
      <c r="G281" s="657"/>
      <c r="H281" s="657"/>
      <c r="I281" s="657"/>
      <c r="J281" s="657"/>
      <c r="K281" s="657"/>
      <c r="L281" s="657"/>
    </row>
    <row r="282" spans="1:12" ht="14.25">
      <c r="A282" s="657"/>
      <c r="B282" s="657"/>
      <c r="C282" s="657"/>
      <c r="D282" s="657"/>
      <c r="E282" s="657"/>
      <c r="F282" s="657"/>
      <c r="G282" s="657"/>
      <c r="H282" s="657"/>
      <c r="I282" s="657"/>
      <c r="J282" s="657"/>
      <c r="K282" s="657"/>
      <c r="L282" s="657"/>
    </row>
    <row r="283" spans="1:12" ht="14.25">
      <c r="A283" s="657"/>
      <c r="B283" s="657"/>
      <c r="C283" s="657"/>
      <c r="D283" s="657"/>
      <c r="E283" s="657"/>
      <c r="F283" s="657"/>
      <c r="G283" s="657"/>
      <c r="H283" s="657"/>
      <c r="I283" s="657"/>
      <c r="J283" s="657"/>
      <c r="K283" s="657"/>
      <c r="L283" s="657"/>
    </row>
    <row r="284" spans="1:12" ht="14.25">
      <c r="A284" s="657"/>
      <c r="B284" s="657"/>
      <c r="C284" s="657"/>
      <c r="D284" s="657"/>
      <c r="E284" s="657"/>
      <c r="F284" s="657"/>
      <c r="G284" s="657"/>
      <c r="H284" s="657"/>
      <c r="I284" s="657"/>
      <c r="J284" s="657"/>
      <c r="K284" s="657"/>
      <c r="L284" s="657"/>
    </row>
    <row r="285" spans="1:12" ht="14.25">
      <c r="A285" s="657"/>
      <c r="B285" s="657"/>
      <c r="C285" s="657"/>
      <c r="D285" s="657"/>
      <c r="E285" s="657"/>
      <c r="F285" s="657"/>
      <c r="G285" s="657"/>
      <c r="H285" s="657"/>
      <c r="I285" s="657"/>
      <c r="J285" s="657"/>
      <c r="K285" s="657"/>
      <c r="L285" s="657"/>
    </row>
    <row r="286" spans="1:12" ht="14.25">
      <c r="A286" s="657"/>
      <c r="B286" s="657"/>
      <c r="C286" s="657"/>
      <c r="D286" s="657"/>
      <c r="E286" s="657"/>
      <c r="F286" s="657"/>
      <c r="G286" s="657"/>
      <c r="H286" s="657"/>
      <c r="I286" s="657"/>
      <c r="J286" s="657"/>
      <c r="K286" s="657"/>
      <c r="L286" s="657"/>
    </row>
    <row r="287" spans="1:12" ht="14.25">
      <c r="A287" s="657"/>
      <c r="B287" s="657"/>
      <c r="C287" s="657"/>
      <c r="D287" s="657"/>
      <c r="E287" s="657"/>
      <c r="F287" s="657"/>
      <c r="G287" s="657"/>
      <c r="H287" s="657"/>
      <c r="I287" s="657"/>
      <c r="J287" s="657"/>
      <c r="K287" s="657"/>
      <c r="L287" s="657"/>
    </row>
    <row r="288" spans="1:12" ht="14.25">
      <c r="A288" s="657"/>
      <c r="B288" s="657"/>
      <c r="C288" s="657"/>
      <c r="D288" s="657"/>
      <c r="E288" s="657"/>
      <c r="F288" s="657"/>
      <c r="G288" s="657"/>
      <c r="H288" s="657"/>
      <c r="I288" s="657"/>
      <c r="J288" s="657"/>
      <c r="K288" s="657"/>
      <c r="L288" s="657"/>
    </row>
    <row r="289" spans="1:12" ht="14.25">
      <c r="A289" s="657"/>
      <c r="B289" s="657"/>
      <c r="C289" s="657"/>
      <c r="D289" s="657"/>
      <c r="E289" s="657"/>
      <c r="F289" s="657"/>
      <c r="G289" s="657"/>
      <c r="H289" s="657"/>
      <c r="I289" s="657"/>
      <c r="J289" s="657"/>
      <c r="K289" s="657"/>
      <c r="L289" s="657"/>
    </row>
    <row r="290" spans="1:12" ht="14.25">
      <c r="A290" s="657"/>
      <c r="B290" s="657"/>
      <c r="C290" s="657"/>
      <c r="D290" s="657"/>
      <c r="E290" s="657"/>
      <c r="F290" s="657"/>
      <c r="G290" s="657"/>
      <c r="H290" s="657"/>
      <c r="I290" s="657"/>
      <c r="J290" s="657"/>
      <c r="K290" s="657"/>
      <c r="L290" s="657"/>
    </row>
    <row r="291" spans="1:12" ht="14.25">
      <c r="A291" s="657"/>
      <c r="B291" s="657"/>
      <c r="C291" s="657"/>
      <c r="D291" s="657"/>
      <c r="E291" s="657"/>
      <c r="F291" s="657"/>
      <c r="G291" s="657"/>
      <c r="H291" s="657"/>
      <c r="I291" s="657"/>
      <c r="J291" s="657"/>
      <c r="K291" s="657"/>
      <c r="L291" s="657"/>
    </row>
    <row r="292" spans="1:12" ht="14.25">
      <c r="A292" s="657"/>
      <c r="B292" s="657"/>
      <c r="C292" s="657"/>
      <c r="D292" s="657"/>
      <c r="E292" s="657"/>
      <c r="F292" s="657"/>
      <c r="G292" s="657"/>
      <c r="H292" s="657"/>
      <c r="I292" s="657"/>
      <c r="J292" s="657"/>
      <c r="K292" s="657"/>
      <c r="L292" s="657"/>
    </row>
    <row r="293" spans="1:12" ht="14.25">
      <c r="A293" s="657"/>
      <c r="B293" s="657"/>
      <c r="C293" s="657"/>
      <c r="D293" s="657"/>
      <c r="E293" s="657"/>
      <c r="F293" s="657"/>
      <c r="G293" s="657"/>
      <c r="H293" s="657"/>
      <c r="I293" s="657"/>
      <c r="J293" s="657"/>
      <c r="K293" s="657"/>
      <c r="L293" s="657"/>
    </row>
    <row r="294" spans="1:12" ht="14.25">
      <c r="A294" s="657"/>
      <c r="B294" s="657"/>
      <c r="C294" s="657"/>
      <c r="D294" s="657"/>
      <c r="E294" s="657"/>
      <c r="F294" s="657"/>
      <c r="G294" s="657"/>
      <c r="H294" s="657"/>
      <c r="I294" s="657"/>
      <c r="J294" s="657"/>
      <c r="K294" s="657"/>
      <c r="L294" s="657"/>
    </row>
    <row r="295" spans="1:12" ht="14.25">
      <c r="A295" s="657"/>
      <c r="B295" s="657"/>
      <c r="C295" s="657"/>
      <c r="D295" s="657"/>
      <c r="E295" s="657"/>
      <c r="F295" s="657"/>
      <c r="G295" s="657"/>
      <c r="H295" s="657"/>
      <c r="I295" s="657"/>
      <c r="J295" s="657"/>
      <c r="K295" s="657"/>
      <c r="L295" s="657"/>
    </row>
    <row r="296" spans="1:12" ht="14.25">
      <c r="A296" s="657"/>
      <c r="B296" s="657"/>
      <c r="C296" s="657"/>
      <c r="D296" s="657"/>
      <c r="E296" s="657"/>
      <c r="F296" s="657"/>
      <c r="G296" s="657"/>
      <c r="H296" s="657"/>
      <c r="I296" s="657"/>
      <c r="J296" s="657"/>
      <c r="K296" s="657"/>
      <c r="L296" s="657"/>
    </row>
    <row r="297" spans="1:12" ht="14.25">
      <c r="A297" s="657"/>
      <c r="B297" s="657"/>
      <c r="C297" s="657"/>
      <c r="D297" s="657"/>
      <c r="E297" s="657"/>
      <c r="F297" s="657"/>
      <c r="G297" s="657"/>
      <c r="H297" s="657"/>
      <c r="I297" s="657"/>
      <c r="J297" s="657"/>
      <c r="K297" s="657"/>
      <c r="L297" s="657"/>
    </row>
    <row r="298" spans="1:12" ht="14.25">
      <c r="A298" s="657"/>
      <c r="B298" s="657"/>
      <c r="C298" s="657"/>
      <c r="D298" s="657"/>
      <c r="E298" s="657"/>
      <c r="F298" s="657"/>
      <c r="G298" s="657"/>
      <c r="H298" s="657"/>
      <c r="I298" s="657"/>
      <c r="J298" s="657"/>
      <c r="K298" s="657"/>
      <c r="L298" s="657"/>
    </row>
    <row r="299" spans="1:12" ht="14.25">
      <c r="A299" s="657"/>
      <c r="B299" s="657"/>
      <c r="C299" s="657"/>
      <c r="D299" s="657"/>
      <c r="E299" s="657"/>
      <c r="F299" s="657"/>
      <c r="G299" s="657"/>
      <c r="H299" s="657"/>
      <c r="I299" s="657"/>
      <c r="J299" s="657"/>
      <c r="K299" s="657"/>
      <c r="L299" s="657"/>
    </row>
    <row r="300" spans="1:12" ht="14.25">
      <c r="A300" s="657"/>
      <c r="B300" s="657"/>
      <c r="C300" s="657"/>
      <c r="D300" s="657"/>
      <c r="E300" s="657"/>
      <c r="F300" s="657"/>
      <c r="G300" s="657"/>
      <c r="H300" s="657"/>
      <c r="I300" s="657"/>
      <c r="J300" s="657"/>
      <c r="K300" s="657"/>
      <c r="L300" s="657"/>
    </row>
    <row r="301" spans="1:12" ht="14.25">
      <c r="A301" s="657"/>
      <c r="B301" s="657"/>
      <c r="C301" s="657"/>
      <c r="D301" s="657"/>
      <c r="E301" s="657"/>
      <c r="F301" s="657"/>
      <c r="G301" s="657"/>
      <c r="H301" s="657"/>
      <c r="I301" s="657"/>
      <c r="J301" s="657"/>
      <c r="K301" s="657"/>
      <c r="L301" s="657"/>
    </row>
    <row r="302" spans="1:12" ht="14.25">
      <c r="A302" s="657"/>
      <c r="B302" s="657"/>
      <c r="C302" s="657"/>
      <c r="D302" s="657"/>
      <c r="E302" s="657"/>
      <c r="F302" s="657"/>
      <c r="G302" s="657"/>
      <c r="H302" s="657"/>
      <c r="I302" s="657"/>
      <c r="J302" s="657"/>
      <c r="K302" s="657"/>
      <c r="L302" s="657"/>
    </row>
    <row r="303" spans="1:12" ht="14.25">
      <c r="A303" s="657"/>
      <c r="B303" s="657"/>
      <c r="C303" s="657"/>
      <c r="D303" s="657"/>
      <c r="E303" s="657"/>
      <c r="F303" s="657"/>
      <c r="G303" s="657"/>
      <c r="H303" s="657"/>
      <c r="I303" s="657"/>
      <c r="J303" s="657"/>
      <c r="K303" s="657"/>
      <c r="L303" s="657"/>
    </row>
    <row r="304" spans="1:12" ht="14.25">
      <c r="A304" s="657"/>
      <c r="B304" s="657"/>
      <c r="C304" s="657"/>
      <c r="D304" s="657"/>
      <c r="E304" s="657"/>
      <c r="F304" s="657"/>
      <c r="G304" s="657"/>
      <c r="H304" s="657"/>
      <c r="I304" s="657"/>
      <c r="J304" s="657"/>
      <c r="K304" s="657"/>
      <c r="L304" s="657"/>
    </row>
    <row r="305" spans="1:12" ht="14.25">
      <c r="A305" s="657"/>
      <c r="B305" s="657"/>
      <c r="C305" s="657"/>
      <c r="D305" s="657"/>
      <c r="E305" s="657"/>
      <c r="F305" s="657"/>
      <c r="G305" s="657"/>
      <c r="H305" s="657"/>
      <c r="I305" s="657"/>
      <c r="J305" s="657"/>
      <c r="K305" s="657"/>
      <c r="L305" s="657"/>
    </row>
    <row r="306" spans="1:12" ht="14.25">
      <c r="A306" s="657"/>
      <c r="B306" s="657"/>
      <c r="C306" s="657"/>
      <c r="D306" s="657"/>
      <c r="E306" s="657"/>
      <c r="F306" s="657"/>
      <c r="G306" s="657"/>
      <c r="H306" s="657"/>
      <c r="I306" s="657"/>
      <c r="J306" s="657"/>
      <c r="K306" s="657"/>
      <c r="L306" s="657"/>
    </row>
    <row r="307" spans="1:12" ht="14.25">
      <c r="A307" s="657"/>
      <c r="B307" s="657"/>
      <c r="C307" s="657"/>
      <c r="D307" s="657"/>
      <c r="E307" s="657"/>
      <c r="F307" s="657"/>
      <c r="G307" s="657"/>
      <c r="H307" s="657"/>
      <c r="I307" s="657"/>
      <c r="J307" s="657"/>
      <c r="K307" s="657"/>
      <c r="L307" s="657"/>
    </row>
    <row r="308" spans="1:12" ht="14.25">
      <c r="A308" s="657"/>
      <c r="B308" s="657"/>
      <c r="C308" s="657"/>
      <c r="D308" s="657"/>
      <c r="E308" s="657"/>
      <c r="F308" s="657"/>
      <c r="G308" s="657"/>
      <c r="H308" s="657"/>
      <c r="I308" s="657"/>
      <c r="J308" s="657"/>
      <c r="K308" s="657"/>
      <c r="L308" s="657"/>
    </row>
    <row r="309" spans="1:12" ht="14.25">
      <c r="A309" s="657"/>
      <c r="B309" s="657"/>
      <c r="C309" s="657"/>
      <c r="D309" s="657"/>
      <c r="E309" s="657"/>
      <c r="F309" s="657"/>
      <c r="G309" s="657"/>
      <c r="H309" s="657"/>
      <c r="I309" s="657"/>
      <c r="J309" s="657"/>
      <c r="K309" s="657"/>
      <c r="L309" s="657"/>
    </row>
    <row r="310" spans="1:12" ht="14.25">
      <c r="A310" s="657"/>
      <c r="B310" s="657"/>
      <c r="C310" s="657"/>
      <c r="D310" s="657"/>
      <c r="E310" s="657"/>
      <c r="F310" s="657"/>
      <c r="G310" s="657"/>
      <c r="H310" s="657"/>
      <c r="I310" s="657"/>
      <c r="J310" s="657"/>
      <c r="K310" s="657"/>
      <c r="L310" s="657"/>
    </row>
    <row r="311" spans="1:12" ht="14.25">
      <c r="A311" s="657"/>
      <c r="B311" s="657"/>
      <c r="C311" s="657"/>
      <c r="D311" s="657"/>
      <c r="E311" s="657"/>
      <c r="F311" s="657"/>
      <c r="G311" s="657"/>
      <c r="H311" s="657"/>
      <c r="I311" s="657"/>
      <c r="J311" s="657"/>
      <c r="K311" s="657"/>
      <c r="L311" s="657"/>
    </row>
    <row r="312" spans="1:12" ht="14.25">
      <c r="A312" s="657"/>
      <c r="B312" s="657"/>
      <c r="C312" s="657"/>
      <c r="D312" s="657"/>
      <c r="E312" s="657"/>
      <c r="F312" s="657"/>
      <c r="G312" s="657"/>
      <c r="H312" s="657"/>
      <c r="I312" s="657"/>
      <c r="J312" s="657"/>
      <c r="K312" s="657"/>
      <c r="L312" s="657"/>
    </row>
    <row r="313" spans="1:12" ht="14.25">
      <c r="A313" s="657"/>
      <c r="B313" s="657"/>
      <c r="C313" s="657"/>
      <c r="D313" s="657"/>
      <c r="E313" s="657"/>
      <c r="F313" s="657"/>
      <c r="G313" s="657"/>
      <c r="H313" s="657"/>
      <c r="I313" s="657"/>
      <c r="J313" s="657"/>
      <c r="K313" s="657"/>
      <c r="L313" s="657"/>
    </row>
    <row r="314" spans="1:12" ht="14.25">
      <c r="A314" s="657"/>
      <c r="B314" s="657"/>
      <c r="C314" s="657"/>
      <c r="D314" s="657"/>
      <c r="E314" s="657"/>
      <c r="F314" s="657"/>
      <c r="G314" s="657"/>
      <c r="H314" s="657"/>
      <c r="I314" s="657"/>
      <c r="J314" s="657"/>
      <c r="K314" s="657"/>
      <c r="L314" s="657"/>
    </row>
    <row r="315" spans="1:12" ht="14.25">
      <c r="A315" s="657"/>
      <c r="B315" s="657"/>
      <c r="C315" s="657"/>
      <c r="D315" s="657"/>
      <c r="E315" s="657"/>
      <c r="F315" s="657"/>
      <c r="G315" s="657"/>
      <c r="H315" s="657"/>
      <c r="I315" s="657"/>
      <c r="J315" s="657"/>
      <c r="K315" s="657"/>
      <c r="L315" s="657"/>
    </row>
    <row r="316" spans="1:12" ht="14.25">
      <c r="A316" s="657"/>
      <c r="B316" s="657"/>
      <c r="C316" s="657"/>
      <c r="D316" s="657"/>
      <c r="E316" s="657"/>
      <c r="F316" s="657"/>
      <c r="G316" s="657"/>
      <c r="H316" s="657"/>
      <c r="I316" s="657"/>
      <c r="J316" s="657"/>
      <c r="K316" s="657"/>
      <c r="L316" s="657"/>
    </row>
    <row r="317" spans="1:12" ht="14.25">
      <c r="A317" s="657"/>
      <c r="B317" s="657"/>
      <c r="C317" s="657"/>
      <c r="D317" s="657"/>
      <c r="E317" s="657"/>
      <c r="F317" s="657"/>
      <c r="G317" s="657"/>
      <c r="H317" s="657"/>
      <c r="I317" s="657"/>
      <c r="J317" s="657"/>
      <c r="K317" s="657"/>
      <c r="L317" s="657"/>
    </row>
    <row r="318" spans="1:12" ht="14.25">
      <c r="A318" s="657"/>
      <c r="B318" s="657"/>
      <c r="C318" s="657"/>
      <c r="D318" s="657"/>
      <c r="E318" s="657"/>
      <c r="F318" s="657"/>
      <c r="G318" s="657"/>
      <c r="H318" s="657"/>
      <c r="I318" s="657"/>
      <c r="J318" s="657"/>
      <c r="K318" s="657"/>
      <c r="L318" s="657"/>
    </row>
    <row r="319" spans="1:12" ht="14.25">
      <c r="A319" s="657"/>
      <c r="B319" s="657"/>
      <c r="C319" s="657"/>
      <c r="D319" s="657"/>
      <c r="E319" s="657"/>
      <c r="F319" s="657"/>
      <c r="G319" s="657"/>
      <c r="H319" s="657"/>
      <c r="I319" s="657"/>
      <c r="J319" s="657"/>
      <c r="K319" s="657"/>
      <c r="L319" s="657"/>
    </row>
    <row r="320" spans="1:12" ht="14.25">
      <c r="A320" s="657"/>
      <c r="B320" s="657"/>
      <c r="C320" s="657"/>
      <c r="D320" s="657"/>
      <c r="E320" s="657"/>
      <c r="F320" s="657"/>
      <c r="G320" s="657"/>
      <c r="H320" s="657"/>
      <c r="I320" s="657"/>
      <c r="J320" s="657"/>
      <c r="K320" s="657"/>
      <c r="L320" s="657"/>
    </row>
    <row r="321" spans="1:12" ht="14.25">
      <c r="A321" s="657"/>
      <c r="B321" s="657"/>
      <c r="C321" s="657"/>
      <c r="D321" s="657"/>
      <c r="E321" s="657"/>
      <c r="F321" s="657"/>
      <c r="G321" s="657"/>
      <c r="H321" s="657"/>
      <c r="I321" s="657"/>
      <c r="J321" s="657"/>
      <c r="K321" s="657"/>
      <c r="L321" s="657"/>
    </row>
    <row r="322" spans="1:12" ht="14.25">
      <c r="A322" s="657"/>
      <c r="B322" s="657"/>
      <c r="C322" s="657"/>
      <c r="D322" s="657"/>
      <c r="E322" s="657"/>
      <c r="F322" s="657"/>
      <c r="G322" s="657"/>
      <c r="H322" s="657"/>
      <c r="I322" s="657"/>
      <c r="J322" s="657"/>
      <c r="K322" s="657"/>
      <c r="L322" s="657"/>
    </row>
    <row r="323" spans="1:12" ht="14.25">
      <c r="A323" s="657"/>
      <c r="B323" s="657"/>
      <c r="C323" s="657"/>
      <c r="D323" s="657"/>
      <c r="E323" s="657"/>
      <c r="F323" s="657"/>
      <c r="G323" s="657"/>
      <c r="H323" s="657"/>
      <c r="I323" s="657"/>
      <c r="J323" s="657"/>
      <c r="K323" s="657"/>
      <c r="L323" s="657"/>
    </row>
    <row r="324" spans="1:12" ht="14.25">
      <c r="A324" s="657"/>
      <c r="B324" s="657"/>
      <c r="C324" s="657"/>
      <c r="D324" s="657"/>
      <c r="E324" s="657"/>
      <c r="F324" s="657"/>
      <c r="G324" s="657"/>
      <c r="H324" s="657"/>
      <c r="I324" s="657"/>
      <c r="J324" s="657"/>
      <c r="K324" s="657"/>
      <c r="L324" s="657"/>
    </row>
    <row r="325" spans="1:12" ht="14.25">
      <c r="A325" s="657"/>
      <c r="B325" s="657"/>
      <c r="C325" s="657"/>
      <c r="D325" s="657"/>
      <c r="E325" s="657"/>
      <c r="F325" s="657"/>
      <c r="G325" s="657"/>
      <c r="H325" s="657"/>
      <c r="I325" s="657"/>
      <c r="J325" s="657"/>
      <c r="K325" s="657"/>
      <c r="L325" s="657"/>
    </row>
    <row r="326" spans="1:12" ht="14.25">
      <c r="A326" s="657"/>
      <c r="B326" s="657"/>
      <c r="C326" s="657"/>
      <c r="D326" s="657"/>
      <c r="E326" s="657"/>
      <c r="F326" s="657"/>
      <c r="G326" s="657"/>
      <c r="H326" s="657"/>
      <c r="I326" s="657"/>
      <c r="J326" s="657"/>
      <c r="K326" s="657"/>
      <c r="L326" s="657"/>
    </row>
    <row r="327" spans="1:12" ht="14.25">
      <c r="A327" s="657"/>
      <c r="B327" s="657"/>
      <c r="C327" s="657"/>
      <c r="D327" s="657"/>
      <c r="E327" s="657"/>
      <c r="F327" s="657"/>
      <c r="G327" s="657"/>
      <c r="H327" s="657"/>
      <c r="I327" s="657"/>
      <c r="J327" s="657"/>
      <c r="K327" s="657"/>
      <c r="L327" s="657"/>
    </row>
    <row r="328" spans="1:12" ht="14.25">
      <c r="A328" s="657"/>
      <c r="B328" s="657"/>
      <c r="C328" s="657"/>
      <c r="D328" s="657"/>
      <c r="E328" s="657"/>
      <c r="F328" s="657"/>
      <c r="G328" s="657"/>
      <c r="H328" s="657"/>
      <c r="I328" s="657"/>
      <c r="J328" s="657"/>
      <c r="K328" s="657"/>
      <c r="L328" s="657"/>
    </row>
    <row r="329" spans="1:12" ht="14.25">
      <c r="A329" s="657"/>
      <c r="B329" s="657"/>
      <c r="C329" s="657"/>
      <c r="D329" s="657"/>
      <c r="E329" s="657"/>
      <c r="F329" s="657"/>
      <c r="G329" s="657"/>
      <c r="H329" s="657"/>
      <c r="I329" s="657"/>
      <c r="J329" s="657"/>
      <c r="K329" s="657"/>
      <c r="L329" s="657"/>
    </row>
    <row r="330" spans="1:12" ht="14.25">
      <c r="A330" s="657"/>
      <c r="B330" s="657"/>
      <c r="C330" s="657"/>
      <c r="D330" s="657"/>
      <c r="E330" s="657"/>
      <c r="F330" s="657"/>
      <c r="G330" s="657"/>
      <c r="H330" s="657"/>
      <c r="I330" s="657"/>
      <c r="J330" s="657"/>
      <c r="K330" s="657"/>
      <c r="L330" s="657"/>
    </row>
    <row r="331" spans="1:12" ht="14.25">
      <c r="A331" s="657"/>
      <c r="B331" s="657"/>
      <c r="C331" s="657"/>
      <c r="D331" s="657"/>
      <c r="E331" s="657"/>
      <c r="F331" s="657"/>
      <c r="G331" s="657"/>
      <c r="H331" s="657"/>
      <c r="I331" s="657"/>
      <c r="J331" s="657"/>
      <c r="K331" s="657"/>
      <c r="L331" s="657"/>
    </row>
    <row r="332" spans="1:12" ht="14.25">
      <c r="A332" s="657"/>
      <c r="B332" s="657"/>
      <c r="C332" s="657"/>
      <c r="D332" s="657"/>
      <c r="E332" s="657"/>
      <c r="F332" s="657"/>
      <c r="G332" s="657"/>
      <c r="H332" s="657"/>
      <c r="I332" s="657"/>
      <c r="J332" s="657"/>
      <c r="K332" s="657"/>
      <c r="L332" s="657"/>
    </row>
    <row r="333" spans="1:12" ht="14.25">
      <c r="A333" s="657"/>
      <c r="B333" s="657"/>
      <c r="C333" s="657"/>
      <c r="D333" s="657"/>
      <c r="E333" s="657"/>
      <c r="F333" s="657"/>
      <c r="G333" s="657"/>
      <c r="H333" s="657"/>
      <c r="I333" s="657"/>
      <c r="J333" s="657"/>
      <c r="K333" s="657"/>
      <c r="L333" s="657"/>
    </row>
    <row r="334" spans="1:12" ht="14.25">
      <c r="A334" s="657"/>
      <c r="B334" s="657"/>
      <c r="C334" s="657"/>
      <c r="D334" s="657"/>
      <c r="E334" s="657"/>
      <c r="F334" s="657"/>
      <c r="G334" s="657"/>
      <c r="H334" s="657"/>
      <c r="I334" s="657"/>
      <c r="J334" s="657"/>
      <c r="K334" s="657"/>
      <c r="L334" s="657"/>
    </row>
    <row r="335" spans="1:12" ht="14.25">
      <c r="A335" s="657"/>
      <c r="B335" s="657"/>
      <c r="C335" s="657"/>
      <c r="D335" s="657"/>
      <c r="E335" s="657"/>
      <c r="F335" s="657"/>
      <c r="G335" s="657"/>
      <c r="H335" s="657"/>
      <c r="I335" s="657"/>
      <c r="J335" s="657"/>
      <c r="K335" s="657"/>
      <c r="L335" s="657"/>
    </row>
    <row r="336" spans="1:12" ht="14.25">
      <c r="A336" s="657"/>
      <c r="B336" s="657"/>
      <c r="C336" s="657"/>
      <c r="D336" s="657"/>
      <c r="E336" s="657"/>
      <c r="F336" s="657"/>
      <c r="G336" s="657"/>
      <c r="H336" s="657"/>
      <c r="I336" s="657"/>
      <c r="J336" s="657"/>
      <c r="K336" s="657"/>
      <c r="L336" s="657"/>
    </row>
    <row r="337" spans="1:12" ht="14.25">
      <c r="A337" s="657"/>
      <c r="B337" s="657"/>
      <c r="C337" s="657"/>
      <c r="D337" s="657"/>
      <c r="E337" s="657"/>
      <c r="F337" s="657"/>
      <c r="G337" s="657"/>
      <c r="H337" s="657"/>
      <c r="I337" s="657"/>
      <c r="J337" s="657"/>
      <c r="K337" s="657"/>
      <c r="L337" s="657"/>
    </row>
    <row r="338" spans="1:12" ht="14.25">
      <c r="A338" s="657"/>
      <c r="B338" s="657"/>
      <c r="C338" s="657"/>
      <c r="D338" s="657"/>
      <c r="E338" s="657"/>
      <c r="F338" s="657"/>
      <c r="G338" s="657"/>
      <c r="H338" s="657"/>
      <c r="I338" s="657"/>
      <c r="J338" s="657"/>
      <c r="K338" s="657"/>
      <c r="L338" s="657"/>
    </row>
    <row r="339" spans="1:12" ht="14.25">
      <c r="A339" s="657"/>
      <c r="B339" s="657"/>
      <c r="C339" s="657"/>
      <c r="D339" s="657"/>
      <c r="E339" s="657"/>
      <c r="F339" s="657"/>
      <c r="G339" s="657"/>
      <c r="H339" s="657"/>
      <c r="I339" s="657"/>
      <c r="J339" s="657"/>
      <c r="K339" s="657"/>
      <c r="L339" s="657"/>
    </row>
    <row r="340" spans="1:12" ht="14.25">
      <c r="A340" s="657"/>
      <c r="B340" s="657"/>
      <c r="C340" s="657"/>
      <c r="D340" s="657"/>
      <c r="E340" s="657"/>
      <c r="F340" s="657"/>
      <c r="G340" s="657"/>
      <c r="H340" s="657"/>
      <c r="I340" s="657"/>
      <c r="J340" s="657"/>
      <c r="K340" s="657"/>
      <c r="L340" s="657"/>
    </row>
    <row r="341" spans="1:12" ht="14.25">
      <c r="A341" s="657"/>
      <c r="B341" s="657"/>
      <c r="C341" s="657"/>
      <c r="D341" s="657"/>
      <c r="E341" s="657"/>
      <c r="F341" s="657"/>
      <c r="G341" s="657"/>
      <c r="H341" s="657"/>
      <c r="I341" s="657"/>
      <c r="J341" s="657"/>
      <c r="K341" s="657"/>
      <c r="L341" s="657"/>
    </row>
    <row r="342" spans="1:12" ht="14.25">
      <c r="A342" s="657"/>
      <c r="B342" s="657"/>
      <c r="C342" s="657"/>
      <c r="D342" s="657"/>
      <c r="E342" s="657"/>
      <c r="F342" s="657"/>
      <c r="G342" s="657"/>
      <c r="H342" s="657"/>
      <c r="I342" s="657"/>
      <c r="J342" s="657"/>
      <c r="K342" s="657"/>
      <c r="L342" s="657"/>
    </row>
    <row r="343" spans="1:12" ht="14.25">
      <c r="A343" s="657"/>
      <c r="B343" s="657"/>
      <c r="C343" s="657"/>
      <c r="D343" s="657"/>
      <c r="E343" s="657"/>
      <c r="F343" s="657"/>
      <c r="G343" s="657"/>
      <c r="H343" s="657"/>
      <c r="I343" s="657"/>
      <c r="J343" s="657"/>
      <c r="K343" s="657"/>
      <c r="L343" s="657"/>
    </row>
    <row r="344" spans="1:12" ht="14.25">
      <c r="A344" s="657"/>
      <c r="B344" s="657"/>
      <c r="C344" s="657"/>
      <c r="D344" s="657"/>
      <c r="E344" s="657"/>
      <c r="F344" s="657"/>
      <c r="G344" s="657"/>
      <c r="H344" s="657"/>
      <c r="I344" s="657"/>
      <c r="J344" s="657"/>
      <c r="K344" s="657"/>
      <c r="L344" s="657"/>
    </row>
    <row r="345" spans="1:12" ht="14.25">
      <c r="A345" s="657"/>
      <c r="B345" s="657"/>
      <c r="C345" s="657"/>
      <c r="D345" s="657"/>
      <c r="E345" s="657"/>
      <c r="F345" s="657"/>
      <c r="G345" s="657"/>
      <c r="H345" s="657"/>
      <c r="I345" s="657"/>
      <c r="J345" s="657"/>
      <c r="K345" s="657"/>
      <c r="L345" s="657"/>
    </row>
    <row r="346" spans="1:12" ht="14.25">
      <c r="A346" s="657"/>
      <c r="B346" s="657"/>
      <c r="C346" s="657"/>
      <c r="D346" s="657"/>
      <c r="E346" s="657"/>
      <c r="F346" s="657"/>
      <c r="G346" s="657"/>
      <c r="H346" s="657"/>
      <c r="I346" s="657"/>
      <c r="J346" s="657"/>
      <c r="K346" s="657"/>
      <c r="L346" s="657"/>
    </row>
    <row r="347" spans="1:12" ht="14.25">
      <c r="A347" s="657"/>
      <c r="B347" s="657"/>
      <c r="C347" s="657"/>
      <c r="D347" s="657"/>
      <c r="E347" s="657"/>
      <c r="F347" s="657"/>
      <c r="G347" s="657"/>
      <c r="H347" s="657"/>
      <c r="I347" s="657"/>
      <c r="J347" s="657"/>
      <c r="K347" s="657"/>
      <c r="L347" s="657"/>
    </row>
    <row r="348" spans="1:12" ht="14.25">
      <c r="A348" s="657"/>
      <c r="B348" s="657"/>
      <c r="C348" s="657"/>
      <c r="D348" s="657"/>
      <c r="E348" s="657"/>
      <c r="F348" s="657"/>
      <c r="G348" s="657"/>
      <c r="H348" s="657"/>
      <c r="I348" s="657"/>
      <c r="J348" s="657"/>
      <c r="K348" s="657"/>
      <c r="L348" s="657"/>
    </row>
    <row r="349" spans="1:12" ht="14.25">
      <c r="A349" s="657"/>
      <c r="B349" s="657"/>
      <c r="C349" s="657"/>
      <c r="D349" s="657"/>
      <c r="E349" s="657"/>
      <c r="F349" s="657"/>
      <c r="G349" s="657"/>
      <c r="H349" s="657"/>
      <c r="I349" s="657"/>
      <c r="J349" s="657"/>
      <c r="K349" s="657"/>
      <c r="L349" s="657"/>
    </row>
    <row r="350" spans="1:12" ht="14.25">
      <c r="A350" s="657"/>
      <c r="B350" s="657"/>
      <c r="C350" s="657"/>
      <c r="D350" s="657"/>
      <c r="E350" s="657"/>
      <c r="F350" s="657"/>
      <c r="G350" s="657"/>
      <c r="H350" s="657"/>
      <c r="I350" s="657"/>
      <c r="J350" s="657"/>
      <c r="K350" s="657"/>
      <c r="L350" s="657"/>
    </row>
    <row r="351" spans="1:12" ht="14.25">
      <c r="A351" s="657"/>
      <c r="B351" s="657"/>
      <c r="C351" s="657"/>
      <c r="D351" s="657"/>
      <c r="E351" s="657"/>
      <c r="F351" s="657"/>
      <c r="G351" s="657"/>
      <c r="H351" s="657"/>
      <c r="I351" s="657"/>
      <c r="J351" s="657"/>
      <c r="K351" s="657"/>
      <c r="L351" s="657"/>
    </row>
    <row r="352" spans="1:12" ht="14.25">
      <c r="A352" s="657"/>
      <c r="B352" s="657"/>
      <c r="C352" s="657"/>
      <c r="D352" s="657"/>
      <c r="E352" s="657"/>
      <c r="F352" s="657"/>
      <c r="G352" s="657"/>
      <c r="H352" s="657"/>
      <c r="I352" s="657"/>
      <c r="J352" s="657"/>
      <c r="K352" s="657"/>
      <c r="L352" s="657"/>
    </row>
    <row r="353" spans="1:12" ht="14.25">
      <c r="A353" s="657"/>
      <c r="B353" s="657"/>
      <c r="C353" s="657"/>
      <c r="D353" s="657"/>
      <c r="E353" s="657"/>
      <c r="F353" s="657"/>
      <c r="G353" s="657"/>
      <c r="H353" s="657"/>
      <c r="I353" s="657"/>
      <c r="J353" s="657"/>
      <c r="K353" s="657"/>
      <c r="L353" s="657"/>
    </row>
    <row r="354" spans="1:12" ht="14.25">
      <c r="A354" s="657"/>
      <c r="B354" s="657"/>
      <c r="C354" s="657"/>
      <c r="D354" s="657"/>
      <c r="E354" s="657"/>
      <c r="F354" s="657"/>
      <c r="G354" s="657"/>
      <c r="H354" s="657"/>
      <c r="I354" s="657"/>
      <c r="J354" s="657"/>
      <c r="K354" s="657"/>
      <c r="L354" s="657"/>
    </row>
  </sheetData>
  <sheetProtection sheet="1" objects="1" scenarios="1"/>
  <mergeCells count="55">
    <mergeCell ref="C83:D83"/>
    <mergeCell ref="B85:K85"/>
    <mergeCell ref="C134:D134"/>
    <mergeCell ref="B110:K110"/>
    <mergeCell ref="C120:D120"/>
    <mergeCell ref="C123:D123"/>
    <mergeCell ref="B130:K130"/>
    <mergeCell ref="C133:D133"/>
    <mergeCell ref="H133:I133"/>
    <mergeCell ref="C114:D114"/>
    <mergeCell ref="B6:K6"/>
    <mergeCell ref="B7:K7"/>
    <mergeCell ref="B8:K8"/>
    <mergeCell ref="B10:K10"/>
    <mergeCell ref="B12:K12"/>
    <mergeCell ref="C25:D25"/>
    <mergeCell ref="F23:G23"/>
    <mergeCell ref="B86:K86"/>
    <mergeCell ref="B88:K88"/>
    <mergeCell ref="B30:K30"/>
    <mergeCell ref="B31:K31"/>
    <mergeCell ref="B33:K33"/>
    <mergeCell ref="B35:K35"/>
    <mergeCell ref="C41:D41"/>
    <mergeCell ref="B48:C48"/>
    <mergeCell ref="G50:H50"/>
    <mergeCell ref="I51:K51"/>
    <mergeCell ref="B52:K52"/>
    <mergeCell ref="B53:K53"/>
    <mergeCell ref="B58:K58"/>
    <mergeCell ref="C74:D74"/>
    <mergeCell ref="C77:D77"/>
    <mergeCell ref="C80:D80"/>
    <mergeCell ref="B55:K55"/>
    <mergeCell ref="B57:K57"/>
    <mergeCell ref="B126:K126"/>
    <mergeCell ref="B128:K128"/>
    <mergeCell ref="B90:K90"/>
    <mergeCell ref="C94:D94"/>
    <mergeCell ref="C97:D97"/>
    <mergeCell ref="C100:D100"/>
    <mergeCell ref="B105:K105"/>
    <mergeCell ref="B106:K106"/>
    <mergeCell ref="C117:D117"/>
    <mergeCell ref="B125:K125"/>
    <mergeCell ref="C148:D148"/>
    <mergeCell ref="J148:K148"/>
    <mergeCell ref="C103:D103"/>
    <mergeCell ref="H134:I134"/>
    <mergeCell ref="C136:D136"/>
    <mergeCell ref="C137:D137"/>
    <mergeCell ref="B144:K144"/>
    <mergeCell ref="C147:D147"/>
    <mergeCell ref="J147:K147"/>
    <mergeCell ref="B108:K108"/>
  </mergeCell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A40"/>
  <sheetViews>
    <sheetView zoomScalePageLayoutView="0" workbookViewId="0" topLeftCell="A1">
      <selection activeCell="H67" sqref="H67"/>
    </sheetView>
  </sheetViews>
  <sheetFormatPr defaultColWidth="8.796875" defaultRowHeight="15"/>
  <cols>
    <col min="1" max="1" width="71.19921875" style="0" customWidth="1"/>
  </cols>
  <sheetData>
    <row r="1" ht="16.5">
      <c r="A1" s="573" t="s">
        <v>715</v>
      </c>
    </row>
    <row r="3" ht="31.5">
      <c r="A3" s="574" t="s">
        <v>716</v>
      </c>
    </row>
    <row r="4" ht="15.75">
      <c r="A4" s="575" t="s">
        <v>717</v>
      </c>
    </row>
    <row r="7" ht="31.5">
      <c r="A7" s="574" t="s">
        <v>718</v>
      </c>
    </row>
    <row r="8" ht="15.75">
      <c r="A8" s="575" t="s">
        <v>719</v>
      </c>
    </row>
    <row r="11" ht="15.75">
      <c r="A11" s="572" t="s">
        <v>720</v>
      </c>
    </row>
    <row r="12" ht="15.75">
      <c r="A12" s="575" t="s">
        <v>721</v>
      </c>
    </row>
    <row r="15" ht="15.75">
      <c r="A15" s="572" t="s">
        <v>722</v>
      </c>
    </row>
    <row r="16" ht="15.75">
      <c r="A16" s="575" t="s">
        <v>723</v>
      </c>
    </row>
    <row r="19" ht="15.75">
      <c r="A19" s="572" t="s">
        <v>724</v>
      </c>
    </row>
    <row r="20" ht="15.75">
      <c r="A20" s="575" t="s">
        <v>725</v>
      </c>
    </row>
    <row r="23" ht="15.75">
      <c r="A23" s="572" t="s">
        <v>726</v>
      </c>
    </row>
    <row r="24" ht="15.75">
      <c r="A24" s="575" t="s">
        <v>727</v>
      </c>
    </row>
    <row r="27" ht="15.75">
      <c r="A27" s="572" t="s">
        <v>728</v>
      </c>
    </row>
    <row r="28" ht="15.75">
      <c r="A28" s="575" t="s">
        <v>729</v>
      </c>
    </row>
    <row r="31" ht="15.75">
      <c r="A31" s="572" t="s">
        <v>730</v>
      </c>
    </row>
    <row r="32" ht="15.75">
      <c r="A32" s="575" t="s">
        <v>731</v>
      </c>
    </row>
    <row r="35" ht="15.75">
      <c r="A35" s="572" t="s">
        <v>732</v>
      </c>
    </row>
    <row r="36" ht="15.75">
      <c r="A36" s="575" t="s">
        <v>733</v>
      </c>
    </row>
    <row r="39" ht="15.75">
      <c r="A39" s="572" t="s">
        <v>734</v>
      </c>
    </row>
    <row r="40" ht="15.75">
      <c r="A40" s="575" t="s">
        <v>735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A134"/>
  <sheetViews>
    <sheetView zoomScalePageLayoutView="0" workbookViewId="0" topLeftCell="A1">
      <selection activeCell="H67" sqref="H67"/>
    </sheetView>
  </sheetViews>
  <sheetFormatPr defaultColWidth="8.796875" defaultRowHeight="15"/>
  <cols>
    <col min="1" max="1" width="80.09765625" style="77" customWidth="1"/>
    <col min="2" max="16384" width="8.8984375" style="77" customWidth="1"/>
  </cols>
  <sheetData>
    <row r="1" ht="15.75">
      <c r="A1" s="436" t="s">
        <v>833</v>
      </c>
    </row>
    <row r="2" ht="15.75">
      <c r="A2" s="571" t="s">
        <v>834</v>
      </c>
    </row>
    <row r="4" ht="15.75">
      <c r="A4" s="436" t="s">
        <v>692</v>
      </c>
    </row>
    <row r="5" ht="15.75">
      <c r="A5" s="571" t="s">
        <v>693</v>
      </c>
    </row>
    <row r="6" ht="15.75">
      <c r="A6" s="571" t="s">
        <v>694</v>
      </c>
    </row>
    <row r="7" ht="15.75">
      <c r="A7" s="570" t="s">
        <v>695</v>
      </c>
    </row>
    <row r="8" ht="15.75">
      <c r="A8" s="571" t="s">
        <v>696</v>
      </c>
    </row>
    <row r="9" ht="15.75">
      <c r="A9" s="571" t="s">
        <v>697</v>
      </c>
    </row>
    <row r="10" ht="15.75">
      <c r="A10" s="571" t="s">
        <v>698</v>
      </c>
    </row>
    <row r="11" ht="15.75">
      <c r="A11" s="571" t="s">
        <v>699</v>
      </c>
    </row>
    <row r="12" ht="15.75">
      <c r="A12" s="571" t="s">
        <v>700</v>
      </c>
    </row>
    <row r="13" ht="15.75">
      <c r="A13" s="571" t="s">
        <v>701</v>
      </c>
    </row>
    <row r="14" ht="15.75">
      <c r="A14" s="571" t="s">
        <v>702</v>
      </c>
    </row>
    <row r="15" ht="15.75">
      <c r="A15" s="571" t="s">
        <v>703</v>
      </c>
    </row>
    <row r="16" ht="15.75">
      <c r="A16" s="571" t="s">
        <v>704</v>
      </c>
    </row>
    <row r="17" ht="15.75">
      <c r="A17" s="571" t="s">
        <v>705</v>
      </c>
    </row>
    <row r="18" ht="15.75">
      <c r="A18" s="571" t="s">
        <v>706</v>
      </c>
    </row>
    <row r="19" ht="15.75">
      <c r="A19" s="571" t="s">
        <v>707</v>
      </c>
    </row>
    <row r="20" ht="15.75">
      <c r="A20" s="571" t="s">
        <v>708</v>
      </c>
    </row>
    <row r="21" ht="15.75">
      <c r="A21" s="571" t="s">
        <v>709</v>
      </c>
    </row>
    <row r="22" ht="15.75">
      <c r="A22" s="571" t="s">
        <v>710</v>
      </c>
    </row>
    <row r="23" ht="15.75">
      <c r="A23" s="571" t="s">
        <v>711</v>
      </c>
    </row>
    <row r="24" ht="15.75">
      <c r="A24" s="571" t="s">
        <v>712</v>
      </c>
    </row>
    <row r="25" ht="15.75">
      <c r="A25" s="570" t="s">
        <v>713</v>
      </c>
    </row>
    <row r="26" ht="15.75">
      <c r="A26" s="77" t="s">
        <v>714</v>
      </c>
    </row>
    <row r="32" ht="15.75">
      <c r="A32" s="436" t="s">
        <v>673</v>
      </c>
    </row>
    <row r="33" ht="15.75">
      <c r="A33" s="77" t="s">
        <v>674</v>
      </c>
    </row>
    <row r="35" ht="15.75">
      <c r="A35" s="436" t="s">
        <v>667</v>
      </c>
    </row>
    <row r="36" ht="15.75">
      <c r="A36" s="77" t="s">
        <v>668</v>
      </c>
    </row>
    <row r="37" ht="15.75">
      <c r="A37" s="77" t="s">
        <v>669</v>
      </c>
    </row>
    <row r="38" ht="15.75">
      <c r="A38" s="77" t="s">
        <v>670</v>
      </c>
    </row>
    <row r="40" ht="15.75">
      <c r="A40" s="449" t="s">
        <v>656</v>
      </c>
    </row>
    <row r="41" ht="15.75">
      <c r="A41" s="77" t="s">
        <v>666</v>
      </c>
    </row>
    <row r="43" ht="15.75">
      <c r="A43" s="436" t="s">
        <v>420</v>
      </c>
    </row>
    <row r="44" ht="15.75">
      <c r="A44" s="437" t="s">
        <v>421</v>
      </c>
    </row>
    <row r="45" ht="15.75">
      <c r="A45" s="437" t="s">
        <v>422</v>
      </c>
    </row>
    <row r="46" ht="15.75">
      <c r="A46" s="437" t="s">
        <v>423</v>
      </c>
    </row>
    <row r="47" ht="15.75">
      <c r="A47" s="77" t="s">
        <v>424</v>
      </c>
    </row>
    <row r="49" ht="15.75">
      <c r="A49" s="414" t="s">
        <v>354</v>
      </c>
    </row>
    <row r="50" ht="15.75">
      <c r="A50" s="77" t="s">
        <v>355</v>
      </c>
    </row>
    <row r="51" ht="15.75">
      <c r="A51" s="77" t="s">
        <v>356</v>
      </c>
    </row>
    <row r="52" ht="15.75">
      <c r="A52" s="77" t="s">
        <v>357</v>
      </c>
    </row>
    <row r="53" ht="15.75">
      <c r="A53" s="77" t="s">
        <v>389</v>
      </c>
    </row>
    <row r="54" ht="15.75">
      <c r="A54" s="77" t="s">
        <v>388</v>
      </c>
    </row>
    <row r="55" ht="15.75">
      <c r="A55" s="77" t="s">
        <v>390</v>
      </c>
    </row>
    <row r="56" ht="15.75">
      <c r="A56" s="77" t="s">
        <v>392</v>
      </c>
    </row>
    <row r="57" ht="22.5" customHeight="1">
      <c r="A57" s="80" t="s">
        <v>391</v>
      </c>
    </row>
    <row r="58" ht="22.5" customHeight="1">
      <c r="A58" s="80" t="s">
        <v>406</v>
      </c>
    </row>
    <row r="59" ht="22.5" customHeight="1">
      <c r="A59" s="424" t="s">
        <v>410</v>
      </c>
    </row>
    <row r="61" ht="15.75">
      <c r="A61" s="414" t="s">
        <v>347</v>
      </c>
    </row>
    <row r="62" ht="15.75">
      <c r="A62" s="77" t="s">
        <v>348</v>
      </c>
    </row>
    <row r="63" ht="15.75">
      <c r="A63" s="77" t="s">
        <v>349</v>
      </c>
    </row>
    <row r="65" ht="15.75">
      <c r="A65" s="414" t="s">
        <v>122</v>
      </c>
    </row>
    <row r="66" ht="15.75">
      <c r="A66" s="77" t="s">
        <v>102</v>
      </c>
    </row>
    <row r="67" ht="15.75">
      <c r="A67" s="77" t="s">
        <v>103</v>
      </c>
    </row>
    <row r="68" ht="15.75">
      <c r="A68" s="77" t="s">
        <v>104</v>
      </c>
    </row>
    <row r="69" ht="15.75">
      <c r="A69" s="77" t="s">
        <v>105</v>
      </c>
    </row>
    <row r="70" ht="15.75">
      <c r="A70" s="77" t="s">
        <v>106</v>
      </c>
    </row>
    <row r="71" ht="15.75">
      <c r="A71" s="77" t="s">
        <v>107</v>
      </c>
    </row>
    <row r="72" ht="31.5">
      <c r="A72" s="80" t="s">
        <v>108</v>
      </c>
    </row>
    <row r="73" ht="31.5">
      <c r="A73" s="80" t="s">
        <v>109</v>
      </c>
    </row>
    <row r="74" ht="15.75">
      <c r="A74" s="80" t="s">
        <v>110</v>
      </c>
    </row>
    <row r="75" ht="15.75">
      <c r="A75" s="80" t="s">
        <v>111</v>
      </c>
    </row>
    <row r="76" ht="31.5">
      <c r="A76" s="80" t="s">
        <v>112</v>
      </c>
    </row>
    <row r="77" ht="15.75">
      <c r="A77" s="77" t="s">
        <v>113</v>
      </c>
    </row>
    <row r="78" ht="31.5">
      <c r="A78" s="80" t="s">
        <v>114</v>
      </c>
    </row>
    <row r="79" ht="15.75">
      <c r="A79" s="77" t="s">
        <v>115</v>
      </c>
    </row>
    <row r="80" ht="15.75">
      <c r="A80" s="77" t="s">
        <v>116</v>
      </c>
    </row>
    <row r="81" ht="15.75">
      <c r="A81" s="77" t="s">
        <v>117</v>
      </c>
    </row>
    <row r="82" ht="15.75">
      <c r="A82" s="77" t="s">
        <v>118</v>
      </c>
    </row>
    <row r="83" ht="31.5">
      <c r="A83" s="80" t="s">
        <v>119</v>
      </c>
    </row>
    <row r="84" ht="15.75">
      <c r="A84" s="77" t="s">
        <v>120</v>
      </c>
    </row>
    <row r="87" ht="15.75">
      <c r="A87" s="414" t="s">
        <v>96</v>
      </c>
    </row>
    <row r="88" ht="15.75">
      <c r="A88" s="77" t="s">
        <v>99</v>
      </c>
    </row>
    <row r="89" ht="15.75">
      <c r="A89" s="77" t="s">
        <v>97</v>
      </c>
    </row>
    <row r="90" ht="15.75">
      <c r="A90" s="77" t="s">
        <v>98</v>
      </c>
    </row>
    <row r="91" ht="15.75">
      <c r="A91" s="77" t="s">
        <v>358</v>
      </c>
    </row>
    <row r="93" ht="15.75">
      <c r="A93" s="414" t="s">
        <v>92</v>
      </c>
    </row>
    <row r="94" ht="31.5">
      <c r="A94" s="80" t="s">
        <v>93</v>
      </c>
    </row>
    <row r="95" ht="15.75">
      <c r="A95" s="77" t="s">
        <v>94</v>
      </c>
    </row>
    <row r="96" ht="15.75">
      <c r="A96" s="77" t="s">
        <v>95</v>
      </c>
    </row>
    <row r="99" ht="15.75">
      <c r="A99" s="414" t="s">
        <v>32</v>
      </c>
    </row>
    <row r="100" ht="47.25">
      <c r="A100" s="80" t="s">
        <v>359</v>
      </c>
    </row>
    <row r="101" ht="15.75">
      <c r="A101" s="77" t="s">
        <v>33</v>
      </c>
    </row>
    <row r="102" ht="15.75">
      <c r="A102" s="77" t="s">
        <v>39</v>
      </c>
    </row>
    <row r="103" ht="15.75">
      <c r="A103" s="77" t="s">
        <v>360</v>
      </c>
    </row>
    <row r="104" ht="15.75">
      <c r="A104" s="77" t="s">
        <v>34</v>
      </c>
    </row>
    <row r="105" ht="15.75">
      <c r="A105" s="77" t="s">
        <v>35</v>
      </c>
    </row>
    <row r="106" ht="15.75">
      <c r="A106" s="77" t="s">
        <v>40</v>
      </c>
    </row>
    <row r="107" ht="15.75">
      <c r="A107" s="80" t="s">
        <v>56</v>
      </c>
    </row>
    <row r="108" ht="31.5">
      <c r="A108" s="80" t="s">
        <v>127</v>
      </c>
    </row>
    <row r="109" ht="15.75">
      <c r="A109" s="77" t="s">
        <v>41</v>
      </c>
    </row>
    <row r="110" ht="15.75">
      <c r="A110" s="77" t="s">
        <v>42</v>
      </c>
    </row>
    <row r="111" ht="15.75">
      <c r="A111" s="77" t="s">
        <v>361</v>
      </c>
    </row>
    <row r="112" ht="15.75">
      <c r="A112" s="77" t="s">
        <v>55</v>
      </c>
    </row>
    <row r="113" ht="15.75">
      <c r="A113" s="77" t="s">
        <v>362</v>
      </c>
    </row>
    <row r="114" ht="31.5">
      <c r="A114" s="80" t="s">
        <v>363</v>
      </c>
    </row>
    <row r="115" ht="15.75">
      <c r="A115" s="77" t="s">
        <v>43</v>
      </c>
    </row>
    <row r="116" ht="15.75">
      <c r="A116" s="77" t="s">
        <v>44</v>
      </c>
    </row>
    <row r="117" ht="31.5">
      <c r="A117" s="80" t="s">
        <v>45</v>
      </c>
    </row>
    <row r="118" ht="15.75">
      <c r="A118" s="77" t="s">
        <v>364</v>
      </c>
    </row>
    <row r="119" ht="15.75">
      <c r="A119" s="77" t="s">
        <v>47</v>
      </c>
    </row>
    <row r="120" ht="15.75">
      <c r="A120" s="77" t="s">
        <v>46</v>
      </c>
    </row>
    <row r="121" ht="15.75">
      <c r="A121" s="77" t="s">
        <v>52</v>
      </c>
    </row>
    <row r="122" ht="15.75">
      <c r="A122" s="77" t="s">
        <v>58</v>
      </c>
    </row>
    <row r="123" ht="15.75">
      <c r="A123" s="77" t="s">
        <v>59</v>
      </c>
    </row>
    <row r="124" ht="15.75">
      <c r="A124" s="77" t="s">
        <v>62</v>
      </c>
    </row>
    <row r="125" ht="15.75">
      <c r="A125" s="77" t="s">
        <v>365</v>
      </c>
    </row>
    <row r="126" ht="15.75">
      <c r="A126" s="77" t="s">
        <v>124</v>
      </c>
    </row>
    <row r="127" ht="15.75">
      <c r="A127" s="77" t="s">
        <v>366</v>
      </c>
    </row>
    <row r="128" ht="15.75">
      <c r="A128" s="77" t="s">
        <v>64</v>
      </c>
    </row>
    <row r="129" ht="15.75">
      <c r="A129" s="77" t="s">
        <v>69</v>
      </c>
    </row>
    <row r="130" ht="15.75">
      <c r="A130" s="77" t="s">
        <v>70</v>
      </c>
    </row>
    <row r="131" ht="15.75">
      <c r="A131" s="77" t="s">
        <v>125</v>
      </c>
    </row>
    <row r="132" ht="15.75">
      <c r="A132" s="77" t="s">
        <v>126</v>
      </c>
    </row>
    <row r="133" ht="15.75">
      <c r="A133" s="77" t="s">
        <v>91</v>
      </c>
    </row>
    <row r="134" ht="15.75">
      <c r="A134" s="77" t="s">
        <v>89</v>
      </c>
    </row>
  </sheetData>
  <sheetProtection sheet="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G58"/>
  <sheetViews>
    <sheetView zoomScalePageLayoutView="0" workbookViewId="0" topLeftCell="A1">
      <selection activeCell="H67" sqref="H67"/>
    </sheetView>
  </sheetViews>
  <sheetFormatPr defaultColWidth="8.796875" defaultRowHeight="15"/>
  <cols>
    <col min="1" max="1" width="20.796875" style="77" customWidth="1"/>
    <col min="2" max="2" width="9.796875" style="77" customWidth="1"/>
    <col min="3" max="3" width="5.796875" style="77" customWidth="1"/>
    <col min="4" max="7" width="12.796875" style="77" customWidth="1"/>
    <col min="8" max="16384" width="8.8984375" style="77" customWidth="1"/>
  </cols>
  <sheetData>
    <row r="1" spans="1:7" ht="15.75">
      <c r="A1" s="128"/>
      <c r="B1" s="128"/>
      <c r="C1" s="128"/>
      <c r="D1" s="128"/>
      <c r="E1" s="128"/>
      <c r="F1" s="128"/>
      <c r="G1" s="128"/>
    </row>
    <row r="2" spans="1:7" ht="15.75">
      <c r="A2" s="128"/>
      <c r="B2" s="128"/>
      <c r="C2" s="128"/>
      <c r="D2" s="128"/>
      <c r="E2" s="128"/>
      <c r="F2" s="128"/>
      <c r="G2" s="128"/>
    </row>
    <row r="3" spans="1:7" ht="15.75">
      <c r="A3" s="147" t="str">
        <f>inputPrYr!C2</f>
        <v>Geary County</v>
      </c>
      <c r="B3" s="128"/>
      <c r="C3" s="128"/>
      <c r="D3" s="128"/>
      <c r="E3" s="128"/>
      <c r="F3" s="128"/>
      <c r="G3" s="128">
        <f>inputPrYr!C4</f>
        <v>2012</v>
      </c>
    </row>
    <row r="4" spans="1:7" ht="15.75">
      <c r="A4" s="732" t="s">
        <v>12</v>
      </c>
      <c r="B4" s="751"/>
      <c r="C4" s="751"/>
      <c r="D4" s="751"/>
      <c r="E4" s="751"/>
      <c r="F4" s="751"/>
      <c r="G4" s="751"/>
    </row>
    <row r="5" spans="1:7" ht="15.75">
      <c r="A5" s="221"/>
      <c r="B5" s="98"/>
      <c r="C5" s="98"/>
      <c r="D5" s="221"/>
      <c r="E5" s="221"/>
      <c r="F5" s="221"/>
      <c r="G5" s="221"/>
    </row>
    <row r="6" spans="1:7" ht="15.75">
      <c r="A6" s="90"/>
      <c r="B6" s="90"/>
      <c r="C6" s="90"/>
      <c r="D6" s="222" t="str">
        <f>CONCATENATE("",G3," Proposed Budget")</f>
        <v>2012 Proposed Budget</v>
      </c>
      <c r="E6" s="223"/>
      <c r="F6" s="223"/>
      <c r="G6" s="224"/>
    </row>
    <row r="7" spans="1:7" ht="21" customHeight="1">
      <c r="A7" s="90"/>
      <c r="B7" s="90"/>
      <c r="C7" s="225" t="s">
        <v>138</v>
      </c>
      <c r="D7" s="521" t="s">
        <v>675</v>
      </c>
      <c r="E7" s="758" t="str">
        <f>CONCATENATE("Amount of ",G3-1,"      Ad Valorem Tax")</f>
        <v>Amount of 2011      Ad Valorem Tax</v>
      </c>
      <c r="F7" s="758" t="s">
        <v>314</v>
      </c>
      <c r="G7" s="225" t="s">
        <v>139</v>
      </c>
    </row>
    <row r="8" spans="1:7" ht="23.25" customHeight="1">
      <c r="A8" s="226" t="s">
        <v>11</v>
      </c>
      <c r="B8" s="118"/>
      <c r="C8" s="227" t="s">
        <v>141</v>
      </c>
      <c r="D8" s="522" t="s">
        <v>676</v>
      </c>
      <c r="E8" s="738"/>
      <c r="F8" s="738"/>
      <c r="G8" s="227" t="s">
        <v>143</v>
      </c>
    </row>
    <row r="9" spans="1:7" ht="15.75">
      <c r="A9" s="228" t="s">
        <v>10</v>
      </c>
      <c r="B9" s="229" t="s">
        <v>147</v>
      </c>
      <c r="C9" s="112"/>
      <c r="D9" s="112"/>
      <c r="E9" s="112"/>
      <c r="F9" s="112"/>
      <c r="G9" s="112"/>
    </row>
    <row r="10" spans="1:7" ht="15.75">
      <c r="A10" s="723" t="s">
        <v>1044</v>
      </c>
      <c r="B10" s="150" t="s">
        <v>1057</v>
      </c>
      <c r="C10" s="150"/>
      <c r="D10" s="150">
        <v>75000</v>
      </c>
      <c r="E10" s="150">
        <v>64733</v>
      </c>
      <c r="F10" s="150"/>
      <c r="G10" s="196" t="str">
        <f>IF(AND(D10=0,F10&gt;=0)," ",IF(AND(E10&gt;0,F10=0)," ",IF(AND(E10&gt;0,F10&gt;0),ROUND(E10/F10*1000,3))))</f>
        <v> </v>
      </c>
    </row>
    <row r="11" spans="1:7" ht="15.75">
      <c r="A11" s="150" t="s">
        <v>1045</v>
      </c>
      <c r="B11" s="150" t="s">
        <v>1058</v>
      </c>
      <c r="C11" s="150"/>
      <c r="D11" s="150">
        <v>250420</v>
      </c>
      <c r="E11" s="150">
        <v>148432</v>
      </c>
      <c r="F11" s="150"/>
      <c r="G11" s="196" t="str">
        <f aca="true" t="shared" si="0" ref="G11:G38">IF(AND(D11=0,F11&gt;=0)," ",IF(AND(E11&gt;0,F11=0)," ",IF(AND(E11&gt;0,F11&gt;0),ROUND(E11/F11*1000,3))))</f>
        <v> </v>
      </c>
    </row>
    <row r="12" spans="1:7" ht="15.75">
      <c r="A12" s="150"/>
      <c r="B12" s="150"/>
      <c r="C12" s="150"/>
      <c r="D12" s="150"/>
      <c r="E12" s="150"/>
      <c r="F12" s="150"/>
      <c r="G12" s="196" t="str">
        <f t="shared" si="0"/>
        <v> </v>
      </c>
    </row>
    <row r="13" spans="1:7" ht="15.75">
      <c r="A13" s="150"/>
      <c r="B13" s="150"/>
      <c r="C13" s="150"/>
      <c r="D13" s="150"/>
      <c r="E13" s="150"/>
      <c r="F13" s="150"/>
      <c r="G13" s="196" t="str">
        <f t="shared" si="0"/>
        <v> </v>
      </c>
    </row>
    <row r="14" spans="1:7" ht="15.75">
      <c r="A14" s="150"/>
      <c r="B14" s="150"/>
      <c r="C14" s="150"/>
      <c r="D14" s="150"/>
      <c r="E14" s="150"/>
      <c r="F14" s="150"/>
      <c r="G14" s="196" t="str">
        <f t="shared" si="0"/>
        <v> </v>
      </c>
    </row>
    <row r="15" spans="1:7" ht="15.75">
      <c r="A15" s="150"/>
      <c r="B15" s="150"/>
      <c r="C15" s="150"/>
      <c r="D15" s="150"/>
      <c r="E15" s="150"/>
      <c r="F15" s="150"/>
      <c r="G15" s="196" t="str">
        <f t="shared" si="0"/>
        <v> </v>
      </c>
    </row>
    <row r="16" spans="1:7" ht="15.75">
      <c r="A16" s="150"/>
      <c r="B16" s="150"/>
      <c r="C16" s="150"/>
      <c r="D16" s="150"/>
      <c r="E16" s="150"/>
      <c r="F16" s="150"/>
      <c r="G16" s="196" t="str">
        <f t="shared" si="0"/>
        <v> </v>
      </c>
    </row>
    <row r="17" spans="1:7" ht="15.75">
      <c r="A17" s="150"/>
      <c r="B17" s="150"/>
      <c r="C17" s="150"/>
      <c r="D17" s="150"/>
      <c r="E17" s="150"/>
      <c r="F17" s="150"/>
      <c r="G17" s="196" t="str">
        <f t="shared" si="0"/>
        <v> </v>
      </c>
    </row>
    <row r="18" spans="1:7" ht="15.75">
      <c r="A18" s="150"/>
      <c r="B18" s="150"/>
      <c r="C18" s="150"/>
      <c r="D18" s="150"/>
      <c r="E18" s="150"/>
      <c r="F18" s="150"/>
      <c r="G18" s="196" t="str">
        <f t="shared" si="0"/>
        <v> </v>
      </c>
    </row>
    <row r="19" spans="1:7" ht="15.75">
      <c r="A19" s="150"/>
      <c r="B19" s="150"/>
      <c r="C19" s="150"/>
      <c r="D19" s="150"/>
      <c r="E19" s="150"/>
      <c r="F19" s="150"/>
      <c r="G19" s="196" t="str">
        <f t="shared" si="0"/>
        <v> </v>
      </c>
    </row>
    <row r="20" spans="1:7" ht="15.75">
      <c r="A20" s="150"/>
      <c r="B20" s="150"/>
      <c r="C20" s="150"/>
      <c r="D20" s="150"/>
      <c r="E20" s="150"/>
      <c r="F20" s="150"/>
      <c r="G20" s="196" t="str">
        <f t="shared" si="0"/>
        <v> </v>
      </c>
    </row>
    <row r="21" spans="1:7" ht="15.75">
      <c r="A21" s="150"/>
      <c r="B21" s="150"/>
      <c r="C21" s="150"/>
      <c r="D21" s="150"/>
      <c r="E21" s="150"/>
      <c r="F21" s="150"/>
      <c r="G21" s="196" t="str">
        <f t="shared" si="0"/>
        <v> </v>
      </c>
    </row>
    <row r="22" spans="1:7" ht="15.75">
      <c r="A22" s="150"/>
      <c r="B22" s="150"/>
      <c r="C22" s="150"/>
      <c r="D22" s="150"/>
      <c r="E22" s="150"/>
      <c r="F22" s="150"/>
      <c r="G22" s="196" t="str">
        <f t="shared" si="0"/>
        <v> </v>
      </c>
    </row>
    <row r="23" spans="1:7" ht="15.75">
      <c r="A23" s="150"/>
      <c r="B23" s="150"/>
      <c r="C23" s="150"/>
      <c r="D23" s="150"/>
      <c r="E23" s="150"/>
      <c r="F23" s="150"/>
      <c r="G23" s="196" t="str">
        <f t="shared" si="0"/>
        <v> </v>
      </c>
    </row>
    <row r="24" spans="1:7" ht="15.75">
      <c r="A24" s="150"/>
      <c r="B24" s="150"/>
      <c r="C24" s="150"/>
      <c r="D24" s="150"/>
      <c r="E24" s="150"/>
      <c r="F24" s="150"/>
      <c r="G24" s="196" t="str">
        <f t="shared" si="0"/>
        <v> </v>
      </c>
    </row>
    <row r="25" spans="1:7" ht="15.75">
      <c r="A25" s="150"/>
      <c r="B25" s="150"/>
      <c r="C25" s="150"/>
      <c r="D25" s="150"/>
      <c r="E25" s="150"/>
      <c r="F25" s="150"/>
      <c r="G25" s="196" t="str">
        <f t="shared" si="0"/>
        <v> </v>
      </c>
    </row>
    <row r="26" spans="1:7" ht="15.75">
      <c r="A26" s="150"/>
      <c r="B26" s="150"/>
      <c r="C26" s="150"/>
      <c r="D26" s="150"/>
      <c r="E26" s="150"/>
      <c r="F26" s="150"/>
      <c r="G26" s="196" t="str">
        <f t="shared" si="0"/>
        <v> </v>
      </c>
    </row>
    <row r="27" spans="1:7" ht="15.75">
      <c r="A27" s="150"/>
      <c r="B27" s="150"/>
      <c r="C27" s="150"/>
      <c r="D27" s="150"/>
      <c r="E27" s="150"/>
      <c r="F27" s="150"/>
      <c r="G27" s="196" t="str">
        <f t="shared" si="0"/>
        <v> </v>
      </c>
    </row>
    <row r="28" spans="1:7" ht="15.75">
      <c r="A28" s="150"/>
      <c r="B28" s="150"/>
      <c r="C28" s="150"/>
      <c r="D28" s="150"/>
      <c r="E28" s="150"/>
      <c r="F28" s="150"/>
      <c r="G28" s="196" t="str">
        <f t="shared" si="0"/>
        <v> </v>
      </c>
    </row>
    <row r="29" spans="1:7" ht="15.75">
      <c r="A29" s="150"/>
      <c r="B29" s="115"/>
      <c r="C29" s="150"/>
      <c r="D29" s="150"/>
      <c r="E29" s="115"/>
      <c r="F29" s="115"/>
      <c r="G29" s="196" t="str">
        <f t="shared" si="0"/>
        <v> </v>
      </c>
    </row>
    <row r="30" spans="1:7" ht="15.75">
      <c r="A30" s="150"/>
      <c r="B30" s="115"/>
      <c r="C30" s="150"/>
      <c r="D30" s="150"/>
      <c r="E30" s="115"/>
      <c r="F30" s="115"/>
      <c r="G30" s="196" t="str">
        <f t="shared" si="0"/>
        <v> </v>
      </c>
    </row>
    <row r="31" spans="1:7" ht="15.75">
      <c r="A31" s="150"/>
      <c r="B31" s="115"/>
      <c r="C31" s="150"/>
      <c r="D31" s="150"/>
      <c r="E31" s="115"/>
      <c r="F31" s="115"/>
      <c r="G31" s="196" t="str">
        <f t="shared" si="0"/>
        <v> </v>
      </c>
    </row>
    <row r="32" spans="1:7" ht="15.75">
      <c r="A32" s="150"/>
      <c r="B32" s="115"/>
      <c r="C32" s="150"/>
      <c r="D32" s="150"/>
      <c r="E32" s="115"/>
      <c r="F32" s="115"/>
      <c r="G32" s="196" t="str">
        <f t="shared" si="0"/>
        <v> </v>
      </c>
    </row>
    <row r="33" spans="1:7" ht="15.75">
      <c r="A33" s="150"/>
      <c r="B33" s="115"/>
      <c r="C33" s="150"/>
      <c r="D33" s="150"/>
      <c r="E33" s="115"/>
      <c r="F33" s="115"/>
      <c r="G33" s="196" t="str">
        <f t="shared" si="0"/>
        <v> </v>
      </c>
    </row>
    <row r="34" spans="1:7" ht="15.75">
      <c r="A34" s="150"/>
      <c r="B34" s="115"/>
      <c r="C34" s="150"/>
      <c r="D34" s="150"/>
      <c r="E34" s="115"/>
      <c r="F34" s="115"/>
      <c r="G34" s="196" t="str">
        <f t="shared" si="0"/>
        <v> </v>
      </c>
    </row>
    <row r="35" spans="1:7" ht="15.75">
      <c r="A35" s="150"/>
      <c r="B35" s="115"/>
      <c r="C35" s="150"/>
      <c r="D35" s="150"/>
      <c r="E35" s="115"/>
      <c r="F35" s="115"/>
      <c r="G35" s="196" t="str">
        <f t="shared" si="0"/>
        <v> </v>
      </c>
    </row>
    <row r="36" spans="1:7" ht="15.75">
      <c r="A36" s="150"/>
      <c r="B36" s="115"/>
      <c r="C36" s="150"/>
      <c r="D36" s="150"/>
      <c r="E36" s="115"/>
      <c r="F36" s="115"/>
      <c r="G36" s="196" t="str">
        <f t="shared" si="0"/>
        <v> </v>
      </c>
    </row>
    <row r="37" spans="1:7" ht="15.75">
      <c r="A37" s="150"/>
      <c r="B37" s="115"/>
      <c r="C37" s="150"/>
      <c r="D37" s="150"/>
      <c r="E37" s="115"/>
      <c r="F37" s="115"/>
      <c r="G37" s="196" t="str">
        <f t="shared" si="0"/>
        <v> </v>
      </c>
    </row>
    <row r="38" spans="1:7" ht="15.75">
      <c r="A38" s="150"/>
      <c r="B38" s="115"/>
      <c r="C38" s="150"/>
      <c r="D38" s="150"/>
      <c r="E38" s="115"/>
      <c r="F38" s="115"/>
      <c r="G38" s="196" t="str">
        <f t="shared" si="0"/>
        <v> </v>
      </c>
    </row>
    <row r="39" spans="1:7" ht="16.5" thickBot="1">
      <c r="A39" s="151" t="s">
        <v>148</v>
      </c>
      <c r="B39" s="119"/>
      <c r="C39" s="230" t="s">
        <v>149</v>
      </c>
      <c r="D39" s="231">
        <f>SUM(D10:D38)</f>
        <v>325420</v>
      </c>
      <c r="E39" s="231">
        <f>SUM(E10:E38)</f>
        <v>213165</v>
      </c>
      <c r="F39" s="231"/>
      <c r="G39" s="232">
        <f>SUM(G10:G38)</f>
        <v>0</v>
      </c>
    </row>
    <row r="40" spans="1:7" ht="16.5" thickTop="1">
      <c r="A40" s="124"/>
      <c r="B40" s="93"/>
      <c r="C40" s="233"/>
      <c r="D40" s="90"/>
      <c r="E40" s="90"/>
      <c r="F40" s="90"/>
      <c r="G40" s="90"/>
    </row>
    <row r="41" spans="1:7" ht="15.75">
      <c r="A41" s="124"/>
      <c r="B41" s="90"/>
      <c r="C41" s="90"/>
      <c r="D41" s="90"/>
      <c r="E41" s="90"/>
      <c r="F41" s="90"/>
      <c r="G41" s="90"/>
    </row>
    <row r="42" spans="1:7" ht="15.75">
      <c r="A42" s="234"/>
      <c r="B42" s="146"/>
      <c r="C42" s="146"/>
      <c r="D42" s="146"/>
      <c r="E42" s="146"/>
      <c r="F42" s="146"/>
      <c r="G42" s="146"/>
    </row>
    <row r="43" spans="1:7" ht="15.75">
      <c r="A43" s="235"/>
      <c r="B43" s="235"/>
      <c r="C43" s="235"/>
      <c r="D43" s="235"/>
      <c r="E43" s="235"/>
      <c r="F43" s="235"/>
      <c r="G43" s="235"/>
    </row>
    <row r="44" spans="1:7" ht="15.75">
      <c r="A44" s="146"/>
      <c r="B44" s="146"/>
      <c r="C44" s="146"/>
      <c r="D44" s="146"/>
      <c r="E44" s="146"/>
      <c r="F44" s="146"/>
      <c r="G44" s="236"/>
    </row>
    <row r="54" spans="1:7" ht="15.75">
      <c r="A54" s="146"/>
      <c r="B54" s="146"/>
      <c r="C54" s="146"/>
      <c r="D54" s="146"/>
      <c r="E54" s="146"/>
      <c r="F54" s="146"/>
      <c r="G54" s="146"/>
    </row>
    <row r="58" spans="1:7" ht="15.75">
      <c r="A58" s="146"/>
      <c r="B58" s="146"/>
      <c r="C58" s="146"/>
      <c r="D58" s="234"/>
      <c r="E58" s="146"/>
      <c r="F58" s="146"/>
      <c r="G58" s="146"/>
    </row>
  </sheetData>
  <sheetProtection sheet="1"/>
  <mergeCells count="3">
    <mergeCell ref="E7:E8"/>
    <mergeCell ref="F7:F8"/>
    <mergeCell ref="A4:G4"/>
  </mergeCells>
  <printOptions/>
  <pageMargins left="0.5" right="0.5" top="0" bottom="0.23" header="0" footer="0"/>
  <pageSetup blackAndWhite="1" fitToHeight="1" fitToWidth="1" horizontalDpi="120" verticalDpi="120" orientation="portrait" scale="92" r:id="rId1"/>
  <headerFooter alignWithMargins="0">
    <oddHeader>&amp;RState of Kansas
County
</oddHeader>
    <oddFooter>&amp;CPage No. 1a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
      <selection activeCell="H67" sqref="H67"/>
    </sheetView>
  </sheetViews>
  <sheetFormatPr defaultColWidth="8.796875" defaultRowHeight="15.75" customHeight="1"/>
  <cols>
    <col min="1" max="2" width="3.296875" style="77" customWidth="1"/>
    <col min="3" max="3" width="31.296875" style="77" customWidth="1"/>
    <col min="4" max="4" width="2.296875" style="77" customWidth="1"/>
    <col min="5" max="5" width="15.796875" style="77" customWidth="1"/>
    <col min="6" max="6" width="2" style="77" customWidth="1"/>
    <col min="7" max="7" width="15.796875" style="77" customWidth="1"/>
    <col min="8" max="8" width="1.8984375" style="77" customWidth="1"/>
    <col min="9" max="9" width="1.796875" style="77" customWidth="1"/>
    <col min="10" max="10" width="15.796875" style="77" customWidth="1"/>
    <col min="11" max="16384" width="8.8984375" style="77" customWidth="1"/>
  </cols>
  <sheetData>
    <row r="1" spans="1:10" ht="44.25" customHeight="1">
      <c r="A1" s="90"/>
      <c r="B1" s="90"/>
      <c r="C1" s="237" t="str">
        <f>inputPrYr!C2</f>
        <v>Geary County</v>
      </c>
      <c r="D1" s="90"/>
      <c r="E1" s="90"/>
      <c r="F1" s="90"/>
      <c r="G1" s="90"/>
      <c r="H1" s="90"/>
      <c r="I1" s="90"/>
      <c r="J1" s="90">
        <f>inputPrYr!C4</f>
        <v>2012</v>
      </c>
    </row>
    <row r="2" spans="1:10" ht="15.75" customHeight="1">
      <c r="A2" s="90"/>
      <c r="B2" s="90"/>
      <c r="C2" s="90"/>
      <c r="D2" s="90"/>
      <c r="E2" s="90"/>
      <c r="F2" s="90"/>
      <c r="G2" s="90"/>
      <c r="H2" s="90"/>
      <c r="I2" s="90"/>
      <c r="J2" s="90"/>
    </row>
    <row r="3" spans="1:10" ht="15.75">
      <c r="A3" s="732" t="str">
        <f>CONCATENATE("Computation to Determine Limit for ",J1,"")</f>
        <v>Computation to Determine Limit for 2012</v>
      </c>
      <c r="B3" s="760"/>
      <c r="C3" s="760"/>
      <c r="D3" s="760"/>
      <c r="E3" s="760"/>
      <c r="F3" s="760"/>
      <c r="G3" s="760"/>
      <c r="H3" s="760"/>
      <c r="I3" s="760"/>
      <c r="J3" s="760"/>
    </row>
    <row r="4" spans="1:10" ht="15.75">
      <c r="A4" s="90"/>
      <c r="B4" s="90"/>
      <c r="C4" s="90"/>
      <c r="D4" s="90"/>
      <c r="E4" s="760"/>
      <c r="F4" s="760"/>
      <c r="G4" s="760"/>
      <c r="H4" s="238"/>
      <c r="I4" s="90"/>
      <c r="J4" s="239" t="s">
        <v>245</v>
      </c>
    </row>
    <row r="5" spans="1:10" ht="15.75">
      <c r="A5" s="240" t="s">
        <v>246</v>
      </c>
      <c r="B5" s="90" t="str">
        <f>CONCATENATE("Total Tax Levy Amount in ",J1-1," Budget")</f>
        <v>Total Tax Levy Amount in 2011 Budget</v>
      </c>
      <c r="C5" s="90"/>
      <c r="D5" s="90"/>
      <c r="E5" s="148"/>
      <c r="F5" s="148"/>
      <c r="G5" s="148"/>
      <c r="H5" s="241" t="s">
        <v>247</v>
      </c>
      <c r="I5" s="148" t="s">
        <v>248</v>
      </c>
      <c r="J5" s="242">
        <f>inputPrYr!E43</f>
        <v>11476208</v>
      </c>
    </row>
    <row r="6" spans="1:10" ht="15.75">
      <c r="A6" s="240" t="s">
        <v>249</v>
      </c>
      <c r="B6" s="90" t="str">
        <f>CONCATENATE("Debt Service Levy in ",J1-1," Budget")</f>
        <v>Debt Service Levy in 2011 Budget</v>
      </c>
      <c r="C6" s="90"/>
      <c r="D6" s="90"/>
      <c r="E6" s="148"/>
      <c r="F6" s="148"/>
      <c r="G6" s="148"/>
      <c r="H6" s="241" t="s">
        <v>250</v>
      </c>
      <c r="I6" s="148" t="s">
        <v>248</v>
      </c>
      <c r="J6" s="154">
        <f>inputPrYr!E17+inputPrYr!E40</f>
        <v>869158</v>
      </c>
    </row>
    <row r="7" spans="1:10" ht="15.75">
      <c r="A7" s="240" t="s">
        <v>251</v>
      </c>
      <c r="B7" s="155" t="s">
        <v>270</v>
      </c>
      <c r="C7" s="90"/>
      <c r="D7" s="90"/>
      <c r="E7" s="148"/>
      <c r="F7" s="148"/>
      <c r="G7" s="148"/>
      <c r="H7" s="148"/>
      <c r="I7" s="148" t="s">
        <v>248</v>
      </c>
      <c r="J7" s="154">
        <f>J5-J6</f>
        <v>10607050</v>
      </c>
    </row>
    <row r="8" spans="1:10" ht="15.75">
      <c r="A8" s="90"/>
      <c r="B8" s="90"/>
      <c r="C8" s="90"/>
      <c r="D8" s="90"/>
      <c r="E8" s="148"/>
      <c r="F8" s="148"/>
      <c r="G8" s="148"/>
      <c r="H8" s="148"/>
      <c r="I8" s="148"/>
      <c r="J8" s="148"/>
    </row>
    <row r="9" spans="1:10" ht="15.75">
      <c r="A9" s="90"/>
      <c r="B9" s="155" t="str">
        <f>CONCATENATE("",J1-1," Valuation Information for Valuation Adjustments:")</f>
        <v>2011 Valuation Information for Valuation Adjustments:</v>
      </c>
      <c r="C9" s="90"/>
      <c r="D9" s="90"/>
      <c r="E9" s="148"/>
      <c r="F9" s="148"/>
      <c r="G9" s="148"/>
      <c r="H9" s="148"/>
      <c r="I9" s="148"/>
      <c r="J9" s="148"/>
    </row>
    <row r="10" spans="1:10" ht="15.75">
      <c r="A10" s="90"/>
      <c r="B10" s="90"/>
      <c r="C10" s="155"/>
      <c r="D10" s="90"/>
      <c r="E10" s="148"/>
      <c r="F10" s="148"/>
      <c r="G10" s="148"/>
      <c r="H10" s="148"/>
      <c r="I10" s="148"/>
      <c r="J10" s="148"/>
    </row>
    <row r="11" spans="1:10" ht="15.75">
      <c r="A11" s="240" t="s">
        <v>252</v>
      </c>
      <c r="B11" s="155" t="str">
        <f>CONCATENATE("New Improvements for ",J1-1,":")</f>
        <v>New Improvements for 2011:</v>
      </c>
      <c r="C11" s="90"/>
      <c r="D11" s="90"/>
      <c r="E11" s="241"/>
      <c r="F11" s="241" t="s">
        <v>247</v>
      </c>
      <c r="G11" s="242">
        <f>inputOth!E7</f>
        <v>5616118</v>
      </c>
      <c r="H11" s="126"/>
      <c r="I11" s="148"/>
      <c r="J11" s="148"/>
    </row>
    <row r="12" spans="1:10" ht="15.75">
      <c r="A12" s="240"/>
      <c r="B12" s="240"/>
      <c r="C12" s="90"/>
      <c r="D12" s="90"/>
      <c r="E12" s="241"/>
      <c r="F12" s="241"/>
      <c r="G12" s="126"/>
      <c r="H12" s="126"/>
      <c r="I12" s="148"/>
      <c r="J12" s="148"/>
    </row>
    <row r="13" spans="1:10" ht="15.75">
      <c r="A13" s="240" t="s">
        <v>253</v>
      </c>
      <c r="B13" s="155" t="str">
        <f>CONCATENATE("Increase in Personal Property for ",J1-1,":")</f>
        <v>Increase in Personal Property for 2011:</v>
      </c>
      <c r="C13" s="90"/>
      <c r="D13" s="90"/>
      <c r="E13" s="241"/>
      <c r="F13" s="241"/>
      <c r="G13" s="126"/>
      <c r="H13" s="126"/>
      <c r="I13" s="148"/>
      <c r="J13" s="148"/>
    </row>
    <row r="14" spans="1:10" ht="15.75">
      <c r="A14" s="90"/>
      <c r="B14" s="90" t="s">
        <v>254</v>
      </c>
      <c r="C14" s="90" t="str">
        <f>CONCATENATE("Personal Property ",J1-1,"")</f>
        <v>Personal Property 2011</v>
      </c>
      <c r="D14" s="240" t="s">
        <v>247</v>
      </c>
      <c r="E14" s="242">
        <f>inputOth!E8</f>
        <v>5745299</v>
      </c>
      <c r="F14" s="241"/>
      <c r="G14" s="148"/>
      <c r="H14" s="148"/>
      <c r="I14" s="126"/>
      <c r="J14" s="148"/>
    </row>
    <row r="15" spans="1:10" ht="15.75">
      <c r="A15" s="240"/>
      <c r="B15" s="90" t="s">
        <v>255</v>
      </c>
      <c r="C15" s="90" t="str">
        <f>CONCATENATE("Personal Property ",J1-2,"")</f>
        <v>Personal Property 2010</v>
      </c>
      <c r="D15" s="240" t="s">
        <v>250</v>
      </c>
      <c r="E15" s="154">
        <f>inputOth!E10</f>
        <v>6048992</v>
      </c>
      <c r="F15" s="241"/>
      <c r="G15" s="126"/>
      <c r="H15" s="126"/>
      <c r="I15" s="148"/>
      <c r="J15" s="148"/>
    </row>
    <row r="16" spans="1:10" ht="15.75">
      <c r="A16" s="240"/>
      <c r="B16" s="90" t="s">
        <v>256</v>
      </c>
      <c r="C16" s="90" t="s">
        <v>272</v>
      </c>
      <c r="D16" s="90"/>
      <c r="E16" s="148"/>
      <c r="F16" s="148" t="s">
        <v>247</v>
      </c>
      <c r="G16" s="242">
        <f>IF(E14&gt;E15,E14-E15,0)</f>
        <v>0</v>
      </c>
      <c r="H16" s="126"/>
      <c r="I16" s="148"/>
      <c r="J16" s="148"/>
    </row>
    <row r="17" spans="1:10" ht="15.75">
      <c r="A17" s="240"/>
      <c r="B17" s="240"/>
      <c r="C17" s="90"/>
      <c r="D17" s="90"/>
      <c r="E17" s="148"/>
      <c r="F17" s="148"/>
      <c r="G17" s="126" t="s">
        <v>262</v>
      </c>
      <c r="H17" s="126"/>
      <c r="I17" s="148"/>
      <c r="J17" s="148"/>
    </row>
    <row r="18" spans="1:10" ht="15.75">
      <c r="A18" s="240"/>
      <c r="B18" s="240"/>
      <c r="C18" s="90"/>
      <c r="D18" s="240"/>
      <c r="E18" s="126"/>
      <c r="F18" s="148"/>
      <c r="G18" s="126"/>
      <c r="H18" s="126"/>
      <c r="I18" s="148"/>
      <c r="J18" s="148"/>
    </row>
    <row r="19" spans="1:10" ht="15.75">
      <c r="A19" s="240" t="s">
        <v>257</v>
      </c>
      <c r="B19" s="155" t="str">
        <f>CONCATENATE("Valuation of Property that has Changed in Use during ",J1-1,":")</f>
        <v>Valuation of Property that has Changed in Use during 2011:</v>
      </c>
      <c r="C19" s="90"/>
      <c r="D19" s="90"/>
      <c r="E19" s="148"/>
      <c r="F19" s="148"/>
      <c r="G19" s="148">
        <f>inputOth!E9</f>
        <v>755611</v>
      </c>
      <c r="H19" s="148"/>
      <c r="I19" s="148"/>
      <c r="J19" s="148"/>
    </row>
    <row r="20" spans="1:10" ht="15.75">
      <c r="A20" s="240"/>
      <c r="B20" s="90"/>
      <c r="C20" s="90"/>
      <c r="D20" s="240"/>
      <c r="E20" s="126"/>
      <c r="F20" s="148"/>
      <c r="G20" s="243"/>
      <c r="H20" s="126"/>
      <c r="I20" s="148"/>
      <c r="J20" s="148"/>
    </row>
    <row r="21" spans="1:10" ht="15.75">
      <c r="A21" s="240" t="s">
        <v>266</v>
      </c>
      <c r="B21" s="155" t="s">
        <v>271</v>
      </c>
      <c r="C21" s="90"/>
      <c r="D21" s="90"/>
      <c r="E21" s="148"/>
      <c r="F21" s="148"/>
      <c r="G21" s="242">
        <f>G11+G16+G19</f>
        <v>6371729</v>
      </c>
      <c r="H21" s="126"/>
      <c r="I21" s="148"/>
      <c r="J21" s="148"/>
    </row>
    <row r="22" spans="1:10" ht="15.75">
      <c r="A22" s="240"/>
      <c r="B22" s="240"/>
      <c r="C22" s="155"/>
      <c r="D22" s="90"/>
      <c r="E22" s="148"/>
      <c r="F22" s="148"/>
      <c r="G22" s="126"/>
      <c r="H22" s="126"/>
      <c r="I22" s="148"/>
      <c r="J22" s="148"/>
    </row>
    <row r="23" spans="1:10" ht="15.75">
      <c r="A23" s="240" t="s">
        <v>267</v>
      </c>
      <c r="B23" s="90" t="str">
        <f>CONCATENATE("Total Estimated Valuation July 1,",J1-1,"")</f>
        <v>Total Estimated Valuation July 1,2011</v>
      </c>
      <c r="C23" s="90"/>
      <c r="D23" s="90"/>
      <c r="E23" s="242">
        <f>inputOth!E6</f>
        <v>220187728</v>
      </c>
      <c r="F23" s="148"/>
      <c r="G23" s="148"/>
      <c r="H23" s="148"/>
      <c r="I23" s="241"/>
      <c r="J23" s="148"/>
    </row>
    <row r="24" spans="1:10" ht="15.75">
      <c r="A24" s="240"/>
      <c r="B24" s="240"/>
      <c r="C24" s="90"/>
      <c r="D24" s="90"/>
      <c r="E24" s="126"/>
      <c r="F24" s="148"/>
      <c r="G24" s="148"/>
      <c r="H24" s="148"/>
      <c r="I24" s="241"/>
      <c r="J24" s="148"/>
    </row>
    <row r="25" spans="1:10" ht="15.75">
      <c r="A25" s="240" t="s">
        <v>258</v>
      </c>
      <c r="B25" s="155" t="s">
        <v>275</v>
      </c>
      <c r="C25" s="90"/>
      <c r="D25" s="90"/>
      <c r="E25" s="148"/>
      <c r="F25" s="148"/>
      <c r="G25" s="242">
        <f>E23-G21</f>
        <v>213815999</v>
      </c>
      <c r="H25" s="126"/>
      <c r="I25" s="241"/>
      <c r="J25" s="148"/>
    </row>
    <row r="26" spans="1:10" ht="15.75">
      <c r="A26" s="240"/>
      <c r="B26" s="240"/>
      <c r="C26" s="155"/>
      <c r="D26" s="90"/>
      <c r="E26" s="90"/>
      <c r="F26" s="90"/>
      <c r="G26" s="244"/>
      <c r="H26" s="93"/>
      <c r="I26" s="240"/>
      <c r="J26" s="90"/>
    </row>
    <row r="27" spans="1:10" ht="15.75">
      <c r="A27" s="240" t="s">
        <v>259</v>
      </c>
      <c r="B27" s="90" t="s">
        <v>274</v>
      </c>
      <c r="C27" s="90"/>
      <c r="D27" s="90"/>
      <c r="E27" s="90"/>
      <c r="F27" s="90"/>
      <c r="G27" s="245">
        <f>IF(G21&gt;0,G21/G25,0)</f>
        <v>0.029800057197777795</v>
      </c>
      <c r="H27" s="93"/>
      <c r="I27" s="90"/>
      <c r="J27" s="90"/>
    </row>
    <row r="28" spans="1:10" ht="15.75">
      <c r="A28" s="240"/>
      <c r="B28" s="240"/>
      <c r="C28" s="90"/>
      <c r="D28" s="90"/>
      <c r="E28" s="90"/>
      <c r="F28" s="90"/>
      <c r="G28" s="93"/>
      <c r="H28" s="93"/>
      <c r="I28" s="90"/>
      <c r="J28" s="90"/>
    </row>
    <row r="29" spans="1:10" ht="15.75">
      <c r="A29" s="240" t="s">
        <v>260</v>
      </c>
      <c r="B29" s="90" t="s">
        <v>273</v>
      </c>
      <c r="C29" s="90"/>
      <c r="D29" s="90"/>
      <c r="E29" s="90"/>
      <c r="F29" s="90"/>
      <c r="G29" s="93"/>
      <c r="H29" s="246" t="s">
        <v>247</v>
      </c>
      <c r="I29" s="90" t="s">
        <v>248</v>
      </c>
      <c r="J29" s="242">
        <f>ROUND(G27*J7,0)</f>
        <v>316091</v>
      </c>
    </row>
    <row r="30" spans="1:10" ht="15.75">
      <c r="A30" s="240"/>
      <c r="B30" s="240"/>
      <c r="C30" s="90"/>
      <c r="D30" s="90"/>
      <c r="E30" s="90"/>
      <c r="F30" s="90"/>
      <c r="G30" s="93"/>
      <c r="H30" s="246"/>
      <c r="I30" s="90"/>
      <c r="J30" s="126"/>
    </row>
    <row r="31" spans="1:10" ht="16.5" thickBot="1">
      <c r="A31" s="240" t="s">
        <v>261</v>
      </c>
      <c r="B31" s="155" t="s">
        <v>279</v>
      </c>
      <c r="C31" s="90"/>
      <c r="D31" s="90"/>
      <c r="E31" s="90"/>
      <c r="F31" s="90"/>
      <c r="G31" s="90"/>
      <c r="H31" s="90"/>
      <c r="I31" s="90" t="s">
        <v>248</v>
      </c>
      <c r="J31" s="247">
        <f>J7+J29</f>
        <v>10923141</v>
      </c>
    </row>
    <row r="32" spans="1:10" ht="16.5" thickTop="1">
      <c r="A32" s="90"/>
      <c r="B32" s="90"/>
      <c r="C32" s="90"/>
      <c r="D32" s="90"/>
      <c r="E32" s="90"/>
      <c r="F32" s="90"/>
      <c r="G32" s="90"/>
      <c r="H32" s="90"/>
      <c r="I32" s="90"/>
      <c r="J32" s="90"/>
    </row>
    <row r="33" spans="1:10" ht="15.75">
      <c r="A33" s="240" t="s">
        <v>277</v>
      </c>
      <c r="B33" s="155" t="str">
        <f>CONCATENATE("Debt Service Levy in this ",J1," Budget")</f>
        <v>Debt Service Levy in this 2012 Budget</v>
      </c>
      <c r="C33" s="90"/>
      <c r="D33" s="90"/>
      <c r="E33" s="90"/>
      <c r="F33" s="90"/>
      <c r="G33" s="90"/>
      <c r="H33" s="90"/>
      <c r="I33" s="90"/>
      <c r="J33" s="242">
        <f>DebtService!E53+'levy page20'!E76</f>
        <v>880770</v>
      </c>
    </row>
    <row r="34" spans="1:10" ht="15.75">
      <c r="A34" s="240"/>
      <c r="B34" s="155"/>
      <c r="C34" s="90"/>
      <c r="D34" s="90"/>
      <c r="E34" s="90"/>
      <c r="F34" s="90"/>
      <c r="G34" s="90"/>
      <c r="H34" s="90"/>
      <c r="I34" s="90"/>
      <c r="J34" s="93"/>
    </row>
    <row r="35" spans="1:10" ht="16.5" thickBot="1">
      <c r="A35" s="240" t="s">
        <v>278</v>
      </c>
      <c r="B35" s="155" t="s">
        <v>280</v>
      </c>
      <c r="C35" s="90"/>
      <c r="D35" s="90"/>
      <c r="E35" s="90"/>
      <c r="F35" s="90"/>
      <c r="G35" s="90"/>
      <c r="H35" s="90"/>
      <c r="I35" s="90"/>
      <c r="J35" s="247">
        <f>J31+J33</f>
        <v>11803911</v>
      </c>
    </row>
    <row r="36" spans="1:10" ht="16.5" thickTop="1">
      <c r="A36" s="90"/>
      <c r="B36" s="90"/>
      <c r="C36" s="90"/>
      <c r="D36" s="90"/>
      <c r="E36" s="90"/>
      <c r="F36" s="90"/>
      <c r="G36" s="90"/>
      <c r="H36" s="90"/>
      <c r="I36" s="90"/>
      <c r="J36" s="90"/>
    </row>
    <row r="37" spans="1:10" s="248" customFormat="1" ht="18.75">
      <c r="A37" s="759" t="str">
        <f>CONCATENATE("If the ",J1," budget includes tax levies exceeding the total on line 14, you must")</f>
        <v>If the 2012 budget includes tax levies exceeding the total on line 14, you must</v>
      </c>
      <c r="B37" s="759"/>
      <c r="C37" s="759"/>
      <c r="D37" s="759"/>
      <c r="E37" s="759"/>
      <c r="F37" s="759"/>
      <c r="G37" s="759"/>
      <c r="H37" s="759"/>
      <c r="I37" s="759"/>
      <c r="J37" s="759"/>
    </row>
    <row r="38" spans="1:10" s="248" customFormat="1" ht="18.75">
      <c r="A38" s="759" t="s">
        <v>276</v>
      </c>
      <c r="B38" s="759"/>
      <c r="C38" s="759"/>
      <c r="D38" s="759"/>
      <c r="E38" s="759"/>
      <c r="F38" s="759"/>
      <c r="G38" s="759"/>
      <c r="H38" s="759"/>
      <c r="I38" s="759"/>
      <c r="J38" s="759"/>
    </row>
  </sheetData>
  <sheetProtection/>
  <mergeCells count="4">
    <mergeCell ref="A37:J37"/>
    <mergeCell ref="A38:J38"/>
    <mergeCell ref="A3:J3"/>
    <mergeCell ref="E4:G4"/>
  </mergeCells>
  <printOptions/>
  <pageMargins left="0.5" right="0.5" top="0.72" bottom="0.23" header="0.5" footer="0"/>
  <pageSetup blackAndWhite="1" fitToHeight="1" fitToWidth="1" horizontalDpi="600" verticalDpi="600" orientation="portrait" scale="86" r:id="rId1"/>
  <headerFooter alignWithMargins="0">
    <oddHeader>&amp;RState of Kansas
County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H67" sqref="H67"/>
    </sheetView>
  </sheetViews>
  <sheetFormatPr defaultColWidth="8.796875" defaultRowHeight="15"/>
  <cols>
    <col min="1" max="1" width="23.59765625" style="2" customWidth="1"/>
    <col min="2" max="2" width="12.796875" style="2" customWidth="1"/>
    <col min="3" max="3" width="0.203125" style="2" customWidth="1"/>
    <col min="4" max="8" width="11.796875" style="2" customWidth="1"/>
    <col min="9" max="16384" width="8.8984375" style="2" customWidth="1"/>
  </cols>
  <sheetData>
    <row r="1" spans="1:8" ht="15.75">
      <c r="A1" s="26" t="str">
        <f>inputPrYr!C2</f>
        <v>Geary County</v>
      </c>
      <c r="B1" s="12"/>
      <c r="C1" s="12"/>
      <c r="D1" s="12"/>
      <c r="E1" s="12"/>
      <c r="F1" s="11"/>
      <c r="G1" s="11"/>
      <c r="H1" s="71">
        <f>inputPrYr!C4</f>
        <v>2012</v>
      </c>
    </row>
    <row r="2" spans="1:8" ht="15.75">
      <c r="A2" s="12"/>
      <c r="B2" s="12"/>
      <c r="C2" s="12"/>
      <c r="D2" s="12"/>
      <c r="E2" s="12"/>
      <c r="F2" s="11"/>
      <c r="G2" s="11"/>
      <c r="H2" s="27"/>
    </row>
    <row r="3" spans="1:8" ht="15.75">
      <c r="A3" s="763" t="s">
        <v>75</v>
      </c>
      <c r="B3" s="763"/>
      <c r="C3" s="763"/>
      <c r="D3" s="763"/>
      <c r="E3" s="763"/>
      <c r="F3" s="763"/>
      <c r="G3" s="763"/>
      <c r="H3" s="764"/>
    </row>
    <row r="4" spans="1:8" ht="15.75">
      <c r="A4" s="72"/>
      <c r="B4" s="72"/>
      <c r="C4" s="72"/>
      <c r="D4" s="72"/>
      <c r="E4" s="72"/>
      <c r="F4" s="72"/>
      <c r="G4" s="72"/>
      <c r="H4" s="74"/>
    </row>
    <row r="5" spans="1:8" ht="6.75" customHeight="1" hidden="1">
      <c r="A5" s="14"/>
      <c r="B5" s="15"/>
      <c r="C5" s="15"/>
      <c r="D5" s="15"/>
      <c r="E5" s="15"/>
      <c r="F5" s="12"/>
      <c r="G5" s="12"/>
      <c r="H5" s="27"/>
    </row>
    <row r="6" spans="1:8" ht="25.5" customHeight="1">
      <c r="A6" s="35"/>
      <c r="B6" s="761" t="str">
        <f>CONCATENATE("Budget Tax Levy Amount for ",H1-2,"")</f>
        <v>Budget Tax Levy Amount for 2010</v>
      </c>
      <c r="C6" s="761" t="str">
        <f>CONCATENATE("Budget Tax Levy Rate for ",H1-1,"")</f>
        <v>Budget Tax Levy Rate for 2011</v>
      </c>
      <c r="D6" s="765" t="str">
        <f>CONCATENATE("Allocation for Year ",H1,"")</f>
        <v>Allocation for Year 2012</v>
      </c>
      <c r="E6" s="766"/>
      <c r="F6" s="766"/>
      <c r="G6" s="767"/>
      <c r="H6" s="73"/>
    </row>
    <row r="7" spans="1:8" ht="25.5" customHeight="1">
      <c r="A7" s="10" t="str">
        <f>CONCATENATE("",H1-1," Budgeted Funds")</f>
        <v>2011 Budgeted Funds</v>
      </c>
      <c r="B7" s="762"/>
      <c r="C7" s="762"/>
      <c r="D7" s="21" t="s">
        <v>158</v>
      </c>
      <c r="E7" s="21" t="s">
        <v>242</v>
      </c>
      <c r="F7" s="21" t="s">
        <v>269</v>
      </c>
      <c r="G7" s="21" t="s">
        <v>333</v>
      </c>
      <c r="H7" s="73"/>
    </row>
    <row r="8" spans="1:8" ht="15.75">
      <c r="A8" s="24" t="str">
        <f>(inputPrYr!B16)</f>
        <v>General</v>
      </c>
      <c r="B8" s="61">
        <f>(inputPrYr!E16)</f>
        <v>4882140</v>
      </c>
      <c r="C8" s="62">
        <f>IF(inputPrYr!F16&gt;0,(inputPrYr!F16),"  ")</f>
        <v>22.6</v>
      </c>
      <c r="D8" s="61">
        <f>IF(inputPrYr!E16&gt;0,D37-SUM(D9:D34),0)</f>
        <v>516012</v>
      </c>
      <c r="E8" s="61">
        <f>IF(inputPrYr!E16=0,0,E39-SUM(E9:E34))</f>
        <v>5996</v>
      </c>
      <c r="F8" s="61">
        <f>IF(inputPrYr!E16=0,0,F41-SUM(F9:F34))</f>
        <v>8449</v>
      </c>
      <c r="G8" s="61">
        <f>IF(inputPrYr!E16=0,0,G43-SUM(G9:G34))</f>
        <v>0</v>
      </c>
      <c r="H8" s="73"/>
    </row>
    <row r="9" spans="1:8" ht="15.75">
      <c r="A9" s="24" t="str">
        <f>(inputPrYr!B17)</f>
        <v>Debt Service (14)</v>
      </c>
      <c r="B9" s="61" t="str">
        <f>IF(inputPrYr!E17&gt;0,inputPrYr!E17," ")</f>
        <v> </v>
      </c>
      <c r="C9" s="62" t="str">
        <f>IF(inputPrYr!F17&gt;0,(inputPrYr!F17),"  ")</f>
        <v>  </v>
      </c>
      <c r="D9" s="61" t="str">
        <f>IF(inputPrYr!$E$17&gt;0,ROUND(+B9*D$45,0)," ")</f>
        <v> </v>
      </c>
      <c r="E9" s="61" t="str">
        <f>IF(inputPrYr!$E$17&gt;0,ROUND(+B9*E$47,0)," ")</f>
        <v> </v>
      </c>
      <c r="F9" s="61" t="str">
        <f>IF(inputPrYr!$E$17&gt;0,ROUND(+B9*F$49,0)," ")</f>
        <v> </v>
      </c>
      <c r="G9" s="61" t="str">
        <f>IF(inputPrYr!$E$17&gt;0,ROUND(+B9*G$51,0)," ")</f>
        <v> </v>
      </c>
      <c r="H9" s="73"/>
    </row>
    <row r="10" spans="1:8" ht="15.75">
      <c r="A10" s="24" t="str">
        <f>(inputPrYr!B18)</f>
        <v>Road &amp; Bridge</v>
      </c>
      <c r="B10" s="61">
        <f>IF(inputPrYr!E18&gt;0,inputPrYr!E18," ")</f>
        <v>1199219</v>
      </c>
      <c r="C10" s="62">
        <f>IF(inputPrYr!F18&gt;0,(inputPrYr!F18),"  ")</f>
        <v>5.551</v>
      </c>
      <c r="D10" s="61">
        <f>IF(inputPrYr!$E$18&gt;0,ROUND(+B10*D$45,0)," ")</f>
        <v>126750</v>
      </c>
      <c r="E10" s="61">
        <f>IF(inputPrYr!$E$18&gt;0,ROUND(+B10*E$47,0)," ")</f>
        <v>1472</v>
      </c>
      <c r="F10" s="61">
        <f>IF(inputPrYr!$E$18&gt;0,ROUND(+B10*F$49,0)," ")</f>
        <v>2076</v>
      </c>
      <c r="G10" s="61">
        <f>IF(inputPrYr!$E$18&gt;0,ROUND(+B10*G$51,0)," ")</f>
        <v>0</v>
      </c>
      <c r="H10" s="73"/>
    </row>
    <row r="11" spans="1:8" ht="15.75">
      <c r="A11" s="24" t="str">
        <f>IF((inputPrYr!$B19&gt;" "),(inputPrYr!$B19),"  ")</f>
        <v>Noxious Weed (5)</v>
      </c>
      <c r="B11" s="61">
        <f>IF(inputPrYr!E19&gt;0,inputPrYr!E19,"  ")</f>
        <v>106812</v>
      </c>
      <c r="C11" s="62">
        <f>IF(inputPrYr!F19&gt;0,(inputPrYr!F19),"  ")</f>
        <v>0.495</v>
      </c>
      <c r="D11" s="61">
        <f>IF(inputPrYr!$E$19&gt;0,ROUND(+B11*D$45,0)," ")</f>
        <v>11289</v>
      </c>
      <c r="E11" s="61">
        <f>IF(inputPrYr!$E$19&gt;0,ROUND(+B11*E$47,0)," ")</f>
        <v>131</v>
      </c>
      <c r="F11" s="61">
        <f>IF(inputPrYr!$E$19&gt;0,ROUND(+B11*F$49,0)," ")</f>
        <v>185</v>
      </c>
      <c r="G11" s="61">
        <f>IF(inputPrYr!$E$19&gt;0,ROUND(+B11*G$51,0)," ")</f>
        <v>0</v>
      </c>
      <c r="H11" s="73"/>
    </row>
    <row r="12" spans="1:8" ht="15.75">
      <c r="A12" s="24" t="str">
        <f>IF((inputPrYr!$B20&gt;" "),(inputPrYr!$B20),"  ")</f>
        <v>Health Fund (6)</v>
      </c>
      <c r="B12" s="61">
        <f>IF(inputPrYr!E20&gt;0,inputPrYr!E20,"  ")</f>
        <v>287854</v>
      </c>
      <c r="C12" s="62">
        <f>IF(inputPrYr!F20&gt;0,(inputPrYr!F20),"  ")</f>
        <v>1.333</v>
      </c>
      <c r="D12" s="61">
        <f>IF(inputPrYr!E20&gt;0,ROUND(+B12*D$45,0),"  ")</f>
        <v>30424</v>
      </c>
      <c r="E12" s="61">
        <f>IF(inputPrYr!E20&gt;0,ROUND(+B12*E$47,0),"  ")</f>
        <v>353</v>
      </c>
      <c r="F12" s="61">
        <f>IF(inputPrYr!E20&gt;0,ROUND(+B12*F$49,0),"  ")</f>
        <v>498</v>
      </c>
      <c r="G12" s="61">
        <f>IF(inputPrYr!$E$20&gt;0,ROUND(+B12*G$51,0)," ")</f>
        <v>0</v>
      </c>
      <c r="H12" s="73"/>
    </row>
    <row r="13" spans="1:8" ht="15.75">
      <c r="A13" s="24" t="str">
        <f>IF((inputPrYr!$B21&gt;" "),(inputPrYr!$B21),"  ")</f>
        <v>Special Bridge (4)</v>
      </c>
      <c r="B13" s="61" t="str">
        <f>IF(inputPrYr!E21&gt;0,inputPrYr!E21,"  ")</f>
        <v>  </v>
      </c>
      <c r="C13" s="62" t="str">
        <f>IF(inputPrYr!F21&gt;0,(inputPrYr!F21),"  ")</f>
        <v>  </v>
      </c>
      <c r="D13" s="61" t="str">
        <f>IF(inputPrYr!E21&gt;0,ROUND(+B13*D$45,0),"  ")</f>
        <v>  </v>
      </c>
      <c r="E13" s="61" t="str">
        <f>IF(inputPrYr!E21&gt;0,ROUND(+B13*E$47,0),"  ")</f>
        <v>  </v>
      </c>
      <c r="F13" s="61" t="str">
        <f>IF(inputPrYr!E21&gt;0,ROUND(+B13*F$49,0),"  ")</f>
        <v>  </v>
      </c>
      <c r="G13" s="61" t="str">
        <f>IF(inputPrYr!$E$21&gt;0,ROUND(+B13*G$51,0)," ")</f>
        <v> </v>
      </c>
      <c r="H13" s="73"/>
    </row>
    <row r="14" spans="1:8" ht="15.75">
      <c r="A14" s="24" t="str">
        <f>IF((inputPrYr!$B22&gt;" "),(inputPrYr!$B22),"  ")</f>
        <v>Extension Council (7)</v>
      </c>
      <c r="B14" s="61">
        <f>IF(inputPrYr!E22&gt;0,inputPrYr!E22,"  ")</f>
        <v>243889</v>
      </c>
      <c r="C14" s="62">
        <f>IF(inputPrYr!F22&gt;0,(inputPrYr!F22),"  ")</f>
        <v>1.129</v>
      </c>
      <c r="D14" s="61">
        <f>IF(inputPrYr!E22&gt;0,ROUND(+B14*D$45,0),"  ")</f>
        <v>25778</v>
      </c>
      <c r="E14" s="61">
        <f>IF(inputPrYr!E22&gt;0,ROUND(+B14*E$47,0),"  ")</f>
        <v>299</v>
      </c>
      <c r="F14" s="61">
        <f>IF(inputPrYr!E22&gt;0,ROUND(+B14*F$49,0),"  ")</f>
        <v>422</v>
      </c>
      <c r="G14" s="61">
        <f>IF(inputPrYr!$E$22&gt;0,ROUND(+B14*G$51,0)," ")</f>
        <v>0</v>
      </c>
      <c r="H14" s="73"/>
    </row>
    <row r="15" spans="1:8" ht="15.75">
      <c r="A15" s="24" t="str">
        <f>IF((inputPrYr!$B23&gt;" "),(inputPrYr!$B23),"  ")</f>
        <v>Free Fair (60)</v>
      </c>
      <c r="B15" s="61">
        <f>IF(inputPrYr!E23&gt;0,inputPrYr!E23,"  ")</f>
        <v>12523</v>
      </c>
      <c r="C15" s="62">
        <f>IF(inputPrYr!F23&gt;0,(inputPrYr!F23),"  ")</f>
        <v>0.058</v>
      </c>
      <c r="D15" s="61">
        <f>IF(inputPrYr!E23&gt;0,ROUND(+B15*D$45,0),"  ")</f>
        <v>1324</v>
      </c>
      <c r="E15" s="61">
        <f>IF(inputPrYr!E23&gt;0,ROUND(+B15*E$47,0),"  ")</f>
        <v>15</v>
      </c>
      <c r="F15" s="61">
        <f>IF(inputPrYr!E23&gt;0,ROUND(+B15*F$49,0),"  ")</f>
        <v>22</v>
      </c>
      <c r="G15" s="61">
        <f>IF(inputPrYr!$E$23&gt;0,ROUND(+B15*G$51,0)," ")</f>
        <v>0</v>
      </c>
      <c r="H15" s="73"/>
    </row>
    <row r="16" spans="1:8" ht="15.75">
      <c r="A16" s="24" t="str">
        <f>IF((inputPrYr!$B24&gt;" "),(inputPrYr!$B24),"  ")</f>
        <v>Animal Shelter (29)</v>
      </c>
      <c r="B16" s="61">
        <f>IF(inputPrYr!E24&gt;0,inputPrYr!E24,"  ")</f>
        <v>52597</v>
      </c>
      <c r="C16" s="62">
        <f>IF(inputPrYr!F24&gt;0,(inputPrYr!F24),"  ")</f>
        <v>0.244</v>
      </c>
      <c r="D16" s="61">
        <f>IF(inputPrYr!E24&gt;0,ROUND(+B16*D$45,0),"  ")</f>
        <v>5559</v>
      </c>
      <c r="E16" s="61">
        <f>IF(inputPrYr!E24&gt;0,ROUND(+B16*E$47,0),"  ")</f>
        <v>65</v>
      </c>
      <c r="F16" s="61">
        <f>IF(inputPrYr!E24&gt;0,ROUND(+B16*F$49,0),"  ")</f>
        <v>91</v>
      </c>
      <c r="G16" s="61">
        <f>IF(inputPrYr!$E$24&gt;0,ROUND(+B16*G$51,0)," ")</f>
        <v>0</v>
      </c>
      <c r="H16" s="73"/>
    </row>
    <row r="17" spans="1:8" ht="15.75">
      <c r="A17" s="24" t="str">
        <f>IF((inputPrYr!$B25&gt;" "),(inputPrYr!$B25),"  ")</f>
        <v>Mental Health (10)</v>
      </c>
      <c r="B17" s="61">
        <f>IF(inputPrYr!E25&gt;0,inputPrYr!E25,"  ")</f>
        <v>110907</v>
      </c>
      <c r="C17" s="62">
        <f>IF(inputPrYr!F25&gt;0,(inputPrYr!F25),"  ")</f>
        <v>0.513</v>
      </c>
      <c r="D17" s="61">
        <f>IF(inputPrYr!E25&gt;0,ROUND(+B17*D$45,0),"  ")</f>
        <v>11722</v>
      </c>
      <c r="E17" s="61">
        <f>IF(inputPrYr!E25&gt;0,ROUND(+B17*E$47,0),"  ")</f>
        <v>136</v>
      </c>
      <c r="F17" s="61">
        <f>IF(inputPrYr!E25&gt;0,ROUND(+B17*F$49,0),"  ")</f>
        <v>192</v>
      </c>
      <c r="G17" s="61">
        <f>IF(inputPrYr!$E$25&gt;0,ROUND(+B17*G$51,0)," ")</f>
        <v>0</v>
      </c>
      <c r="H17" s="73"/>
    </row>
    <row r="18" spans="1:8" ht="15.75">
      <c r="A18" s="24" t="str">
        <f>IF((inputPrYr!$B26&gt;" "),(inputPrYr!$B26),"  ")</f>
        <v>Election (11)</v>
      </c>
      <c r="B18" s="61">
        <f>IF(inputPrYr!E26&gt;0,inputPrYr!E26,"  ")</f>
        <v>21168</v>
      </c>
      <c r="C18" s="62">
        <f>IF(inputPrYr!F26&gt;0,(inputPrYr!F26),"  ")</f>
        <v>0.098</v>
      </c>
      <c r="D18" s="61">
        <f>IF(inputPrYr!E26&gt;0,ROUND(+B18*D$45,0),"  ")</f>
        <v>2237</v>
      </c>
      <c r="E18" s="61">
        <f>IF(inputPrYr!E26&gt;0,ROUND(+B18*E$47,0),"  ")</f>
        <v>26</v>
      </c>
      <c r="F18" s="61">
        <f>IF(inputPrYr!E26&gt;0,ROUND(+B18*F$49,0),"  ")</f>
        <v>37</v>
      </c>
      <c r="G18" s="61">
        <f>IF(inputPrYr!$E$26&gt;0,ROUND(+B18*G$51,0)," ")</f>
        <v>0</v>
      </c>
      <c r="H18" s="73"/>
    </row>
    <row r="19" spans="1:8" ht="15.75">
      <c r="A19" s="24" t="str">
        <f>IF((inputPrYr!$B27&gt;" "),(inputPrYr!$B27),"  ")</f>
        <v>Special Assessments (20)</v>
      </c>
      <c r="B19" s="61" t="str">
        <f>IF(inputPrYr!E27&gt;0,inputPrYr!E27,"  ")</f>
        <v>  </v>
      </c>
      <c r="C19" s="62" t="str">
        <f>IF(inputPrYr!F27&gt;0,(inputPrYr!F27),"  ")</f>
        <v>  </v>
      </c>
      <c r="D19" s="61" t="str">
        <f>IF(inputPrYr!E27&gt;0,ROUND(+B19*D$45,0),"  ")</f>
        <v>  </v>
      </c>
      <c r="E19" s="61" t="str">
        <f>IF(inputPrYr!E27&gt;0,ROUND(+B19*E$47,0),"  ")</f>
        <v>  </v>
      </c>
      <c r="F19" s="61" t="str">
        <f>IF(inputPrYr!E27&gt;0,ROUND(+B19*F$49,0),"  ")</f>
        <v>  </v>
      </c>
      <c r="G19" s="61" t="str">
        <f>IF(inputPrYr!$E$27&gt;0,ROUND(+B19*G$51,0)," ")</f>
        <v> </v>
      </c>
      <c r="H19" s="73"/>
    </row>
    <row r="20" spans="1:8" ht="15.75">
      <c r="A20" s="24" t="str">
        <f>IF((inputPrYr!$B28&gt;" "),(inputPrYr!$B28),"  ")</f>
        <v>Senior Citizens (22)</v>
      </c>
      <c r="B20" s="61">
        <f>IF(inputPrYr!E28&gt;0,inputPrYr!E28,"  ")</f>
        <v>90024</v>
      </c>
      <c r="C20" s="62">
        <f>IF(inputPrYr!F28&gt;0,(inputPrYr!F28),"  ")</f>
        <v>0.417</v>
      </c>
      <c r="D20" s="61">
        <f>IF(inputPrYr!E28&gt;0,ROUND(+B20*D$45,0),"  ")</f>
        <v>9515</v>
      </c>
      <c r="E20" s="61">
        <f>IF(inputPrYr!E28&gt;0,ROUND(+B20*E$47,0),"  ")</f>
        <v>111</v>
      </c>
      <c r="F20" s="61">
        <f>IF(inputPrYr!E28&gt;0,ROUND(+B20*F$49,0),"  ")</f>
        <v>156</v>
      </c>
      <c r="G20" s="61">
        <f>IF(inputPrYr!$E$28&gt;0,ROUND(+B20*G$51,0)," ")</f>
        <v>0</v>
      </c>
      <c r="H20" s="73"/>
    </row>
    <row r="21" spans="1:8" ht="15.75">
      <c r="A21" s="24" t="str">
        <f>IF((inputPrYr!$B29&gt;" "),(inputPrYr!$B29),"  ")</f>
        <v>Community College (15)</v>
      </c>
      <c r="B21" s="61" t="str">
        <f>IF(inputPrYr!E29&gt;0,inputPrYr!E29,"  ")</f>
        <v>  </v>
      </c>
      <c r="C21" s="62" t="str">
        <f>IF(inputPrYr!F29&gt;0,(inputPrYr!F29),"  ")</f>
        <v>  </v>
      </c>
      <c r="D21" s="61" t="str">
        <f>IF(inputPrYr!E29&gt;0,ROUND(+B21*D$45,0),"  ")</f>
        <v>  </v>
      </c>
      <c r="E21" s="61" t="str">
        <f>IF(inputPrYr!E29&gt;0,ROUND(+B21*E$47,0),"  ")</f>
        <v>  </v>
      </c>
      <c r="F21" s="61" t="str">
        <f>IF(inputPrYr!E29&gt;0,ROUND(+B21*F$49,0),"  ")</f>
        <v>  </v>
      </c>
      <c r="G21" s="61" t="str">
        <f>IF(inputPrYr!$E$29&gt;0,ROUND(+B21*G$51,0)," ")</f>
        <v> </v>
      </c>
      <c r="H21" s="73"/>
    </row>
    <row r="22" spans="1:8" ht="15.75">
      <c r="A22" s="24" t="str">
        <f>IF((inputPrYr!$B30&gt;" "),(inputPrYr!$B30),"  ")</f>
        <v>Mental Retardation (19)</v>
      </c>
      <c r="B22" s="61">
        <f>IF(inputPrYr!E30&gt;0,inputPrYr!E30,"  ")</f>
        <v>71795</v>
      </c>
      <c r="C22" s="62">
        <f>IF(inputPrYr!F30&gt;0,(inputPrYr!F30),"  ")</f>
        <v>0.332</v>
      </c>
      <c r="D22" s="61">
        <f>IF(inputPrYr!E30&gt;0,ROUND(+B22*D$45,0),"  ")</f>
        <v>7588</v>
      </c>
      <c r="E22" s="61">
        <f>IF(inputPrYr!E30&gt;0,ROUND(+B22*E$47,0),"  ")</f>
        <v>88</v>
      </c>
      <c r="F22" s="61">
        <f>IF(inputPrYr!E30&gt;0,ROUND(+B22*F$49,0),"  ")</f>
        <v>124</v>
      </c>
      <c r="G22" s="61">
        <f>IF(inputPrYr!$E$30&gt;0,ROUND(+B22*G$51,0)," ")</f>
        <v>0</v>
      </c>
      <c r="H22" s="73"/>
    </row>
    <row r="23" spans="1:8" ht="15.75">
      <c r="A23" s="24" t="str">
        <f>IF((inputPrYr!$B31&gt;" "),(inputPrYr!$B31),"  ")</f>
        <v>Economic Development (18)</v>
      </c>
      <c r="B23" s="61">
        <f>IF(inputPrYr!E31&gt;0,inputPrYr!E31,"  ")</f>
        <v>179508</v>
      </c>
      <c r="C23" s="62">
        <f>IF(inputPrYr!F31&gt;0,(inputPrYr!F31),"  ")</f>
        <v>0.831</v>
      </c>
      <c r="D23" s="61">
        <f>IF(inputPrYr!E31&gt;0,ROUND(+B23*D$45,0),"  ")</f>
        <v>18973</v>
      </c>
      <c r="E23" s="61">
        <f>IF(inputPrYr!E31&gt;0,ROUND(+B23*E$47,0),"  ")</f>
        <v>220</v>
      </c>
      <c r="F23" s="61">
        <f>IF(inputPrYr!E31&gt;0,ROUND(+B23*F$49,0),"  ")</f>
        <v>311</v>
      </c>
      <c r="G23" s="61">
        <f>IF(inputPrYr!$E$31&gt;0,ROUND(+B23*G$51,0)," ")</f>
        <v>0</v>
      </c>
      <c r="H23" s="73"/>
    </row>
    <row r="24" spans="1:8" ht="15.75">
      <c r="A24" s="24" t="str">
        <f>IF((inputPrYr!$B32&gt;" "),(inputPrYr!$B32),"  ")</f>
        <v>Law Enforcement (17)</v>
      </c>
      <c r="B24" s="61" t="str">
        <f>IF(inputPrYr!E32&gt;0,inputPrYr!E32,"  ")</f>
        <v>  </v>
      </c>
      <c r="C24" s="62" t="str">
        <f>IF(inputPrYr!F32&gt;0,(inputPrYr!F32),"  ")</f>
        <v>  </v>
      </c>
      <c r="D24" s="61" t="str">
        <f>IF(inputPrYr!E32&gt;0,ROUND(+B24*D$45,0),"  ")</f>
        <v>  </v>
      </c>
      <c r="E24" s="61" t="str">
        <f>IF(inputPrYr!E32&gt;0,ROUND(+B24*E$47,0),"  ")</f>
        <v>  </v>
      </c>
      <c r="F24" s="61" t="str">
        <f>IF(inputPrYr!E32&gt;0,ROUND(+B24*F$49,0),"  ")</f>
        <v>  </v>
      </c>
      <c r="G24" s="61" t="str">
        <f>IF(inputPrYr!$E$32&gt;0,ROUND(+B24*G$51,0)," ")</f>
        <v> </v>
      </c>
      <c r="H24" s="73"/>
    </row>
    <row r="25" spans="1:8" ht="15.75">
      <c r="A25" s="24" t="str">
        <f>IF((inputPrYr!$B33&gt;" "),(inputPrYr!$B33),"  ")</f>
        <v>Appraisers Cost (2)</v>
      </c>
      <c r="B25" s="61">
        <f>IF(inputPrYr!E33&gt;0,inputPrYr!E33,"  ")</f>
        <v>275249</v>
      </c>
      <c r="C25" s="62">
        <f>IF(inputPrYr!F33&gt;0,(inputPrYr!F33),"  ")</f>
        <v>1.274</v>
      </c>
      <c r="D25" s="61">
        <f>IF(inputPrYr!E33&gt;0,ROUND(+B25*D$45,0),"  ")</f>
        <v>29092</v>
      </c>
      <c r="E25" s="61">
        <f>IF(inputPrYr!E33&gt;0,ROUND(+B25*E$47,0),"  ")</f>
        <v>338</v>
      </c>
      <c r="F25" s="61">
        <f>IF(inputPrYr!E33&gt;0,ROUND(+B25*F$49,0),"  ")</f>
        <v>476</v>
      </c>
      <c r="G25" s="61">
        <f>IF(inputPrYr!$E$33&gt;0,ROUND(+B25*G$51,0)," ")</f>
        <v>0</v>
      </c>
      <c r="H25" s="73"/>
    </row>
    <row r="26" spans="1:8" ht="15.75">
      <c r="A26" s="24" t="str">
        <f>IF((inputPrYr!$B34&gt;" "),(inputPrYr!$B34),"  ")</f>
        <v>Employee Benefits (12)</v>
      </c>
      <c r="B26" s="61">
        <f>IF(inputPrYr!E34&gt;0,inputPrYr!E34,"  ")</f>
        <v>1995085</v>
      </c>
      <c r="C26" s="62">
        <f>IF(inputPrYr!F34&gt;0,(inputPrYr!F34),"  ")</f>
        <v>9.236</v>
      </c>
      <c r="D26" s="61">
        <f>IF(inputPrYr!E34&gt;0,ROUND(+B26*D$45,0),"  ")</f>
        <v>210868</v>
      </c>
      <c r="E26" s="61">
        <f>IF(inputPrYr!E34&gt;0,ROUND(+B26*E$47,0),"  ")</f>
        <v>2449</v>
      </c>
      <c r="F26" s="61">
        <f>IF(inputPrYr!E34&gt;0,ROUND(+B26*F$49,0),"  ")</f>
        <v>3453</v>
      </c>
      <c r="G26" s="61">
        <f>IF(inputPrYr!$E$34&gt;0,ROUND(+B26*G$51,0)," ")</f>
        <v>0</v>
      </c>
      <c r="H26" s="73"/>
    </row>
    <row r="27" spans="1:8" ht="15.75">
      <c r="A27" s="24" t="str">
        <f>IF((inputPrYr!$B35&gt;" "),(inputPrYr!$B35),"  ")</f>
        <v>Historical (65)</v>
      </c>
      <c r="B27" s="61">
        <f>IF(inputPrYr!E35&gt;0,inputPrYr!E35,"  ")</f>
        <v>97905</v>
      </c>
      <c r="C27" s="62">
        <f>IF(inputPrYr!F35&gt;0,(inputPrYr!F35),"  ")</f>
        <v>0.453</v>
      </c>
      <c r="D27" s="61">
        <f>IF(inputPrYr!E35&gt;0,ROUND(+B27*D$45,0),"  ")</f>
        <v>10348</v>
      </c>
      <c r="E27" s="61">
        <f>IF(inputPrYr!E35&gt;0,ROUND(+B27*E$47,0),"  ")</f>
        <v>120</v>
      </c>
      <c r="F27" s="61">
        <f>IF(inputPrYr!E35&gt;0,ROUND(+B27*F$49,0),"  ")</f>
        <v>169</v>
      </c>
      <c r="G27" s="61">
        <f>IF(inputPrYr!$E$35&gt;0,ROUND(+B27*G$51,0)," ")</f>
        <v>0</v>
      </c>
      <c r="H27" s="73"/>
    </row>
    <row r="28" spans="1:8" ht="15.75">
      <c r="A28" s="24" t="str">
        <f>IF((inputPrYr!$B36&gt;" "),(inputPrYr!$B36),"  ")</f>
        <v>Hospital (33)</v>
      </c>
      <c r="B28" s="61">
        <f>IF(inputPrYr!E36&gt;0,inputPrYr!E36,"  ")</f>
        <v>126465</v>
      </c>
      <c r="C28" s="62">
        <f>IF(inputPrYr!F36&gt;0,(inputPrYr!F36),"  ")</f>
        <v>0.585</v>
      </c>
      <c r="D28" s="61">
        <f>IF(inputPrYr!E36&gt;0,ROUND(+B28*D$45,0),"  ")</f>
        <v>13367</v>
      </c>
      <c r="E28" s="61">
        <f>IF(inputPrYr!E36&gt;0,ROUND(+B28*E$47,0),"  ")</f>
        <v>155</v>
      </c>
      <c r="F28" s="61">
        <f>IF(inputPrYr!E36&gt;0,ROUND(+B28*F$49,0),"  ")</f>
        <v>219</v>
      </c>
      <c r="G28" s="61">
        <f>IF(inputPrYr!$E$36&gt;0,ROUND(+B28*G$51,0)," ")</f>
        <v>0</v>
      </c>
      <c r="H28" s="73"/>
    </row>
    <row r="29" spans="1:8" ht="15.75">
      <c r="A29" s="24" t="str">
        <f>IF((inputPrYr!$B37&gt;" "),(inputPrYr!$B37),"  ")</f>
        <v>Juvenile Detention (68)</v>
      </c>
      <c r="B29" s="61">
        <f>IF(inputPrYr!E37&gt;0,inputPrYr!E37,"  ")</f>
        <v>136027</v>
      </c>
      <c r="C29" s="62">
        <f>IF(inputPrYr!F37&gt;0,(inputPrYr!F37),"  ")</f>
        <v>0.63</v>
      </c>
      <c r="D29" s="61">
        <f>IF(inputPrYr!E37&gt;0,ROUND(+B29*D$45,0),"  ")</f>
        <v>14377</v>
      </c>
      <c r="E29" s="61">
        <f>IF(inputPrYr!E37&gt;0,ROUND(+B29*E$47,0),"  ")</f>
        <v>167</v>
      </c>
      <c r="F29" s="61">
        <f>IF(inputPrYr!E37&gt;0,ROUND(+B29*F$49,0),"  ")</f>
        <v>235</v>
      </c>
      <c r="G29" s="61">
        <f>IF(inputPrYr!$E$37&gt;0,ROUND(+B29*G$51,0)," ")</f>
        <v>0</v>
      </c>
      <c r="H29" s="73"/>
    </row>
    <row r="30" spans="1:8" ht="15.75">
      <c r="A30" s="24" t="str">
        <f>IF((inputPrYr!$B38&gt;" "),(inputPrYr!$B38),"  ")</f>
        <v>PBC - Cloud Co CC (25)</v>
      </c>
      <c r="B30" s="61" t="str">
        <f>IF(inputPrYr!E38&gt;0,inputPrYr!E38,"  ")</f>
        <v>  </v>
      </c>
      <c r="C30" s="62" t="str">
        <f>IF(inputPrYr!F38&gt;0,(inputPrYr!F38),"  ")</f>
        <v>  </v>
      </c>
      <c r="D30" s="61" t="str">
        <f>IF(inputPrYr!E38&gt;0,ROUND(+B30*D$45,0),"  ")</f>
        <v>  </v>
      </c>
      <c r="E30" s="61" t="str">
        <f>IF(inputPrYr!E38&gt;0,ROUND(+B30*E$47,0),"  ")</f>
        <v>  </v>
      </c>
      <c r="F30" s="61" t="str">
        <f>IF(inputPrYr!E38&gt;0,ROUND(+B30*F$49,0),"  ")</f>
        <v>  </v>
      </c>
      <c r="G30" s="61" t="str">
        <f>IF(inputPrYr!$E$38&gt;0,ROUND(+B30*G$51,0)," ")</f>
        <v> </v>
      </c>
      <c r="H30" s="73"/>
    </row>
    <row r="31" spans="1:8" s="663" customFormat="1" ht="15.75">
      <c r="A31" s="24" t="str">
        <f>IF((inputPrYr!$B39&gt;" "),(inputPrYr!$B39),"  ")</f>
        <v>Capital Improvements (44)</v>
      </c>
      <c r="B31" s="61" t="str">
        <f>IF(inputPrYr!E39&gt;0,inputPrYr!E39,"  ")</f>
        <v>  </v>
      </c>
      <c r="C31" s="62" t="str">
        <f>IF(inputPrYr!F39&gt;0,(inputPrYr!F39),"  ")</f>
        <v>  </v>
      </c>
      <c r="D31" s="61" t="str">
        <f>IF(inputPrYr!E39&gt;0,ROUND(+B31*D$45,0),"  ")</f>
        <v>  </v>
      </c>
      <c r="E31" s="61" t="str">
        <f>IF(inputPrYr!E39&gt;0,ROUND(+B31*E$47,0),"  ")</f>
        <v>  </v>
      </c>
      <c r="F31" s="61" t="str">
        <f>IF(inputPrYr!E39&gt;0,ROUND(+B31*F$49,0),"  ")</f>
        <v>  </v>
      </c>
      <c r="G31" s="61" t="str">
        <f>IF(inputPrYr!$E$39&gt;0,ROUND(+B31*G$51,0)," ")</f>
        <v> </v>
      </c>
      <c r="H31" s="664"/>
    </row>
    <row r="32" spans="1:8" s="663" customFormat="1" ht="15.75">
      <c r="A32" s="24" t="str">
        <f>IF((inputPrYr!$B40&gt;" "),(inputPrYr!$B40),"  ")</f>
        <v>Geary Comm Hosp B&amp;I (27)</v>
      </c>
      <c r="B32" s="61">
        <f>IF(inputPrYr!E40&gt;0,inputPrYr!E40,"  ")</f>
        <v>869158</v>
      </c>
      <c r="C32" s="62"/>
      <c r="D32" s="61">
        <f>IF(inputPrYr!E40&gt;0,ROUND(+B32*D$45,0),"  ")</f>
        <v>91865</v>
      </c>
      <c r="E32" s="61">
        <f>IF(inputPrYr!E40&gt;0,ROUND(+B32*E$47,0),"  ")</f>
        <v>1067</v>
      </c>
      <c r="F32" s="61">
        <f>IF(inputPrYr!E40&gt;0,ROUND(+B32*F$49,0),"  ")</f>
        <v>1504</v>
      </c>
      <c r="G32" s="61">
        <f>IF(inputPrYr!$E$40&gt;0,ROUND(+B32*G$51,0)," ")</f>
        <v>0</v>
      </c>
      <c r="H32" s="664"/>
    </row>
    <row r="33" spans="1:8" s="663" customFormat="1" ht="15.75">
      <c r="A33" s="24" t="str">
        <f>IF((inputPrYr!$B41&gt;" "),(inputPrYr!$B41),"  ")</f>
        <v>Co. Neighborhood Revital (35)</v>
      </c>
      <c r="B33" s="61">
        <f>IF(inputPrYr!E41&gt;0,inputPrYr!E41,"  ")</f>
        <v>592552</v>
      </c>
      <c r="C33" s="62"/>
      <c r="D33" s="61">
        <f>IF(inputPrYr!E41&gt;0,ROUND(+B33*D$45,0),"  ")</f>
        <v>62629</v>
      </c>
      <c r="E33" s="61">
        <f>IF(inputPrYr!E41&gt;0,ROUND(+B33*E$47,0),"  ")</f>
        <v>728</v>
      </c>
      <c r="F33" s="61">
        <f>IF(inputPrYr!E41&gt;0,ROUND(+B33*F$49,0),"  ")</f>
        <v>1026</v>
      </c>
      <c r="G33" s="61">
        <f>IF(inputPrYr!$E$41&gt;0,ROUND(+B33*G$51,0)," ")</f>
        <v>0</v>
      </c>
      <c r="H33" s="664"/>
    </row>
    <row r="34" spans="1:8" s="663" customFormat="1" ht="15.75">
      <c r="A34" s="24" t="str">
        <f>IF((inputPrYr!$B42&gt;" "),(inputPrYr!$B42),"  ")</f>
        <v>Co. The Bluffs TIF District (36)</v>
      </c>
      <c r="B34" s="61">
        <f>IF(inputPrYr!E42&gt;0,inputPrYr!E42,"  ")</f>
        <v>125331</v>
      </c>
      <c r="C34" s="62">
        <f>IF(inputPrYr!F42&gt;0,(inputPrYr!F42),"  ")</f>
        <v>0.58</v>
      </c>
      <c r="D34" s="61">
        <f>IF(inputPrYr!E42&gt;0,ROUND(+B34*D$45,0),"  ")</f>
        <v>13247</v>
      </c>
      <c r="E34" s="61">
        <f>IF(inputPrYr!E42&gt;0,ROUND(+B34*E$47,0),"  ")</f>
        <v>154</v>
      </c>
      <c r="F34" s="61">
        <f>IF(inputPrYr!E42&gt;0,ROUND(+B34*F$49,0),"  ")</f>
        <v>217</v>
      </c>
      <c r="G34" s="61">
        <f>IF(inputPrYr!$E$42&gt;0,ROUND(+B34*G$51,0)," ")</f>
        <v>0</v>
      </c>
      <c r="H34" s="664"/>
    </row>
    <row r="35" spans="1:8" ht="16.5" thickBot="1">
      <c r="A35" s="23" t="s">
        <v>154</v>
      </c>
      <c r="B35" s="63">
        <f aca="true" t="shared" si="0" ref="B35:G35">SUM(B8:B34)</f>
        <v>11476208</v>
      </c>
      <c r="C35" s="64">
        <f t="shared" si="0"/>
        <v>46.35900000000002</v>
      </c>
      <c r="D35" s="63">
        <f t="shared" si="0"/>
        <v>1212964</v>
      </c>
      <c r="E35" s="63">
        <f t="shared" si="0"/>
        <v>14090</v>
      </c>
      <c r="F35" s="63">
        <f t="shared" si="0"/>
        <v>19862</v>
      </c>
      <c r="G35" s="63">
        <f t="shared" si="0"/>
        <v>0</v>
      </c>
      <c r="H35" s="73"/>
    </row>
    <row r="36" spans="1:8" ht="16.5" thickTop="1">
      <c r="A36" s="52"/>
      <c r="B36" s="67"/>
      <c r="C36" s="75"/>
      <c r="D36" s="67"/>
      <c r="E36" s="67"/>
      <c r="F36" s="67"/>
      <c r="G36" s="67"/>
      <c r="H36" s="73"/>
    </row>
    <row r="37" spans="1:8" ht="15.75">
      <c r="A37" s="13" t="s">
        <v>155</v>
      </c>
      <c r="B37" s="65"/>
      <c r="C37" s="65"/>
      <c r="D37" s="66">
        <f>(inputOth!E15)</f>
        <v>1212964</v>
      </c>
      <c r="E37" s="65"/>
      <c r="F37" s="29"/>
      <c r="G37" s="29"/>
      <c r="H37" s="53"/>
    </row>
    <row r="38" spans="1:8" ht="15.75">
      <c r="A38" s="13"/>
      <c r="B38" s="65"/>
      <c r="C38" s="65"/>
      <c r="D38" s="67"/>
      <c r="E38" s="65"/>
      <c r="F38" s="29"/>
      <c r="G38" s="29"/>
      <c r="H38" s="53"/>
    </row>
    <row r="39" spans="1:8" ht="15.75">
      <c r="A39" s="13" t="s">
        <v>156</v>
      </c>
      <c r="B39" s="29"/>
      <c r="C39" s="29"/>
      <c r="D39" s="29"/>
      <c r="E39" s="66">
        <f>(inputOth!E16)</f>
        <v>14090</v>
      </c>
      <c r="F39" s="29"/>
      <c r="G39" s="29"/>
      <c r="H39" s="53"/>
    </row>
    <row r="40" spans="1:8" ht="15.75">
      <c r="A40" s="13"/>
      <c r="B40" s="29"/>
      <c r="C40" s="29"/>
      <c r="D40" s="29"/>
      <c r="E40" s="67"/>
      <c r="F40" s="29"/>
      <c r="G40" s="29"/>
      <c r="H40" s="53"/>
    </row>
    <row r="41" spans="1:8" ht="15.75">
      <c r="A41" s="13" t="s">
        <v>243</v>
      </c>
      <c r="B41" s="29"/>
      <c r="C41" s="29"/>
      <c r="D41" s="29"/>
      <c r="E41" s="29"/>
      <c r="F41" s="66">
        <f>inputOth!E17</f>
        <v>19862</v>
      </c>
      <c r="G41" s="67"/>
      <c r="H41" s="53"/>
    </row>
    <row r="42" spans="1:8" ht="15.75">
      <c r="A42" s="12"/>
      <c r="B42" s="29"/>
      <c r="C42" s="29"/>
      <c r="D42" s="29"/>
      <c r="E42" s="29"/>
      <c r="F42" s="29"/>
      <c r="G42" s="29"/>
      <c r="H42" s="53"/>
    </row>
    <row r="43" spans="1:8" ht="15.75">
      <c r="A43" s="12" t="s">
        <v>66</v>
      </c>
      <c r="B43" s="29"/>
      <c r="C43" s="29"/>
      <c r="D43" s="29"/>
      <c r="E43" s="29"/>
      <c r="F43" s="29"/>
      <c r="G43" s="70">
        <f>inputOth!E20</f>
        <v>0</v>
      </c>
      <c r="H43" s="53"/>
    </row>
    <row r="44" spans="1:8" ht="15.75">
      <c r="A44" s="12"/>
      <c r="B44" s="29"/>
      <c r="C44" s="29"/>
      <c r="D44" s="29"/>
      <c r="E44" s="29"/>
      <c r="F44" s="29"/>
      <c r="G44" s="29"/>
      <c r="H44" s="53"/>
    </row>
    <row r="45" spans="1:8" ht="15.75">
      <c r="A45" s="13" t="s">
        <v>157</v>
      </c>
      <c r="B45" s="29"/>
      <c r="C45" s="29"/>
      <c r="D45" s="68">
        <f>IF(B35=0,0,D37/B35)</f>
        <v>0.10569379711486582</v>
      </c>
      <c r="E45" s="29"/>
      <c r="F45" s="29"/>
      <c r="G45" s="29"/>
      <c r="H45" s="53"/>
    </row>
    <row r="46" spans="1:8" ht="15.75">
      <c r="A46" s="13"/>
      <c r="B46" s="29"/>
      <c r="C46" s="29"/>
      <c r="D46" s="69"/>
      <c r="E46" s="29"/>
      <c r="F46" s="29"/>
      <c r="G46" s="29"/>
      <c r="H46" s="53"/>
    </row>
    <row r="47" spans="1:8" ht="15.75">
      <c r="A47" s="13" t="s">
        <v>306</v>
      </c>
      <c r="B47" s="29"/>
      <c r="C47" s="29"/>
      <c r="D47" s="29"/>
      <c r="E47" s="68">
        <f>IF(B35=0,0,E39/B35)</f>
        <v>0.0012277574613496025</v>
      </c>
      <c r="F47" s="29"/>
      <c r="G47" s="29"/>
      <c r="H47" s="53"/>
    </row>
    <row r="48" spans="1:8" ht="15.75">
      <c r="A48" s="13"/>
      <c r="B48" s="29"/>
      <c r="C48" s="29"/>
      <c r="D48" s="29"/>
      <c r="E48" s="69"/>
      <c r="F48" s="29"/>
      <c r="G48" s="29"/>
      <c r="H48" s="53"/>
    </row>
    <row r="49" spans="1:8" ht="15.75">
      <c r="A49" s="13" t="s">
        <v>305</v>
      </c>
      <c r="B49" s="29"/>
      <c r="C49" s="29"/>
      <c r="D49" s="29"/>
      <c r="E49" s="29"/>
      <c r="F49" s="68">
        <f>IF(B35=0,0,F41/B35)</f>
        <v>0.001730711050200554</v>
      </c>
      <c r="G49" s="69"/>
      <c r="H49" s="53"/>
    </row>
    <row r="50" spans="1:8" ht="15.75">
      <c r="A50" s="27"/>
      <c r="B50" s="53"/>
      <c r="C50" s="53"/>
      <c r="D50" s="53"/>
      <c r="E50" s="53"/>
      <c r="F50" s="53"/>
      <c r="G50" s="53"/>
      <c r="H50" s="53"/>
    </row>
    <row r="51" spans="1:8" ht="15.75">
      <c r="A51" s="27"/>
      <c r="B51" s="53"/>
      <c r="C51" s="53"/>
      <c r="D51" s="53"/>
      <c r="E51" s="53" t="s">
        <v>67</v>
      </c>
      <c r="F51" s="53"/>
      <c r="G51" s="68">
        <f>IF(B35=0,0,G43/B35)</f>
        <v>0</v>
      </c>
      <c r="H51" s="53"/>
    </row>
    <row r="52" spans="1:8" ht="15.75">
      <c r="A52" s="27"/>
      <c r="B52" s="53"/>
      <c r="C52" s="53"/>
      <c r="D52" s="53"/>
      <c r="E52" s="53"/>
      <c r="F52" s="53"/>
      <c r="G52" s="53"/>
      <c r="H52" s="53"/>
    </row>
  </sheetData>
  <sheetProtection sheet="1"/>
  <mergeCells count="4">
    <mergeCell ref="B6:B7"/>
    <mergeCell ref="C6:C7"/>
    <mergeCell ref="A3:H3"/>
    <mergeCell ref="D6:G6"/>
  </mergeCells>
  <printOptions/>
  <pageMargins left="1.5" right="0.75" top="0.25" bottom="0.18" header="0" footer="0"/>
  <pageSetup blackAndWhite="1" firstPageNumber="3" useFirstPageNumber="1" fitToHeight="1" fitToWidth="1" horizontalDpi="600" verticalDpi="600" orientation="landscape" scale="71" r:id="rId1"/>
  <headerFooter alignWithMargins="0">
    <oddHeader>&amp;RState of Kansas
County</oddHeader>
    <oddFooter>&amp;CPage No. 3</oddFooter>
  </headerFooter>
</worksheet>
</file>

<file path=xl/worksheets/sheet9.xml><?xml version="1.0" encoding="utf-8"?>
<worksheet xmlns="http://schemas.openxmlformats.org/spreadsheetml/2006/main" xmlns:r="http://schemas.openxmlformats.org/officeDocument/2006/relationships">
  <dimension ref="A1:F32"/>
  <sheetViews>
    <sheetView zoomScalePageLayoutView="0" workbookViewId="0" topLeftCell="A1">
      <selection activeCell="H67" sqref="H67"/>
    </sheetView>
  </sheetViews>
  <sheetFormatPr defaultColWidth="8.796875" defaultRowHeight="15"/>
  <cols>
    <col min="1" max="1" width="19.59765625" style="146" customWidth="1"/>
    <col min="2" max="2" width="20.3984375" style="146" customWidth="1"/>
    <col min="3" max="3" width="12.796875" style="146" customWidth="1"/>
    <col min="4" max="4" width="12" style="146" customWidth="1"/>
    <col min="5" max="5" width="12.796875" style="146" customWidth="1"/>
    <col min="6" max="6" width="13.296875" style="146" customWidth="1"/>
    <col min="7" max="16384" width="8.8984375" style="146" customWidth="1"/>
  </cols>
  <sheetData>
    <row r="1" spans="1:6" ht="15.75">
      <c r="A1" s="237"/>
      <c r="B1" s="90"/>
      <c r="C1" s="90"/>
      <c r="D1" s="90"/>
      <c r="E1" s="249"/>
      <c r="F1" s="90"/>
    </row>
    <row r="2" spans="1:6" ht="15.75">
      <c r="A2" s="147" t="str">
        <f>inputPrYr!C2</f>
        <v>Geary County</v>
      </c>
      <c r="B2" s="147"/>
      <c r="C2" s="90"/>
      <c r="D2" s="90"/>
      <c r="E2" s="249"/>
      <c r="F2" s="90">
        <f>inputPrYr!C4</f>
        <v>2012</v>
      </c>
    </row>
    <row r="3" spans="1:6" ht="15.75">
      <c r="A3" s="237"/>
      <c r="B3" s="147"/>
      <c r="C3" s="90"/>
      <c r="D3" s="90"/>
      <c r="E3" s="249"/>
      <c r="F3" s="90"/>
    </row>
    <row r="4" spans="1:6" ht="15.75">
      <c r="A4" s="237"/>
      <c r="B4" s="90"/>
      <c r="C4" s="90"/>
      <c r="D4" s="90"/>
      <c r="E4" s="249"/>
      <c r="F4" s="90"/>
    </row>
    <row r="5" spans="1:6" ht="15" customHeight="1">
      <c r="A5" s="760" t="s">
        <v>286</v>
      </c>
      <c r="B5" s="760"/>
      <c r="C5" s="760"/>
      <c r="D5" s="760"/>
      <c r="E5" s="760"/>
      <c r="F5" s="760"/>
    </row>
    <row r="6" spans="1:6" ht="14.25" customHeight="1">
      <c r="A6" s="238"/>
      <c r="B6" s="250"/>
      <c r="C6" s="250"/>
      <c r="D6" s="250"/>
      <c r="E6" s="250"/>
      <c r="F6" s="250"/>
    </row>
    <row r="7" spans="1:6" ht="15" customHeight="1">
      <c r="A7" s="251" t="s">
        <v>662</v>
      </c>
      <c r="B7" s="251" t="s">
        <v>663</v>
      </c>
      <c r="C7" s="252" t="s">
        <v>193</v>
      </c>
      <c r="D7" s="252" t="s">
        <v>307</v>
      </c>
      <c r="E7" s="252" t="s">
        <v>308</v>
      </c>
      <c r="F7" s="252" t="s">
        <v>340</v>
      </c>
    </row>
    <row r="8" spans="1:6" ht="15" customHeight="1">
      <c r="A8" s="253" t="s">
        <v>664</v>
      </c>
      <c r="B8" s="253" t="s">
        <v>665</v>
      </c>
      <c r="C8" s="254" t="s">
        <v>339</v>
      </c>
      <c r="D8" s="254" t="s">
        <v>339</v>
      </c>
      <c r="E8" s="254" t="s">
        <v>339</v>
      </c>
      <c r="F8" s="254" t="s">
        <v>341</v>
      </c>
    </row>
    <row r="9" spans="1:6" s="235" customFormat="1" ht="15" customHeight="1" thickBot="1">
      <c r="A9" s="255" t="s">
        <v>337</v>
      </c>
      <c r="B9" s="256" t="s">
        <v>338</v>
      </c>
      <c r="C9" s="257">
        <f>F2-2</f>
        <v>2010</v>
      </c>
      <c r="D9" s="257">
        <f>F2-1</f>
        <v>2011</v>
      </c>
      <c r="E9" s="257">
        <f>F2</f>
        <v>2012</v>
      </c>
      <c r="F9" s="256" t="s">
        <v>131</v>
      </c>
    </row>
    <row r="10" spans="1:6" ht="15" customHeight="1" thickTop="1">
      <c r="A10" s="724" t="s">
        <v>186</v>
      </c>
      <c r="B10" s="724" t="s">
        <v>132</v>
      </c>
      <c r="C10" s="258">
        <v>104636</v>
      </c>
      <c r="D10" s="258">
        <v>351</v>
      </c>
      <c r="E10" s="258">
        <v>222</v>
      </c>
      <c r="F10" s="725" t="s">
        <v>1049</v>
      </c>
    </row>
    <row r="11" spans="1:6" ht="15" customHeight="1">
      <c r="A11" s="727" t="s">
        <v>1052</v>
      </c>
      <c r="B11" s="727" t="s">
        <v>132</v>
      </c>
      <c r="C11" s="259">
        <v>22457</v>
      </c>
      <c r="D11" s="259">
        <v>600</v>
      </c>
      <c r="E11" s="259">
        <v>500</v>
      </c>
      <c r="F11" s="726" t="s">
        <v>1050</v>
      </c>
    </row>
    <row r="12" spans="1:6" ht="15" customHeight="1">
      <c r="A12" s="727" t="s">
        <v>1053</v>
      </c>
      <c r="B12" s="727" t="s">
        <v>132</v>
      </c>
      <c r="C12" s="259">
        <v>17000</v>
      </c>
      <c r="D12" s="259">
        <v>8900</v>
      </c>
      <c r="E12" s="259">
        <v>9281</v>
      </c>
      <c r="F12" s="726" t="s">
        <v>1049</v>
      </c>
    </row>
    <row r="13" spans="1:6" ht="15" customHeight="1">
      <c r="A13" s="727" t="s">
        <v>1054</v>
      </c>
      <c r="B13" s="727" t="s">
        <v>132</v>
      </c>
      <c r="C13" s="259">
        <v>63139</v>
      </c>
      <c r="D13" s="259">
        <v>50000</v>
      </c>
      <c r="E13" s="259">
        <v>50000</v>
      </c>
      <c r="F13" s="726" t="s">
        <v>1051</v>
      </c>
    </row>
    <row r="14" spans="1:6" ht="15" customHeight="1">
      <c r="A14" s="115" t="s">
        <v>1055</v>
      </c>
      <c r="B14" s="115" t="s">
        <v>132</v>
      </c>
      <c r="C14" s="259">
        <v>2</v>
      </c>
      <c r="D14" s="259">
        <v>0</v>
      </c>
      <c r="E14" s="259">
        <v>4</v>
      </c>
      <c r="F14" s="675" t="s">
        <v>1050</v>
      </c>
    </row>
    <row r="15" spans="1:6" ht="15" customHeight="1">
      <c r="A15" s="115" t="s">
        <v>1080</v>
      </c>
      <c r="B15" s="115" t="s">
        <v>132</v>
      </c>
      <c r="C15" s="259">
        <v>119</v>
      </c>
      <c r="D15" s="259">
        <v>0</v>
      </c>
      <c r="E15" s="259">
        <v>0</v>
      </c>
      <c r="F15" s="675" t="s">
        <v>1050</v>
      </c>
    </row>
    <row r="16" spans="1:6" ht="15" customHeight="1">
      <c r="A16" s="115" t="s">
        <v>1081</v>
      </c>
      <c r="B16" s="115" t="s">
        <v>132</v>
      </c>
      <c r="C16" s="259">
        <v>0</v>
      </c>
      <c r="D16" s="259">
        <v>0</v>
      </c>
      <c r="E16" s="259">
        <v>27084</v>
      </c>
      <c r="F16" s="675" t="s">
        <v>1050</v>
      </c>
    </row>
    <row r="17" spans="1:6" ht="15" customHeight="1">
      <c r="A17" s="115" t="s">
        <v>174</v>
      </c>
      <c r="B17" s="115" t="s">
        <v>1082</v>
      </c>
      <c r="C17" s="259">
        <v>150000</v>
      </c>
      <c r="D17" s="259">
        <v>0</v>
      </c>
      <c r="E17" s="259">
        <v>0</v>
      </c>
      <c r="F17" s="675" t="s">
        <v>1083</v>
      </c>
    </row>
    <row r="18" spans="1:6" ht="15" customHeight="1">
      <c r="A18" s="115" t="s">
        <v>174</v>
      </c>
      <c r="B18" s="115" t="s">
        <v>1084</v>
      </c>
      <c r="C18" s="259">
        <v>75</v>
      </c>
      <c r="D18" s="259">
        <v>0</v>
      </c>
      <c r="E18" s="259">
        <v>0</v>
      </c>
      <c r="F18" s="675" t="s">
        <v>1091</v>
      </c>
    </row>
    <row r="19" spans="1:6" ht="15" customHeight="1">
      <c r="A19" s="115" t="s">
        <v>1056</v>
      </c>
      <c r="B19" s="115" t="s">
        <v>1085</v>
      </c>
      <c r="C19" s="259">
        <v>15000</v>
      </c>
      <c r="D19" s="259">
        <v>0</v>
      </c>
      <c r="E19" s="259">
        <v>0</v>
      </c>
      <c r="F19" s="675" t="s">
        <v>860</v>
      </c>
    </row>
    <row r="20" spans="1:6" ht="15" customHeight="1">
      <c r="A20" s="115" t="s">
        <v>1086</v>
      </c>
      <c r="B20" s="115" t="s">
        <v>186</v>
      </c>
      <c r="C20" s="259">
        <v>10000</v>
      </c>
      <c r="D20" s="259">
        <v>0</v>
      </c>
      <c r="E20" s="259">
        <v>0</v>
      </c>
      <c r="F20" s="675" t="s">
        <v>1049</v>
      </c>
    </row>
    <row r="21" spans="1:6" ht="15" customHeight="1">
      <c r="A21" s="115"/>
      <c r="B21" s="115"/>
      <c r="C21" s="259"/>
      <c r="D21" s="259"/>
      <c r="E21" s="259"/>
      <c r="F21" s="675"/>
    </row>
    <row r="22" spans="1:6" ht="15" customHeight="1">
      <c r="A22" s="115"/>
      <c r="B22" s="115"/>
      <c r="C22" s="259"/>
      <c r="D22" s="259"/>
      <c r="E22" s="259"/>
      <c r="F22" s="675"/>
    </row>
    <row r="23" spans="1:6" ht="15" customHeight="1">
      <c r="A23" s="115"/>
      <c r="B23" s="115"/>
      <c r="C23" s="259"/>
      <c r="D23" s="259"/>
      <c r="E23" s="259"/>
      <c r="F23" s="675"/>
    </row>
    <row r="24" spans="1:6" ht="15" customHeight="1">
      <c r="A24" s="115"/>
      <c r="B24" s="115"/>
      <c r="C24" s="259"/>
      <c r="D24" s="259"/>
      <c r="E24" s="259"/>
      <c r="F24" s="675"/>
    </row>
    <row r="25" spans="1:6" ht="15" customHeight="1">
      <c r="A25" s="115"/>
      <c r="B25" s="115"/>
      <c r="C25" s="259"/>
      <c r="D25" s="259"/>
      <c r="E25" s="259"/>
      <c r="F25" s="675"/>
    </row>
    <row r="26" spans="1:6" ht="15" customHeight="1">
      <c r="A26" s="115"/>
      <c r="B26" s="115"/>
      <c r="C26" s="259"/>
      <c r="D26" s="259"/>
      <c r="E26" s="259"/>
      <c r="F26" s="675"/>
    </row>
    <row r="27" spans="1:6" ht="15.75">
      <c r="A27" s="140"/>
      <c r="B27" s="260" t="s">
        <v>133</v>
      </c>
      <c r="C27" s="123">
        <f>SUM(C10:C26)</f>
        <v>382428</v>
      </c>
      <c r="D27" s="123">
        <f>SUM(D10:D26)</f>
        <v>59851</v>
      </c>
      <c r="E27" s="123">
        <f>SUM(E10:E26)</f>
        <v>87091</v>
      </c>
      <c r="F27" s="140"/>
    </row>
    <row r="28" spans="1:6" ht="15.75">
      <c r="A28" s="140"/>
      <c r="B28" s="261" t="s">
        <v>660</v>
      </c>
      <c r="C28" s="109"/>
      <c r="D28" s="110">
        <v>50000</v>
      </c>
      <c r="E28" s="110">
        <v>50000</v>
      </c>
      <c r="F28" s="140"/>
    </row>
    <row r="29" spans="1:6" ht="15.75">
      <c r="A29" s="140"/>
      <c r="B29" s="260" t="s">
        <v>342</v>
      </c>
      <c r="C29" s="123">
        <f>C27</f>
        <v>382428</v>
      </c>
      <c r="D29" s="123">
        <f>SUM(D27-D28)</f>
        <v>9851</v>
      </c>
      <c r="E29" s="123">
        <f>SUM(E27-E28)</f>
        <v>37091</v>
      </c>
      <c r="F29" s="140"/>
    </row>
    <row r="30" spans="1:6" ht="15.75">
      <c r="A30" s="140"/>
      <c r="B30" s="140"/>
      <c r="C30" s="140"/>
      <c r="D30" s="140"/>
      <c r="E30" s="140"/>
      <c r="F30" s="140"/>
    </row>
    <row r="31" spans="1:6" ht="15.75">
      <c r="A31" s="140"/>
      <c r="B31" s="140"/>
      <c r="C31" s="140"/>
      <c r="D31" s="140"/>
      <c r="E31" s="140"/>
      <c r="F31" s="140"/>
    </row>
    <row r="32" spans="1:6" ht="15.75">
      <c r="A32" s="450" t="s">
        <v>661</v>
      </c>
      <c r="B32" s="451" t="str">
        <f>CONCATENATE("Adjustments are required only if the transfer is being made in ",D9," and/or ",E9," from a non-budgeted fund.")</f>
        <v>Adjustments are required only if the transfer is being made in 2011 and/or 2012 from a non-budgeted fund.</v>
      </c>
      <c r="C32" s="140"/>
      <c r="D32" s="140"/>
      <c r="E32" s="140"/>
      <c r="F32" s="140"/>
    </row>
  </sheetData>
  <sheetProtection/>
  <mergeCells count="1">
    <mergeCell ref="A5:F5"/>
  </mergeCells>
  <printOptions/>
  <pageMargins left="0.5" right="0.5" top="0.72" bottom="0.23" header="0.5" footer="0"/>
  <pageSetup blackAndWhite="1" horizontalDpi="120" verticalDpi="120" orientation="portrait" scale="85" r:id="rId1"/>
  <headerFooter alignWithMargins="0">
    <oddHeader>&amp;RState of Kansas
County
</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2011-08-09T13:10:17Z</cp:lastPrinted>
  <dcterms:created xsi:type="dcterms:W3CDTF">1998-08-26T13:26:11Z</dcterms:created>
  <dcterms:modified xsi:type="dcterms:W3CDTF">2014-01-19T22:18:55Z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athAndName">
    <vt:lpwstr>Y:\OfficeDocs\Junction City PGH\G\Geary County\Budget\2012 Budget\County1.xlsx</vt:lpwstr>
  </property>
</Properties>
</file>