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05"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Statutes" sheetId="9" r:id="rId9"/>
    <sheet name="debt" sheetId="10" r:id="rId10"/>
    <sheet name="lpform" sheetId="11" r:id="rId11"/>
    <sheet name="general" sheetId="12" r:id="rId12"/>
    <sheet name="gen-detail" sheetId="13" r:id="rId13"/>
    <sheet name="DebtService" sheetId="14" r:id="rId14"/>
    <sheet name="road" sheetId="15" r:id="rId15"/>
    <sheet name="levy page10" sheetId="16" r:id="rId16"/>
    <sheet name="levy page11" sheetId="17" r:id="rId17"/>
    <sheet name="levy page12" sheetId="18" r:id="rId18"/>
    <sheet name="levy page13" sheetId="19" r:id="rId19"/>
    <sheet name="no levy page14" sheetId="20" r:id="rId20"/>
    <sheet name="no levy page15" sheetId="21" r:id="rId21"/>
    <sheet name="no levy page16" sheetId="22" r:id="rId22"/>
    <sheet name="no levy page17" sheetId="23" r:id="rId23"/>
    <sheet name="no levy page18" sheetId="24" r:id="rId24"/>
    <sheet name="nonbudA" sheetId="25" r:id="rId25"/>
    <sheet name="nonbudB" sheetId="26" r:id="rId26"/>
    <sheet name="nonbudC" sheetId="27" r:id="rId27"/>
    <sheet name="summ" sheetId="28" r:id="rId28"/>
    <sheet name="Nhood" sheetId="29" r:id="rId29"/>
    <sheet name="Resolution" sheetId="30" r:id="rId30"/>
    <sheet name="NonBudFunds" sheetId="31" r:id="rId31"/>
    <sheet name="summ2" sheetId="32" r:id="rId32"/>
    <sheet name="Tab A" sheetId="33" r:id="rId33"/>
    <sheet name="Tab B" sheetId="34" r:id="rId34"/>
    <sheet name="Tab C" sheetId="35" r:id="rId35"/>
    <sheet name="Tab D" sheetId="36" r:id="rId36"/>
    <sheet name="Tab E" sheetId="37" r:id="rId37"/>
    <sheet name="Mill Rate Computation" sheetId="38" r:id="rId38"/>
    <sheet name="Helpful Links" sheetId="39" r:id="rId39"/>
    <sheet name="legend" sheetId="40" r:id="rId40"/>
    <sheet name="levy page14" sheetId="41" r:id="rId41"/>
    <sheet name="levy page15" sheetId="42" r:id="rId42"/>
    <sheet name="levy page16" sheetId="43" r:id="rId43"/>
    <sheet name="levy page17" sheetId="44" r:id="rId44"/>
    <sheet name="levy page18" sheetId="45" r:id="rId45"/>
    <sheet name="levy page19" sheetId="46" r:id="rId46"/>
    <sheet name="levy page20" sheetId="47" r:id="rId47"/>
    <sheet name="no levy page26" sheetId="48" r:id="rId48"/>
    <sheet name="no levy page27" sheetId="49" r:id="rId49"/>
    <sheet name="no levy page28" sheetId="50" r:id="rId50"/>
    <sheet name="nonbudD" sheetId="51" r:id="rId51"/>
    <sheet name="RoadDetail" sheetId="52" r:id="rId52"/>
    <sheet name="cert2" sheetId="53" r:id="rId53"/>
  </sheets>
  <definedNames>
    <definedName name="_xlnm.Print_Area" localSheetId="13">'DebtService'!$B$1:$E$63</definedName>
    <definedName name="_xlnm.Print_Area" localSheetId="1">'inputPrYr'!$A$1:$F$125</definedName>
    <definedName name="_xlnm.Print_Area" localSheetId="0">'instructions'!$A$1:$A$104</definedName>
    <definedName name="_xlnm.Print_Area" localSheetId="14">'road'!$B$1:$E$119</definedName>
    <definedName name="_xlnm.Print_Area" localSheetId="27">'summ'!$A$5:$H$59</definedName>
  </definedNames>
  <calcPr calcMode="manual" fullCalcOnLoad="1"/>
</workbook>
</file>

<file path=xl/sharedStrings.xml><?xml version="1.0" encoding="utf-8"?>
<sst xmlns="http://schemas.openxmlformats.org/spreadsheetml/2006/main" count="2553" uniqueCount="987">
  <si>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</si>
  <si>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</si>
  <si>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</si>
  <si>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</si>
  <si>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</si>
  <si>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</si>
  <si>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</si>
  <si>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</si>
  <si>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</si>
  <si>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</si>
  <si>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</si>
  <si>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</si>
  <si>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</si>
  <si>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</si>
  <si>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</si>
  <si>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</si>
  <si>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10b. Additionally, on the General fund page, we have placed 'Desired Carryover' which the city can place a desired carryover amount and the table will show the mill rate impact along with the expenditures required to reach the desired carryover.</t>
  </si>
  <si>
    <t>Outstanding Indebtness, January 1:</t>
  </si>
  <si>
    <t xml:space="preserve">  G.O. Bonds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</si>
  <si>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</si>
  <si>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</si>
  <si>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</si>
  <si>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</si>
  <si>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</si>
  <si>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</si>
  <si>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</si>
  <si>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6.  Motor Vehicle Allocation and Slider (mvalloc)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</si>
  <si>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</si>
  <si>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</si>
  <si>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</si>
  <si>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</si>
  <si>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</si>
  <si>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</si>
  <si>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</si>
  <si>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</si>
  <si>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</si>
  <si>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The fourth green shaded area, enter the page number.</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</si>
  <si>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</si>
  <si>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</si>
  <si>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</si>
  <si>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</si>
  <si>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13. Added to instruction line 9c about the miscellaneous receipt for the proposed year takes into account the ad valorem taxes for the 10% Rule.</t>
  </si>
  <si>
    <t>14. Added to instruction line 6 for using chartered ordinance number in place of statute reference.</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</si>
  <si>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</si>
  <si>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</si>
  <si>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</si>
  <si>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</si>
  <si>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</si>
  <si>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</si>
  <si>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</si>
  <si>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</si>
  <si>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</si>
  <si>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</si>
  <si>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</si>
  <si>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</si>
  <si>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</si>
  <si>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</si>
  <si>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</si>
  <si>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</si>
  <si>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</si>
  <si>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</si>
  <si>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</si>
  <si>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</si>
  <si>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</si>
  <si>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</si>
  <si>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</si>
  <si>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</si>
  <si>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</si>
  <si>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</si>
  <si>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</si>
  <si>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</si>
  <si>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</si>
  <si>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</si>
  <si>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Transfer from General</t>
  </si>
  <si>
    <t>Transfer from SW</t>
  </si>
  <si>
    <t>Transfers to SW CO</t>
  </si>
  <si>
    <t>Transient Guest Tax</t>
  </si>
  <si>
    <t xml:space="preserve">  Transfer to Equipment Reserve</t>
  </si>
  <si>
    <t>Pottberg, Gassman &amp;</t>
  </si>
  <si>
    <t xml:space="preserve">   Hoffman, Chartered</t>
  </si>
  <si>
    <t>505 NW 3rd, Suite 1</t>
  </si>
  <si>
    <t>Abilene, KS  67410</t>
  </si>
  <si>
    <t>19-119</t>
  </si>
  <si>
    <t>Special Highway</t>
  </si>
  <si>
    <t>68-589</t>
  </si>
  <si>
    <t>SW Capital Outlay</t>
  </si>
  <si>
    <t>Landfill Improvement</t>
  </si>
  <si>
    <t>Landfill-Post/Closure</t>
  </si>
  <si>
    <t>Flood Control</t>
  </si>
  <si>
    <t>Mortgage Registration Tax</t>
  </si>
  <si>
    <t>Officers' Fees</t>
  </si>
  <si>
    <t>Drivers' Licenses and Notary Fees</t>
  </si>
  <si>
    <t>Diversion Fees</t>
  </si>
  <si>
    <t>August 22, 2011</t>
  </si>
  <si>
    <t>9:30 AM</t>
  </si>
  <si>
    <t>Clay County Courthouse</t>
  </si>
  <si>
    <t>County Clerk's office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</si>
  <si>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</si>
  <si>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</si>
  <si>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</si>
  <si>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</si>
  <si>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</si>
  <si>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</si>
  <si>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</si>
  <si>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</si>
  <si>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</si>
  <si>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</si>
  <si>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</si>
  <si>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</si>
  <si>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</si>
  <si>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</si>
  <si>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</si>
  <si>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</si>
  <si>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</si>
  <si>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</si>
  <si>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</si>
  <si>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TOTAL</t>
  </si>
  <si>
    <t>County Treas Motor Vehicle Estimate</t>
  </si>
  <si>
    <t>County Treasurers Recreational Vehicle Estimate</t>
  </si>
  <si>
    <t>Motor Vehicle Factor</t>
  </si>
  <si>
    <t>MVT</t>
  </si>
  <si>
    <t>Totals</t>
  </si>
  <si>
    <t>District Court</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</si>
  <si>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</si>
  <si>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</si>
  <si>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</si>
  <si>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</si>
  <si>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</si>
  <si>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</si>
  <si>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</si>
  <si>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</si>
  <si>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</si>
  <si>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</si>
  <si>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</si>
  <si>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</si>
  <si>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</si>
  <si>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</si>
  <si>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</si>
  <si>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</si>
  <si>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</si>
  <si>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</si>
  <si>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</si>
  <si>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</si>
  <si>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</si>
  <si>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</si>
  <si>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Ambulance</t>
  </si>
  <si>
    <t>Appraisal</t>
  </si>
  <si>
    <t>County Commission</t>
  </si>
  <si>
    <t>County Treasurer</t>
  </si>
  <si>
    <t>Economic Development</t>
  </si>
  <si>
    <t>Election</t>
  </si>
  <si>
    <t>Emergency Services</t>
  </si>
  <si>
    <t>Employee Benefits</t>
  </si>
  <si>
    <t>Health</t>
  </si>
  <si>
    <t>Historical</t>
  </si>
  <si>
    <t>Law Enforcement</t>
  </si>
  <si>
    <t>Register of Deeds</t>
  </si>
  <si>
    <t>Road &amp; Bridge</t>
  </si>
  <si>
    <t>Solid Waste</t>
  </si>
  <si>
    <t>Other</t>
  </si>
  <si>
    <t>Page No.</t>
  </si>
  <si>
    <t xml:space="preserve"> </t>
  </si>
  <si>
    <t>Prior Year Actual</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</si>
  <si>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</si>
  <si>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</si>
  <si>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</si>
  <si>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</si>
  <si>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</si>
  <si>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</si>
  <si>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</si>
  <si>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</si>
  <si>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</si>
  <si>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</si>
  <si>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</si>
  <si>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</si>
  <si>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</si>
  <si>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</si>
  <si>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</si>
  <si>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</si>
  <si>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</si>
  <si>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</si>
  <si>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</si>
  <si>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</si>
  <si>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</si>
  <si>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</si>
  <si>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</si>
  <si>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</si>
  <si>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</si>
  <si>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</si>
  <si>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</si>
  <si>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</si>
  <si>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</si>
  <si>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</si>
  <si>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</si>
  <si>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</si>
  <si>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</si>
  <si>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</si>
  <si>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</si>
  <si>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</si>
  <si>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</si>
  <si>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</si>
  <si>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</si>
  <si>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 M Vehicle Tax</t>
  </si>
  <si>
    <t>CERTIFICATE</t>
  </si>
  <si>
    <t>STATEMENT OF CONDITIONAL LEASE-PURCHASE AND CERTIFICATE OF PARTICIPATION*</t>
  </si>
  <si>
    <t>NOTICE OF BUDGET HEARING</t>
  </si>
  <si>
    <t>BUDGET SUMMARY</t>
  </si>
  <si>
    <t>FUND PAGE - GENERAL</t>
  </si>
  <si>
    <t>FUND PAGE - GENERAL DETAIL</t>
  </si>
  <si>
    <t>FUND PAGE - ROAD</t>
  </si>
  <si>
    <t>FUND PAGE - ROAD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</si>
  <si>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</si>
  <si>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</si>
  <si>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</si>
  <si>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</si>
  <si>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</si>
  <si>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</si>
  <si>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</si>
  <si>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</si>
  <si>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</si>
  <si>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</si>
  <si>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</si>
  <si>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</si>
  <si>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</si>
  <si>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</si>
  <si>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</si>
  <si>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</si>
  <si>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</si>
  <si>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</si>
  <si>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</si>
  <si>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</si>
  <si>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</si>
  <si>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</si>
  <si>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</si>
  <si>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</si>
  <si>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</si>
  <si>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</si>
  <si>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</si>
  <si>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</si>
  <si>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</si>
  <si>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</si>
  <si>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</si>
  <si>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</si>
  <si>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</si>
  <si>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</si>
  <si>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</si>
  <si>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</si>
  <si>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</si>
  <si>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</si>
  <si>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</si>
  <si>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</si>
  <si>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</si>
  <si>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</si>
  <si>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</si>
  <si>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</si>
  <si>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</si>
  <si>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</si>
  <si>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</si>
  <si>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</si>
  <si>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</si>
  <si>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</si>
  <si>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</si>
  <si>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</si>
  <si>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</si>
  <si>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</si>
  <si>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</si>
  <si>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</si>
  <si>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COUNTY RESOLUTION</t>
  </si>
  <si>
    <t>RESOLUTION NO.__________________</t>
  </si>
  <si>
    <t>Whereas, budgeting, taxing and service level decisions for all county services are the responsibility of the board of county commissioners; and</t>
  </si>
  <si>
    <t>Whereas, the cost of provision of these services continues to increase; and</t>
  </si>
  <si>
    <t>BOARD OF COUNTY COMMISSIONERS</t>
  </si>
  <si>
    <t>___________________________________.</t>
  </si>
  <si>
    <t>ATTEST:</t>
  </si>
  <si>
    <t>________________________________.</t>
  </si>
  <si>
    <t>, County Clerk</t>
  </si>
  <si>
    <t>(Attach a signed copy to the budget)</t>
  </si>
  <si>
    <t xml:space="preserve">                                                                          16/20M Vehicle Factor</t>
  </si>
  <si>
    <t xml:space="preserve">                                         Recreational Vehicle Factor</t>
  </si>
  <si>
    <t>Current</t>
  </si>
  <si>
    <t>Proposed</t>
  </si>
  <si>
    <t>Total - Page 7b</t>
  </si>
  <si>
    <t>Total - Page7b</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</si>
  <si>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</si>
  <si>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</si>
  <si>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</si>
  <si>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</si>
  <si>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</si>
  <si>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</si>
  <si>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</si>
  <si>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</si>
  <si>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</si>
  <si>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</si>
  <si>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</si>
  <si>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</si>
  <si>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</si>
  <si>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</si>
  <si>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Current Year Estimate</t>
  </si>
  <si>
    <t>Proposed Budget Year</t>
  </si>
  <si>
    <t>In Lieu of Tax (IRB)</t>
  </si>
  <si>
    <t xml:space="preserve"> Commissioners will be published in the _________ (newspaper).   Interested persons can also address questions concerning the budget to __________ (office) _______ by calling ___________ between the hours of ________ a.m. to ________ p.m., Monday through Fridays, excluding holidays.  </t>
  </si>
  <si>
    <t>Neighborhood Revitalization</t>
  </si>
  <si>
    <t>LAVTR</t>
  </si>
  <si>
    <t>City and County Revenue Sharing</t>
  </si>
  <si>
    <t>Slider</t>
  </si>
  <si>
    <t>Computation of Delinquency</t>
  </si>
  <si>
    <t>Rate used in this budget will be shown on all fund pages with a tax levy**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</si>
  <si>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</si>
  <si>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</si>
  <si>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</si>
  <si>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</si>
  <si>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</si>
  <si>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</si>
  <si>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</si>
  <si>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</si>
  <si>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</si>
  <si>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</si>
  <si>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</si>
  <si>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</si>
  <si>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</si>
  <si>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</si>
  <si>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</si>
  <si>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</si>
  <si>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</si>
  <si>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</si>
  <si>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</si>
  <si>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</si>
  <si>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</si>
  <si>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</si>
  <si>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</si>
  <si>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</si>
  <si>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</si>
  <si>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</si>
  <si>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 xml:space="preserve">  Revenue Bonds</t>
  </si>
  <si>
    <t xml:space="preserve">  Other</t>
  </si>
  <si>
    <t xml:space="preserve">  Lease Purchase Principal</t>
  </si>
  <si>
    <t>We, the undersigned, officers of</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</si>
  <si>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</si>
  <si>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</si>
  <si>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</si>
  <si>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</si>
  <si>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</si>
  <si>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</si>
  <si>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</si>
  <si>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</si>
  <si>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</si>
  <si>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</si>
  <si>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</si>
  <si>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</si>
  <si>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</si>
  <si>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10g.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</si>
  <si>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10h. The non-budgeted pages in the last column, the last two boxes should have the same figures as the last box take totals from the right side with the next to last box takes totals from the bottom.</t>
  </si>
  <si>
    <r>
      <t xml:space="preserve">10i.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</si>
  <si>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10j. Each fund after the "unencumbered cash bal dec31", will show the budget authority expenditure amount for the actual and current year. </t>
  </si>
  <si>
    <r>
      <t>10k.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</si>
  <si>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10l.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</si>
  <si>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10m.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</si>
  <si>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</si>
  <si>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</si>
  <si>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</si>
  <si>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t>
  </si>
  <si>
    <t>12f. If the Special District budgets are computed by the County Clerk, the Clerk could complete the County Spec District.xls spreadsheet and this spreadsheet would be included with the county's budget.  Both Budget Summary pages would be taken to the newspaper for publication.</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</si>
  <si>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</si>
  <si>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</si>
  <si>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</si>
  <si>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</si>
  <si>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</si>
  <si>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</si>
  <si>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</si>
  <si>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</si>
  <si>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</si>
  <si>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</si>
  <si>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</si>
  <si>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</si>
  <si>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</si>
  <si>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</si>
  <si>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The following were changed to this spreadsheet on 4/19/11</t>
  </si>
  <si>
    <t>1. Summ tabs changed proposed year expenditure column to 'Budget Authority for Expenditures'</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</si>
  <si>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</si>
  <si>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</si>
  <si>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</si>
  <si>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</si>
  <si>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</si>
  <si>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</si>
  <si>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</si>
  <si>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</si>
  <si>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</si>
  <si>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</si>
  <si>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</si>
  <si>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</si>
  <si>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</si>
  <si>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</si>
  <si>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</si>
  <si>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</si>
  <si>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</si>
  <si>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</si>
  <si>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</si>
  <si>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</si>
  <si>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</si>
  <si>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Total  - Page 7c</t>
  </si>
  <si>
    <t>Grants &amp; Collections</t>
  </si>
  <si>
    <t xml:space="preserve"> Salaries</t>
  </si>
  <si>
    <t>Contractual</t>
  </si>
  <si>
    <t>Commodities</t>
  </si>
  <si>
    <t>Capital Outlay</t>
  </si>
  <si>
    <t>Collections</t>
  </si>
  <si>
    <t>Transfer to NW Capital Outlay</t>
  </si>
  <si>
    <t>Appropriation</t>
  </si>
  <si>
    <t>Social Security</t>
  </si>
  <si>
    <t>KPERS</t>
  </si>
  <si>
    <t>Unemployment Tax</t>
  </si>
  <si>
    <t>Workmen's Comp</t>
  </si>
  <si>
    <t>Life Insurance</t>
  </si>
  <si>
    <t>Health Insurance</t>
  </si>
  <si>
    <t>Rental Vehicle Excise Tax</t>
  </si>
  <si>
    <t>Bond Principal</t>
  </si>
  <si>
    <t>Interest Payments</t>
  </si>
  <si>
    <t>Contractual Services</t>
  </si>
  <si>
    <t>Wakefield Parks - Wages</t>
  </si>
  <si>
    <t>Juvenile Detention</t>
  </si>
  <si>
    <t>Malt Beverage Stamp</t>
  </si>
  <si>
    <t>Health Department</t>
  </si>
  <si>
    <t>Transfer to Equipment Reserve</t>
  </si>
  <si>
    <t>Commission &amp; Postage</t>
  </si>
  <si>
    <t>Cash Basis Requirement</t>
  </si>
  <si>
    <t>Commissions</t>
  </si>
  <si>
    <t>Sales Tax Collections</t>
  </si>
  <si>
    <t>KDOT Loan</t>
  </si>
  <si>
    <t>Capital Projects</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</si>
  <si>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</si>
  <si>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</si>
  <si>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</si>
  <si>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</si>
  <si>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</si>
  <si>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</si>
  <si>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</si>
  <si>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</si>
  <si>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</si>
  <si>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</si>
  <si>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</si>
  <si>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</si>
  <si>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</si>
  <si>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</si>
  <si>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</si>
  <si>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</si>
  <si>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</si>
  <si>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</si>
  <si>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</si>
  <si>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</si>
  <si>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</si>
  <si>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</si>
  <si>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</si>
  <si>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</si>
  <si>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</si>
  <si>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</si>
  <si>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</si>
  <si>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</si>
  <si>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</si>
  <si>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</si>
  <si>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</si>
  <si>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</si>
  <si>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</si>
  <si>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</si>
  <si>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</si>
  <si>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</si>
  <si>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</si>
  <si>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</si>
  <si>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</si>
  <si>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</si>
  <si>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</si>
  <si>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</si>
  <si>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</si>
  <si>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</si>
  <si>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</si>
  <si>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</si>
  <si>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</si>
  <si>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</si>
  <si>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</si>
  <si>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</si>
  <si>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</si>
  <si>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</si>
  <si>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</si>
  <si>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</si>
  <si>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</si>
  <si>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</si>
  <si>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</si>
  <si>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</si>
  <si>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</si>
  <si>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</si>
  <si>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</si>
  <si>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</si>
  <si>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</si>
  <si>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</si>
  <si>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</si>
  <si>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</si>
  <si>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</si>
  <si>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</si>
  <si>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</si>
  <si>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</si>
  <si>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</si>
  <si>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</si>
  <si>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</si>
  <si>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</si>
  <si>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</si>
  <si>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</si>
  <si>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</si>
  <si>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</si>
  <si>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</si>
  <si>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</si>
  <si>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</si>
  <si>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</si>
  <si>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</si>
  <si>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</si>
  <si>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</si>
  <si>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</si>
  <si>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</si>
  <si>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</si>
  <si>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</si>
  <si>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</si>
  <si>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</si>
  <si>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</si>
  <si>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</si>
  <si>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</si>
  <si>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</si>
  <si>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</si>
  <si>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</si>
  <si>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</si>
  <si>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</si>
  <si>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</si>
  <si>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</si>
  <si>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</si>
  <si>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</si>
  <si>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</si>
  <si>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</si>
  <si>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</si>
  <si>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</si>
  <si>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</si>
  <si>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</si>
  <si>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</si>
  <si>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</si>
  <si>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</si>
  <si>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</si>
  <si>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</si>
  <si>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</si>
  <si>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</si>
  <si>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</si>
  <si>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</si>
  <si>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</si>
  <si>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</si>
  <si>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</si>
  <si>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</si>
  <si>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</si>
  <si>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</si>
  <si>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</si>
  <si>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</si>
  <si>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</si>
  <si>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</si>
  <si>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</si>
  <si>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</si>
  <si>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</si>
  <si>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</si>
  <si>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</si>
  <si>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</si>
  <si>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</si>
  <si>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</si>
  <si>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</si>
  <si>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</si>
  <si>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</si>
  <si>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</si>
  <si>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</si>
  <si>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</si>
  <si>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</si>
  <si>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</si>
  <si>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</si>
  <si>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</si>
  <si>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</si>
  <si>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</si>
  <si>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</si>
  <si>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t>Attest: ______________________</t>
  </si>
  <si>
    <t>Special City &amp; County Highway</t>
  </si>
  <si>
    <t>County Equalization</t>
  </si>
  <si>
    <t>Expenditures from detail page:</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</si>
  <si>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</si>
  <si>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</si>
  <si>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</si>
  <si>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</si>
  <si>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</si>
  <si>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</si>
  <si>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</si>
  <si>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</si>
  <si>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</si>
  <si>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</si>
  <si>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</si>
  <si>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</si>
  <si>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</si>
  <si>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</si>
  <si>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</si>
  <si>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</si>
  <si>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</si>
  <si>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</si>
  <si>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</si>
  <si>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</si>
  <si>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</si>
  <si>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</si>
  <si>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</si>
  <si>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r>
      <t>**</t>
    </r>
    <r>
      <rPr>
        <sz val="12"/>
        <rFont val="Times New Roman"/>
        <family val="1"/>
      </rPr>
      <t xml:space="preserve"> Note: The Total Detail Expenditures amounts should agree to Road Subtotal amounts.</t>
    </r>
  </si>
  <si>
    <r>
      <t>Total Detail Expenditures</t>
    </r>
    <r>
      <rPr>
        <sz val="12"/>
        <color indexed="10"/>
        <rFont val="Times New Roman"/>
        <family val="1"/>
      </rPr>
      <t>**</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</si>
  <si>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</si>
  <si>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</si>
  <si>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</si>
  <si>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</si>
  <si>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</si>
  <si>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</si>
  <si>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</si>
  <si>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</si>
  <si>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</si>
  <si>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</si>
  <si>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</si>
  <si>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</si>
  <si>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</si>
  <si>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</si>
  <si>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</si>
  <si>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</si>
  <si>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</si>
  <si>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</si>
  <si>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</si>
  <si>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</si>
  <si>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</si>
  <si>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</si>
  <si>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</si>
  <si>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</si>
  <si>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</si>
  <si>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</si>
  <si>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</si>
  <si>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</si>
  <si>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</si>
  <si>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</si>
  <si>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</si>
  <si>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</si>
  <si>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</si>
  <si>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</si>
  <si>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</si>
  <si>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</si>
  <si>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</si>
  <si>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</si>
  <si>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</si>
  <si>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</si>
  <si>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</si>
  <si>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</si>
  <si>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</si>
  <si>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</si>
  <si>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</si>
  <si>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</si>
  <si>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</si>
  <si>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</si>
  <si>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</si>
  <si>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</si>
  <si>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</si>
  <si>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</si>
  <si>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</si>
  <si>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</si>
  <si>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</si>
  <si>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</si>
  <si>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</si>
  <si>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</si>
  <si>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</si>
  <si>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</si>
  <si>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</si>
  <si>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</si>
  <si>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</si>
  <si>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</si>
  <si>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t>Interest on Delinquent Taxes</t>
  </si>
  <si>
    <t>Transfers In</t>
  </si>
  <si>
    <t>Mental Retardation</t>
  </si>
  <si>
    <t>Mental Health</t>
  </si>
  <si>
    <t>Fair Premiums</t>
  </si>
  <si>
    <t>Elderly</t>
  </si>
  <si>
    <t>Conservation District</t>
  </si>
  <si>
    <t>Employee Benefits - Mowing</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</si>
  <si>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</si>
  <si>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</si>
  <si>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</si>
  <si>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</si>
  <si>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</si>
  <si>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</si>
  <si>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</si>
  <si>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</si>
  <si>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</si>
  <si>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</si>
  <si>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</si>
  <si>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</si>
  <si>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</si>
  <si>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</si>
  <si>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</si>
  <si>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</si>
  <si>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</si>
  <si>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</si>
  <si>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</si>
  <si>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</si>
  <si>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</si>
  <si>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Bridge Refunding</t>
  </si>
  <si>
    <t>Series 2002A</t>
  </si>
  <si>
    <t>3.9 - 5.1</t>
  </si>
  <si>
    <t>3.35-4.25</t>
  </si>
  <si>
    <t>4/1 &amp; 10/1</t>
  </si>
  <si>
    <t>KDOT Revolving Fund</t>
  </si>
  <si>
    <t>2/1 &amp; 8/1</t>
  </si>
  <si>
    <t>Reimbursement from R of D Technology</t>
  </si>
  <si>
    <t>Dispatcher &amp; Law Enforcement</t>
  </si>
  <si>
    <t>Rental Vehicle Tax</t>
  </si>
  <si>
    <t>Radio Standby</t>
  </si>
  <si>
    <t>Ambulance Services</t>
  </si>
  <si>
    <t>Prisoner Board</t>
  </si>
  <si>
    <t>EMPG Grant</t>
  </si>
  <si>
    <t>Motor Vehicle Registration Fees</t>
  </si>
  <si>
    <t>Reimbursed Expenses</t>
  </si>
  <si>
    <t>Transfer from Special Highway</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</si>
  <si>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</si>
  <si>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</si>
  <si>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Compensating Use Tax</t>
  </si>
  <si>
    <t>Local Sales Tax</t>
  </si>
  <si>
    <t>Does miscellaneous exceed 10% of Total Exp</t>
  </si>
  <si>
    <t>Does miscellaneous exceed 10% of Total Rec</t>
  </si>
  <si>
    <t xml:space="preserve">Road &amp; Bridge Fund </t>
  </si>
  <si>
    <t>General Fund - Detail Expenditures</t>
  </si>
  <si>
    <t>Non-Appropriated Balance</t>
  </si>
  <si>
    <t>Total Expenditure/Non-Appr Balance</t>
  </si>
  <si>
    <t>Delinquent Comp Rate:</t>
  </si>
  <si>
    <t>Desired Carryover Amount:</t>
  </si>
  <si>
    <t>Estimated Mill Rate Impact:</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</si>
  <si>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</si>
  <si>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</si>
  <si>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</si>
  <si>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</si>
  <si>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</si>
  <si>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</si>
  <si>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</si>
  <si>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</si>
  <si>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</si>
  <si>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</si>
  <si>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</si>
  <si>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</si>
  <si>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</si>
  <si>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</si>
  <si>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</si>
  <si>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</si>
  <si>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</si>
  <si>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</si>
  <si>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</si>
  <si>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</si>
  <si>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</si>
  <si>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</si>
  <si>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</si>
  <si>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</si>
  <si>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</si>
  <si>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</si>
  <si>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</si>
  <si>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</si>
  <si>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</si>
  <si>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</si>
  <si>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</si>
  <si>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</si>
  <si>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</si>
  <si>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</si>
  <si>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</si>
  <si>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</si>
  <si>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</si>
  <si>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</si>
  <si>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</si>
  <si>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</si>
  <si>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</si>
  <si>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</si>
  <si>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</si>
  <si>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</si>
  <si>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</si>
  <si>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</si>
  <si>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</si>
  <si>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</si>
  <si>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</si>
  <si>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</si>
  <si>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</si>
  <si>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</si>
  <si>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</si>
  <si>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</si>
  <si>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</si>
  <si>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</si>
  <si>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</si>
  <si>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</si>
  <si>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</si>
  <si>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</si>
  <si>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</si>
  <si>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</si>
  <si>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</si>
  <si>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</si>
  <si>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</si>
  <si>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</si>
  <si>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</si>
  <si>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</si>
  <si>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</si>
  <si>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</si>
  <si>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</si>
  <si>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</si>
  <si>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</si>
  <si>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</si>
  <si>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</si>
  <si>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</si>
  <si>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</si>
  <si>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</si>
  <si>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</si>
  <si>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</si>
  <si>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</si>
  <si>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</si>
  <si>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</si>
  <si>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</si>
  <si>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</si>
  <si>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</si>
  <si>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</si>
  <si>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</si>
  <si>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</si>
  <si>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</si>
  <si>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</si>
  <si>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</si>
  <si>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</si>
  <si>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</si>
  <si>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</si>
  <si>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</si>
  <si>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</si>
  <si>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</si>
  <si>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</si>
  <si>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</si>
  <si>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</si>
  <si>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</si>
  <si>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</si>
  <si>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</si>
  <si>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</si>
  <si>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</si>
  <si>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</si>
  <si>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</si>
  <si>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</si>
  <si>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</si>
  <si>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</si>
  <si>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</si>
  <si>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</si>
  <si>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</si>
  <si>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</si>
  <si>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10e.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</si>
  <si>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</si>
  <si>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</si>
  <si>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</si>
  <si>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</si>
  <si>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</si>
  <si>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</si>
  <si>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</si>
  <si>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</si>
  <si>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</si>
  <si>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</si>
  <si>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</si>
  <si>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</si>
  <si>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</si>
  <si>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Allocation Veh Taxes, Slider &amp; Neigh Revital</t>
  </si>
  <si>
    <t>County Treasurers Slider Estimate</t>
  </si>
  <si>
    <t>Slider Factor</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</si>
  <si>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</si>
  <si>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</si>
  <si>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</si>
  <si>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</si>
  <si>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</si>
  <si>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</si>
  <si>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</si>
  <si>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Allocation of Motor, Recreational, 16/20M Vehicle Taxes &amp; Slider</t>
  </si>
  <si>
    <t>Miscellaneous</t>
  </si>
  <si>
    <t>Does miscellaneous exceed 10% of Total Receipts</t>
  </si>
  <si>
    <t>Neighborhood Revitalization Rebate</t>
  </si>
  <si>
    <t>Does miscellaneous exceed 10% of Total Expenditure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</si>
  <si>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</si>
  <si>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</si>
  <si>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</si>
  <si>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</si>
  <si>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</si>
  <si>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</si>
  <si>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</si>
  <si>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</si>
  <si>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</si>
  <si>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</si>
  <si>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</si>
  <si>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</si>
  <si>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</si>
  <si>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</si>
  <si>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</si>
  <si>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</si>
  <si>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</si>
  <si>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</si>
  <si>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</si>
  <si>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</si>
  <si>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</si>
  <si>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</si>
  <si>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</si>
  <si>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</si>
  <si>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</si>
  <si>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</si>
  <si>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</si>
  <si>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</si>
  <si>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</si>
  <si>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</si>
  <si>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</si>
  <si>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</si>
  <si>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</si>
  <si>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</si>
  <si>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</si>
  <si>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</si>
  <si>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</si>
  <si>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</si>
  <si>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</si>
  <si>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t>
  </si>
  <si>
    <t>Alcohol Tax</t>
  </si>
  <si>
    <t>Disbursements</t>
  </si>
  <si>
    <t>Personal Services</t>
  </si>
  <si>
    <t>Alcohol Drug Programs</t>
  </si>
  <si>
    <t>Transfer from Noxious Weed</t>
  </si>
  <si>
    <t>Special Assessments</t>
  </si>
  <si>
    <t>Reimbursements</t>
  </si>
  <si>
    <t>Transfer to Landfill Post-Closure</t>
  </si>
  <si>
    <t>Transfer to Landfill Improvement</t>
  </si>
  <si>
    <t>Transfer to Solid Waste Capital Outlay</t>
  </si>
  <si>
    <t>Transfer from Solid Waste</t>
  </si>
  <si>
    <t>Telephone User Fees</t>
  </si>
  <si>
    <t>Equipment &amp; Operations</t>
  </si>
  <si>
    <t>State Grant</t>
  </si>
  <si>
    <t>Interest Income</t>
  </si>
  <si>
    <t>Transfers Out</t>
  </si>
  <si>
    <t>Transfer from Landfill Improvement</t>
  </si>
  <si>
    <t>Fees Collected</t>
  </si>
  <si>
    <t>Grant Program</t>
  </si>
  <si>
    <t>Clay Counts - Prevention</t>
  </si>
  <si>
    <t>Inmate Work Release</t>
  </si>
  <si>
    <t>Registered Offender</t>
  </si>
  <si>
    <t>Concealed Hand Gun Carry</t>
  </si>
  <si>
    <t>Emergency Mngmt Grant</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</si>
  <si>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</si>
  <si>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</si>
  <si>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</si>
  <si>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</si>
  <si>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</si>
  <si>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</si>
  <si>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</si>
  <si>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</si>
  <si>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</si>
  <si>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</si>
  <si>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</si>
  <si>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</si>
  <si>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</si>
  <si>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</si>
  <si>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</si>
  <si>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Courthouse General</t>
  </si>
  <si>
    <t>Custodian</t>
  </si>
  <si>
    <t>County Attorney</t>
  </si>
  <si>
    <t>Fair Maintenance</t>
  </si>
  <si>
    <t>Mowing</t>
  </si>
  <si>
    <t>County Bond &amp; Interest</t>
  </si>
  <si>
    <t>Noxious Weed</t>
  </si>
  <si>
    <t>Courthouse Maintenance</t>
  </si>
  <si>
    <t>65-204</t>
  </si>
  <si>
    <t>2-1318</t>
  </si>
  <si>
    <t>19-15,11</t>
  </si>
  <si>
    <t>19-2651</t>
  </si>
  <si>
    <t>12-16,102</t>
  </si>
  <si>
    <t>19-1402-10</t>
  </si>
  <si>
    <t>68-1135</t>
  </si>
  <si>
    <t>Special Bridge</t>
  </si>
  <si>
    <t>Special Parks &amp; Recreation</t>
  </si>
  <si>
    <t>Special Alcohol</t>
  </si>
  <si>
    <t>Bridge Improvement Sales Tax</t>
  </si>
  <si>
    <t>Noxious Weed Capital Outlay</t>
  </si>
  <si>
    <t>Solid Waste Capital Outlay</t>
  </si>
  <si>
    <t>Emergency 911</t>
  </si>
  <si>
    <t>Cell Phone 911</t>
  </si>
  <si>
    <t>Convention &amp; Tourism</t>
  </si>
  <si>
    <t>Equipment Reserve</t>
  </si>
  <si>
    <t>Spec Highway Improvement</t>
  </si>
  <si>
    <t>Sheriffs Drug Asset Forfiet</t>
  </si>
  <si>
    <t>2002 Series A Bond Money</t>
  </si>
  <si>
    <t>Solid Waste Landfill Improve</t>
  </si>
  <si>
    <t>Landfill Post Closure Fund</t>
  </si>
  <si>
    <t>Reg of Deeds Technology</t>
  </si>
  <si>
    <t>Ambulance Grant</t>
  </si>
  <si>
    <t>Clay County</t>
  </si>
  <si>
    <t>Nox Weed Cap Outlay</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</si>
</sst>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s>
  <fonts count="8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val="single"/>
      <sz val="8"/>
      <color indexed="10"/>
      <name val="Times New Roman"/>
      <family val="1"/>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u val="single"/>
      <sz val="8"/>
      <name val="Times New Roman"/>
      <family val="1"/>
    </font>
    <font>
      <b/>
      <u val="single"/>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s>
  <cellStyleXfs count="40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0"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787">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horizontal="centerContinuous"/>
    </xf>
    <xf numFmtId="37" fontId="4" fillId="0" borderId="0" xfId="0" applyNumberFormat="1" applyFont="1" applyAlignment="1" applyProtection="1">
      <alignment horizontal="left"/>
      <protection locked="0"/>
    </xf>
    <xf numFmtId="37" fontId="4" fillId="0" borderId="0" xfId="0" applyNumberFormat="1" applyFont="1" applyAlignment="1" applyProtection="1">
      <alignment horizontal="center"/>
      <protection locked="0"/>
    </xf>
    <xf numFmtId="0" fontId="4" fillId="0" borderId="0" xfId="0" applyFont="1" applyAlignment="1">
      <alignment/>
    </xf>
    <xf numFmtId="0" fontId="4" fillId="0" borderId="0" xfId="0" applyFont="1" applyAlignment="1" applyProtection="1">
      <alignment horizontal="centerContinuous"/>
      <protection locked="0"/>
    </xf>
    <xf numFmtId="37" fontId="4" fillId="0" borderId="10" xfId="0" applyNumberFormat="1" applyFont="1" applyBorder="1" applyAlignment="1" applyProtection="1">
      <alignment horizontal="fill"/>
      <protection locked="0"/>
    </xf>
    <xf numFmtId="37" fontId="4" fillId="33" borderId="11" xfId="0" applyNumberFormat="1" applyFont="1" applyFill="1" applyBorder="1" applyAlignment="1" applyProtection="1">
      <alignment/>
      <protection locked="0"/>
    </xf>
    <xf numFmtId="0" fontId="4" fillId="33" borderId="0" xfId="0" applyFont="1" applyFill="1" applyAlignment="1" applyProtection="1">
      <alignment/>
      <protection locked="0"/>
    </xf>
    <xf numFmtId="164" fontId="4" fillId="33" borderId="11" xfId="0" applyNumberFormat="1" applyFont="1" applyFill="1" applyBorder="1" applyAlignment="1" applyProtection="1">
      <alignment/>
      <protection locked="0"/>
    </xf>
    <xf numFmtId="37" fontId="4" fillId="34" borderId="12"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0" xfId="0" applyNumberFormat="1" applyFont="1" applyFill="1" applyAlignment="1" applyProtection="1">
      <alignment horizontal="fill"/>
      <protection/>
    </xf>
    <xf numFmtId="37" fontId="4" fillId="34" borderId="13" xfId="0" applyNumberFormat="1"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0" fontId="4" fillId="34" borderId="15" xfId="0" applyFont="1" applyFill="1" applyBorder="1" applyAlignment="1" applyProtection="1">
      <alignment horizontal="centerContinuous"/>
      <protection/>
    </xf>
    <xf numFmtId="37" fontId="4" fillId="34" borderId="16" xfId="0" applyNumberFormat="1" applyFont="1" applyFill="1" applyBorder="1" applyAlignment="1" applyProtection="1">
      <alignment horizontal="center"/>
      <protection/>
    </xf>
    <xf numFmtId="37" fontId="4" fillId="34" borderId="17" xfId="0" applyNumberFormat="1"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37" fontId="4" fillId="34" borderId="11" xfId="0" applyNumberFormat="1" applyFont="1" applyFill="1" applyBorder="1" applyAlignment="1" applyProtection="1">
      <alignment/>
      <protection/>
    </xf>
    <xf numFmtId="37" fontId="4" fillId="34" borderId="10" xfId="0" applyNumberFormat="1" applyFont="1" applyFill="1" applyBorder="1" applyAlignment="1" applyProtection="1">
      <alignment horizontal="fill"/>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17" xfId="0" applyFont="1" applyFill="1" applyBorder="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centerContinuous"/>
      <protection/>
    </xf>
    <xf numFmtId="0" fontId="4" fillId="34" borderId="16" xfId="0" applyFont="1" applyFill="1" applyBorder="1" applyAlignment="1" applyProtection="1">
      <alignment horizontal="centerContinuous"/>
      <protection/>
    </xf>
    <xf numFmtId="1" fontId="4" fillId="34" borderId="13" xfId="0" applyNumberFormat="1" applyFont="1" applyFill="1" applyBorder="1" applyAlignment="1" applyProtection="1">
      <alignment horizontal="centerContinuous"/>
      <protection/>
    </xf>
    <xf numFmtId="164" fontId="4" fillId="34" borderId="11" xfId="0" applyNumberFormat="1" applyFont="1" applyFill="1" applyBorder="1" applyAlignment="1" applyProtection="1">
      <alignment/>
      <protection/>
    </xf>
    <xf numFmtId="0" fontId="4" fillId="34" borderId="16" xfId="0" applyFont="1" applyFill="1" applyBorder="1" applyAlignment="1">
      <alignment/>
    </xf>
    <xf numFmtId="0" fontId="14"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12" fillId="0" borderId="0" xfId="402" applyAlignment="1">
      <alignment vertical="top"/>
      <protection/>
    </xf>
    <xf numFmtId="0" fontId="12" fillId="0" borderId="0" xfId="402">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0"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0" fontId="4" fillId="0" borderId="0" xfId="0" applyFont="1" applyAlignment="1">
      <alignment vertical="top"/>
    </xf>
    <xf numFmtId="0" fontId="4" fillId="0" borderId="0" xfId="402"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02" applyFont="1">
      <alignment/>
      <protection/>
    </xf>
    <xf numFmtId="164" fontId="4" fillId="34" borderId="11" xfId="0" applyNumberFormat="1" applyFont="1" applyFill="1" applyBorder="1" applyAlignment="1" applyProtection="1">
      <alignment/>
      <protection locked="0"/>
    </xf>
    <xf numFmtId="0" fontId="4" fillId="0" borderId="0" xfId="0" applyFont="1" applyAlignment="1">
      <alignment horizontal="right"/>
    </xf>
    <xf numFmtId="37" fontId="4" fillId="34" borderId="11" xfId="0" applyNumberFormat="1" applyFont="1" applyFill="1" applyBorder="1" applyAlignment="1" applyProtection="1">
      <alignment horizontal="center"/>
      <protection/>
    </xf>
    <xf numFmtId="177" fontId="4" fillId="34" borderId="11" xfId="0" applyNumberFormat="1" applyFont="1" applyFill="1" applyBorder="1" applyAlignment="1" applyProtection="1">
      <alignment horizontal="center"/>
      <protection/>
    </xf>
    <xf numFmtId="166" fontId="4" fillId="34" borderId="0" xfId="0" applyNumberFormat="1" applyFont="1" applyFill="1" applyAlignment="1" applyProtection="1">
      <alignment horizontal="center"/>
      <protection/>
    </xf>
    <xf numFmtId="37" fontId="4" fillId="34" borderId="10"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0"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9"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3" borderId="10" xfId="0" applyFont="1" applyFill="1" applyBorder="1" applyAlignment="1" applyProtection="1">
      <alignment vertical="center"/>
      <protection/>
    </xf>
    <xf numFmtId="37" fontId="4" fillId="33" borderId="10"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6" borderId="16" xfId="0" applyFont="1" applyFill="1" applyBorder="1" applyAlignment="1" applyProtection="1">
      <alignment horizontal="center" vertical="center"/>
      <protection/>
    </xf>
    <xf numFmtId="37" fontId="4" fillId="36" borderId="16" xfId="0" applyNumberFormat="1" applyFont="1" applyFill="1" applyBorder="1" applyAlignment="1" applyProtection="1">
      <alignment horizontal="center" vertical="center"/>
      <protection/>
    </xf>
    <xf numFmtId="0" fontId="4" fillId="36" borderId="16"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6" borderId="17" xfId="0" applyNumberFormat="1" applyFont="1" applyFill="1" applyBorder="1" applyAlignment="1" applyProtection="1">
      <alignment horizontal="center"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wrapText="1"/>
      <protection locked="0"/>
    </xf>
    <xf numFmtId="164" fontId="4" fillId="33" borderId="11" xfId="0" applyNumberFormat="1" applyFont="1" applyFill="1" applyBorder="1" applyAlignment="1" applyProtection="1">
      <alignment vertical="center"/>
      <protection locked="0"/>
    </xf>
    <xf numFmtId="0" fontId="4" fillId="34" borderId="11" xfId="0" applyFont="1" applyFill="1" applyBorder="1" applyAlignment="1" applyProtection="1">
      <alignment vertical="center"/>
      <protection/>
    </xf>
    <xf numFmtId="164" fontId="4" fillId="33" borderId="11" xfId="0" applyNumberFormat="1" applyFont="1" applyFill="1" applyBorder="1" applyAlignment="1" applyProtection="1">
      <alignment vertical="center"/>
      <protection locked="0"/>
    </xf>
    <xf numFmtId="0" fontId="4" fillId="33" borderId="11" xfId="0"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0" fontId="4" fillId="34" borderId="15" xfId="0" applyFont="1" applyFill="1" applyBorder="1" applyAlignment="1" applyProtection="1">
      <alignment vertical="center"/>
      <protection/>
    </xf>
    <xf numFmtId="3" fontId="4" fillId="35" borderId="15" xfId="0" applyNumberFormat="1" applyFont="1" applyFill="1" applyBorder="1" applyAlignment="1" applyProtection="1">
      <alignment vertical="center"/>
      <protection/>
    </xf>
    <xf numFmtId="164" fontId="4" fillId="35" borderId="11" xfId="0" applyNumberFormat="1" applyFont="1" applyFill="1" applyBorder="1" applyAlignment="1" applyProtection="1">
      <alignment vertical="center"/>
      <protection/>
    </xf>
    <xf numFmtId="164" fontId="4" fillId="34" borderId="10" xfId="0" applyNumberFormat="1" applyFont="1" applyFill="1" applyBorder="1" applyAlignment="1" applyProtection="1">
      <alignment vertical="center"/>
      <protection locked="0"/>
    </xf>
    <xf numFmtId="0" fontId="4" fillId="34" borderId="18" xfId="0" applyFont="1" applyFill="1" applyBorder="1" applyAlignment="1" applyProtection="1">
      <alignment vertical="center"/>
      <protection/>
    </xf>
    <xf numFmtId="3" fontId="4" fillId="35" borderId="11"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1" xfId="0" applyNumberFormat="1" applyFont="1" applyFill="1" applyBorder="1" applyAlignment="1" applyProtection="1">
      <alignment vertical="center"/>
      <protection/>
    </xf>
    <xf numFmtId="37" fontId="4" fillId="36" borderId="10" xfId="0" applyNumberFormat="1" applyFont="1" applyFill="1" applyBorder="1" applyAlignment="1" applyProtection="1">
      <alignment horizontal="left" vertical="center"/>
      <protection/>
    </xf>
    <xf numFmtId="0" fontId="4" fillId="36" borderId="10" xfId="0" applyFont="1" applyFill="1" applyBorder="1" applyAlignment="1" applyProtection="1">
      <alignment vertical="center"/>
      <protection/>
    </xf>
    <xf numFmtId="37" fontId="4" fillId="36" borderId="14" xfId="0" applyNumberFormat="1" applyFont="1" applyFill="1" applyBorder="1" applyAlignment="1" applyProtection="1">
      <alignment horizontal="left" vertical="center"/>
      <protection/>
    </xf>
    <xf numFmtId="0" fontId="4" fillId="36" borderId="14" xfId="0" applyFont="1" applyFill="1" applyBorder="1" applyAlignment="1" applyProtection="1">
      <alignment vertical="center"/>
      <protection/>
    </xf>
    <xf numFmtId="0" fontId="4" fillId="34" borderId="14"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4" fillId="38" borderId="10"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4"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4" xfId="0" applyNumberFormat="1" applyFont="1" applyFill="1" applyBorder="1" applyAlignment="1" applyProtection="1">
      <alignment horizontal="left" vertical="center"/>
      <protection/>
    </xf>
    <xf numFmtId="37" fontId="4" fillId="33" borderId="11" xfId="0" applyNumberFormat="1" applyFont="1" applyFill="1" applyBorder="1" applyAlignment="1" applyProtection="1">
      <alignment vertical="center"/>
      <protection locked="0"/>
    </xf>
    <xf numFmtId="37" fontId="4" fillId="34" borderId="13" xfId="0" applyNumberFormat="1" applyFont="1" applyFill="1" applyBorder="1" applyAlignment="1" applyProtection="1">
      <alignment horizontal="left" vertical="center"/>
      <protection/>
    </xf>
    <xf numFmtId="3" fontId="4" fillId="34" borderId="18" xfId="0" applyNumberFormat="1"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0" fontId="0" fillId="34" borderId="0" xfId="0" applyFill="1" applyAlignment="1">
      <alignment vertical="center"/>
    </xf>
    <xf numFmtId="0" fontId="4" fillId="36" borderId="16" xfId="0" applyFont="1" applyFill="1" applyBorder="1" applyAlignment="1">
      <alignment horizontal="center" vertical="center"/>
    </xf>
    <xf numFmtId="0" fontId="4" fillId="36" borderId="12" xfId="0" applyFont="1" applyFill="1" applyBorder="1" applyAlignment="1">
      <alignment horizontal="center" vertical="center"/>
    </xf>
    <xf numFmtId="0" fontId="24" fillId="34" borderId="0" xfId="0" applyFont="1" applyFill="1" applyAlignment="1">
      <alignment vertical="center"/>
    </xf>
    <xf numFmtId="0" fontId="30" fillId="34" borderId="0" xfId="0" applyFont="1" applyFill="1" applyAlignment="1">
      <alignment vertical="center"/>
    </xf>
    <xf numFmtId="0" fontId="4" fillId="36" borderId="17" xfId="0" applyFont="1" applyFill="1" applyBorder="1" applyAlignment="1">
      <alignment horizontal="center" vertical="center"/>
    </xf>
    <xf numFmtId="37" fontId="4" fillId="34" borderId="17" xfId="0" applyNumberFormat="1" applyFont="1" applyFill="1" applyBorder="1" applyAlignment="1">
      <alignment vertical="center"/>
    </xf>
    <xf numFmtId="3" fontId="4" fillId="33" borderId="17" xfId="0" applyNumberFormat="1" applyFont="1" applyFill="1" applyBorder="1" applyAlignment="1" applyProtection="1">
      <alignment vertical="center"/>
      <protection locked="0"/>
    </xf>
    <xf numFmtId="0" fontId="18" fillId="34" borderId="0" xfId="0" applyFont="1" applyFill="1" applyAlignment="1">
      <alignment vertical="center"/>
    </xf>
    <xf numFmtId="0" fontId="18" fillId="0" borderId="0" xfId="0" applyFont="1" applyAlignment="1">
      <alignment vertical="center"/>
    </xf>
    <xf numFmtId="0" fontId="18" fillId="34" borderId="0" xfId="0" applyFont="1" applyFill="1" applyAlignment="1" applyProtection="1">
      <alignment vertical="center"/>
      <protection/>
    </xf>
    <xf numFmtId="0" fontId="0" fillId="0" borderId="0" xfId="0" applyAlignment="1">
      <alignment vertical="center"/>
    </xf>
    <xf numFmtId="37" fontId="18" fillId="34" borderId="0" xfId="0" applyNumberFormat="1" applyFont="1" applyFill="1" applyAlignment="1" applyProtection="1">
      <alignment horizontal="centerContinuous" vertical="center"/>
      <protection/>
    </xf>
    <xf numFmtId="0" fontId="18"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left" vertical="center"/>
      <protection/>
    </xf>
    <xf numFmtId="37" fontId="18" fillId="34" borderId="0" xfId="0" applyNumberFormat="1" applyFont="1" applyFill="1" applyAlignment="1" applyProtection="1">
      <alignment horizontal="fill" vertical="center"/>
      <protection/>
    </xf>
    <xf numFmtId="37" fontId="18" fillId="34" borderId="13" xfId="0" applyNumberFormat="1" applyFont="1" applyFill="1" applyBorder="1" applyAlignment="1" applyProtection="1">
      <alignment horizontal="centerContinuous" vertical="center"/>
      <protection/>
    </xf>
    <xf numFmtId="0" fontId="18" fillId="34" borderId="14" xfId="0" applyFont="1" applyFill="1" applyBorder="1" applyAlignment="1" applyProtection="1">
      <alignment horizontal="centerContinuous" vertical="center"/>
      <protection/>
    </xf>
    <xf numFmtId="0" fontId="18" fillId="34" borderId="15" xfId="0" applyFont="1" applyFill="1" applyBorder="1" applyAlignment="1" applyProtection="1">
      <alignment horizontal="centerContinuous" vertical="center"/>
      <protection/>
    </xf>
    <xf numFmtId="37" fontId="18" fillId="34" borderId="16" xfId="0" applyNumberFormat="1" applyFont="1" applyFill="1" applyBorder="1" applyAlignment="1" applyProtection="1">
      <alignment horizontal="center" vertical="center"/>
      <protection/>
    </xf>
    <xf numFmtId="37" fontId="19" fillId="34" borderId="10" xfId="0" applyNumberFormat="1" applyFont="1" applyFill="1" applyBorder="1" applyAlignment="1" applyProtection="1">
      <alignment horizontal="left" vertical="center"/>
      <protection/>
    </xf>
    <xf numFmtId="0" fontId="18" fillId="34" borderId="10" xfId="0" applyFont="1" applyFill="1" applyBorder="1" applyAlignment="1" applyProtection="1">
      <alignment vertical="center"/>
      <protection/>
    </xf>
    <xf numFmtId="37" fontId="18" fillId="34" borderId="17" xfId="0" applyNumberFormat="1" applyFont="1" applyFill="1" applyBorder="1" applyAlignment="1" applyProtection="1">
      <alignment horizontal="center" vertical="center"/>
      <protection/>
    </xf>
    <xf numFmtId="37" fontId="18" fillId="34" borderId="11" xfId="0" applyNumberFormat="1" applyFont="1" applyFill="1" applyBorder="1" applyAlignment="1" applyProtection="1">
      <alignment horizontal="left" vertical="center"/>
      <protection/>
    </xf>
    <xf numFmtId="37" fontId="18" fillId="34" borderId="12" xfId="0" applyNumberFormat="1" applyFont="1" applyFill="1" applyBorder="1" applyAlignment="1" applyProtection="1">
      <alignment horizontal="center" vertical="center"/>
      <protection/>
    </xf>
    <xf numFmtId="37" fontId="18" fillId="34" borderId="16" xfId="0" applyNumberFormat="1" applyFont="1" applyFill="1" applyBorder="1" applyAlignment="1" applyProtection="1">
      <alignment horizontal="left" vertical="center"/>
      <protection/>
    </xf>
    <xf numFmtId="0" fontId="18" fillId="34" borderId="0" xfId="0" applyFont="1" applyFill="1" applyBorder="1" applyAlignment="1" applyProtection="1">
      <alignment vertical="center"/>
      <protection/>
    </xf>
    <xf numFmtId="37" fontId="18" fillId="34" borderId="13" xfId="0" applyNumberFormat="1" applyFont="1" applyFill="1" applyBorder="1" applyAlignment="1" applyProtection="1">
      <alignment horizontal="left" vertical="center"/>
      <protection/>
    </xf>
    <xf numFmtId="0" fontId="18" fillId="34" borderId="15" xfId="0" applyFont="1" applyFill="1" applyBorder="1" applyAlignment="1" applyProtection="1">
      <alignment vertical="center"/>
      <protection/>
    </xf>
    <xf numFmtId="37" fontId="18" fillId="34" borderId="18" xfId="0" applyNumberFormat="1" applyFont="1" applyFill="1" applyBorder="1" applyAlignment="1" applyProtection="1">
      <alignment horizontal="center" vertical="center"/>
      <protection/>
    </xf>
    <xf numFmtId="37" fontId="18" fillId="34" borderId="11" xfId="0" applyNumberFormat="1" applyFont="1" applyFill="1" applyBorder="1" applyAlignment="1" applyProtection="1">
      <alignment horizontal="center" vertical="center"/>
      <protection/>
    </xf>
    <xf numFmtId="0" fontId="18" fillId="34" borderId="12" xfId="0" applyFont="1" applyFill="1" applyBorder="1" applyAlignment="1" applyProtection="1">
      <alignment vertical="center"/>
      <protection/>
    </xf>
    <xf numFmtId="37" fontId="18" fillId="34" borderId="15" xfId="0" applyNumberFormat="1" applyFont="1" applyFill="1" applyBorder="1" applyAlignment="1" applyProtection="1">
      <alignment horizontal="center" vertical="center"/>
      <protection/>
    </xf>
    <xf numFmtId="37" fontId="28" fillId="34" borderId="17" xfId="0" applyNumberFormat="1" applyFont="1" applyFill="1" applyBorder="1" applyAlignment="1" applyProtection="1">
      <alignment horizontal="left" vertical="center"/>
      <protection/>
    </xf>
    <xf numFmtId="37" fontId="28" fillId="34" borderId="17" xfId="0" applyNumberFormat="1" applyFont="1" applyFill="1" applyBorder="1" applyAlignment="1" applyProtection="1">
      <alignment horizontal="center" vertical="center"/>
      <protection/>
    </xf>
    <xf numFmtId="0" fontId="18" fillId="34" borderId="11" xfId="0" applyFont="1" applyFill="1" applyBorder="1" applyAlignment="1" applyProtection="1">
      <alignment vertical="center"/>
      <protection/>
    </xf>
    <xf numFmtId="0" fontId="18" fillId="34" borderId="17" xfId="0" applyFont="1" applyFill="1" applyBorder="1" applyAlignment="1" applyProtection="1">
      <alignment vertical="center"/>
      <protection/>
    </xf>
    <xf numFmtId="37" fontId="18" fillId="34" borderId="13" xfId="0" applyNumberFormat="1" applyFont="1" applyFill="1" applyBorder="1" applyAlignment="1" applyProtection="1">
      <alignment horizontal="center" vertical="center"/>
      <protection/>
    </xf>
    <xf numFmtId="37" fontId="18" fillId="34" borderId="11" xfId="0" applyNumberFormat="1" applyFont="1" applyFill="1" applyBorder="1" applyAlignment="1" applyProtection="1">
      <alignment vertical="center"/>
      <protection/>
    </xf>
    <xf numFmtId="183"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horizontal="center" vertical="center"/>
      <protection/>
    </xf>
    <xf numFmtId="0" fontId="18" fillId="34" borderId="11" xfId="0" applyFont="1" applyFill="1" applyBorder="1" applyAlignment="1" applyProtection="1">
      <alignment horizontal="center" vertical="center"/>
      <protection/>
    </xf>
    <xf numFmtId="0" fontId="18" fillId="34" borderId="16" xfId="0" applyFont="1" applyFill="1" applyBorder="1" applyAlignment="1" applyProtection="1">
      <alignment vertical="center"/>
      <protection/>
    </xf>
    <xf numFmtId="37" fontId="19" fillId="34" borderId="16" xfId="0" applyNumberFormat="1" applyFont="1" applyFill="1" applyBorder="1" applyAlignment="1" applyProtection="1">
      <alignment horizontal="left" vertical="center"/>
      <protection/>
    </xf>
    <xf numFmtId="37" fontId="18" fillId="34" borderId="19" xfId="0" applyNumberFormat="1" applyFont="1" applyFill="1" applyBorder="1" applyAlignment="1" applyProtection="1">
      <alignment vertical="center"/>
      <protection/>
    </xf>
    <xf numFmtId="183" fontId="18" fillId="34" borderId="19" xfId="0" applyNumberFormat="1" applyFont="1" applyFill="1" applyBorder="1" applyAlignment="1" applyProtection="1">
      <alignment vertical="center"/>
      <protection/>
    </xf>
    <xf numFmtId="37" fontId="18" fillId="34" borderId="20" xfId="0" applyNumberFormat="1" applyFont="1" applyFill="1" applyBorder="1" applyAlignment="1" applyProtection="1">
      <alignment horizontal="left" vertical="center"/>
      <protection/>
    </xf>
    <xf numFmtId="0" fontId="18" fillId="34" borderId="21" xfId="0" applyFont="1" applyFill="1" applyBorder="1" applyAlignment="1" applyProtection="1">
      <alignment vertical="center"/>
      <protection/>
    </xf>
    <xf numFmtId="37" fontId="18" fillId="34" borderId="0"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0" fontId="4" fillId="39" borderId="11" xfId="0" applyFont="1" applyFill="1" applyBorder="1" applyAlignment="1">
      <alignment horizontal="center" vertical="center" shrinkToFit="1"/>
    </xf>
    <xf numFmtId="0" fontId="24" fillId="39" borderId="15" xfId="0" applyFont="1" applyFill="1" applyBorder="1" applyAlignment="1" applyProtection="1">
      <alignment horizontal="center" vertical="center"/>
      <protection/>
    </xf>
    <xf numFmtId="3" fontId="18" fillId="33" borderId="11" xfId="0" applyNumberFormat="1" applyFont="1" applyFill="1" applyBorder="1" applyAlignment="1" applyProtection="1">
      <alignment vertical="center"/>
      <protection locked="0"/>
    </xf>
    <xf numFmtId="37" fontId="18" fillId="34" borderId="15" xfId="0" applyNumberFormat="1" applyFont="1" applyFill="1" applyBorder="1" applyAlignment="1" applyProtection="1">
      <alignment horizontal="fill" vertical="center"/>
      <protection/>
    </xf>
    <xf numFmtId="37" fontId="18" fillId="34" borderId="0" xfId="0" applyNumberFormat="1" applyFont="1" applyFill="1" applyAlignment="1" applyProtection="1">
      <alignment horizontal="right" vertical="center"/>
      <protection/>
    </xf>
    <xf numFmtId="0" fontId="18" fillId="33" borderId="10" xfId="0" applyFont="1" applyFill="1" applyBorder="1" applyAlignment="1" applyProtection="1">
      <alignment vertical="center"/>
      <protection locked="0"/>
    </xf>
    <xf numFmtId="0" fontId="18" fillId="34" borderId="0" xfId="0" applyFont="1" applyFill="1" applyAlignment="1" applyProtection="1">
      <alignment vertical="center"/>
      <protection locked="0"/>
    </xf>
    <xf numFmtId="0" fontId="18" fillId="33" borderId="14" xfId="0" applyFont="1" applyFill="1" applyBorder="1" applyAlignment="1" applyProtection="1">
      <alignment vertical="center"/>
      <protection locked="0"/>
    </xf>
    <xf numFmtId="37" fontId="18" fillId="34" borderId="10" xfId="0" applyNumberFormat="1" applyFont="1" applyFill="1" applyBorder="1" applyAlignment="1" applyProtection="1">
      <alignment horizontal="fill" vertical="center"/>
      <protection locked="0"/>
    </xf>
    <xf numFmtId="0" fontId="18" fillId="34" borderId="0" xfId="0" applyFont="1" applyFill="1" applyAlignment="1" applyProtection="1">
      <alignment horizontal="right" vertical="center"/>
      <protection/>
    </xf>
    <xf numFmtId="0" fontId="18" fillId="34" borderId="0" xfId="0" applyFont="1" applyFill="1" applyAlignment="1" applyProtection="1">
      <alignment horizontal="centerContinuous" vertical="center"/>
      <protection locked="0"/>
    </xf>
    <xf numFmtId="0" fontId="18" fillId="34" borderId="10" xfId="0" applyFont="1" applyFill="1" applyBorder="1" applyAlignment="1" applyProtection="1">
      <alignment vertical="center"/>
      <protection locked="0"/>
    </xf>
    <xf numFmtId="0" fontId="18" fillId="34" borderId="0" xfId="0" applyFont="1" applyFill="1" applyAlignment="1" applyProtection="1">
      <alignment horizontal="left" vertical="center"/>
      <protection/>
    </xf>
    <xf numFmtId="0" fontId="18"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3" xfId="0" applyNumberFormat="1"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37" fontId="4" fillId="34" borderId="16" xfId="0" applyNumberFormat="1"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37" fontId="4"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4" fillId="33" borderId="11" xfId="0" applyNumberFormat="1" applyFont="1" applyFill="1" applyBorder="1" applyAlignment="1" applyProtection="1">
      <alignment horizontal="left" vertical="center"/>
      <protection locked="0"/>
    </xf>
    <xf numFmtId="37" fontId="4" fillId="34" borderId="11" xfId="0" applyNumberFormat="1" applyFont="1" applyFill="1" applyBorder="1" applyAlignment="1" applyProtection="1">
      <alignment horizontal="fill" vertical="center"/>
      <protection/>
    </xf>
    <xf numFmtId="37" fontId="4" fillId="35" borderId="19" xfId="0" applyNumberFormat="1" applyFont="1" applyFill="1" applyBorder="1" applyAlignment="1" applyProtection="1">
      <alignment vertical="center"/>
      <protection/>
    </xf>
    <xf numFmtId="183" fontId="4" fillId="35" borderId="19"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2" xfId="0" applyFont="1" applyFill="1" applyBorder="1" applyAlignment="1" applyProtection="1">
      <alignment vertical="center"/>
      <protection/>
    </xf>
    <xf numFmtId="171"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3" xfId="0" applyNumberFormat="1" applyFont="1" applyFill="1" applyBorder="1" applyAlignment="1" applyProtection="1">
      <alignment vertical="center"/>
      <protection/>
    </xf>
    <xf numFmtId="0" fontId="7" fillId="0" borderId="0" xfId="0" applyFont="1" applyAlignment="1">
      <alignment vertical="center"/>
    </xf>
    <xf numFmtId="37" fontId="4" fillId="34" borderId="0" xfId="0" applyNumberFormat="1" applyFont="1" applyFill="1" applyAlignment="1" applyProtection="1">
      <alignment horizontal="right" vertical="center"/>
      <protection/>
    </xf>
    <xf numFmtId="0" fontId="5" fillId="34" borderId="10"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175" fontId="4" fillId="33" borderId="11" xfId="42" applyNumberFormat="1"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4" fillId="34" borderId="11"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401" applyFont="1" applyFill="1" applyAlignment="1" applyProtection="1">
      <alignment horizontal="centerContinuous" vertical="center"/>
      <protection/>
    </xf>
    <xf numFmtId="0" fontId="4" fillId="34" borderId="10" xfId="0" applyFont="1" applyFill="1" applyBorder="1" applyAlignment="1" applyProtection="1">
      <alignment horizontal="fill" vertical="center"/>
      <protection/>
    </xf>
    <xf numFmtId="0" fontId="4" fillId="34" borderId="16" xfId="0" applyFont="1" applyFill="1" applyBorder="1" applyAlignment="1" applyProtection="1">
      <alignment horizontal="center" vertical="center"/>
      <protection/>
    </xf>
    <xf numFmtId="0" fontId="4" fillId="34" borderId="20"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 vertical="center"/>
      <protection/>
    </xf>
    <xf numFmtId="1" fontId="4" fillId="34" borderId="27"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left" vertical="center"/>
      <protection/>
    </xf>
    <xf numFmtId="0" fontId="4" fillId="34" borderId="17" xfId="0" applyFont="1" applyFill="1" applyBorder="1" applyAlignment="1" applyProtection="1">
      <alignment horizontal="center" vertical="center"/>
      <protection/>
    </xf>
    <xf numFmtId="2" fontId="4" fillId="34" borderId="11"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0" fontId="4" fillId="33" borderId="11" xfId="0" applyFont="1" applyFill="1" applyBorder="1" applyAlignment="1" applyProtection="1">
      <alignment horizontal="center" vertical="center"/>
      <protection locked="0"/>
    </xf>
    <xf numFmtId="2" fontId="4" fillId="33" borderId="11" xfId="0" applyNumberFormat="1" applyFont="1" applyFill="1" applyBorder="1" applyAlignment="1" applyProtection="1">
      <alignment horizontal="center" vertical="center"/>
      <protection locked="0"/>
    </xf>
    <xf numFmtId="3" fontId="4" fillId="33" borderId="11" xfId="0" applyNumberFormat="1" applyFont="1" applyFill="1" applyBorder="1" applyAlignment="1" applyProtection="1">
      <alignment horizontal="center" vertical="center"/>
      <protection locked="0"/>
    </xf>
    <xf numFmtId="37" fontId="4" fillId="33" borderId="11" xfId="0" applyNumberFormat="1" applyFont="1" applyFill="1" applyBorder="1" applyAlignment="1" applyProtection="1">
      <alignment horizontal="center" vertical="center"/>
      <protection locked="0"/>
    </xf>
    <xf numFmtId="173" fontId="4" fillId="33" borderId="11" xfId="0" applyNumberFormat="1"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protection/>
    </xf>
    <xf numFmtId="172" fontId="5" fillId="34" borderId="11" xfId="0" applyNumberFormat="1" applyFont="1" applyFill="1" applyBorder="1" applyAlignment="1" applyProtection="1">
      <alignment horizontal="center" vertical="center"/>
      <protection/>
    </xf>
    <xf numFmtId="2" fontId="5" fillId="34" borderId="11" xfId="0" applyNumberFormat="1" applyFont="1" applyFill="1" applyBorder="1" applyAlignment="1" applyProtection="1">
      <alignment horizontal="center" vertical="center"/>
      <protection/>
    </xf>
    <xf numFmtId="3" fontId="5" fillId="34" borderId="11" xfId="0" applyNumberFormat="1" applyFont="1" applyFill="1" applyBorder="1" applyAlignment="1" applyProtection="1">
      <alignment horizontal="center" vertical="center"/>
      <protection/>
    </xf>
    <xf numFmtId="37" fontId="5" fillId="35" borderId="11" xfId="0" applyNumberFormat="1" applyFont="1" applyFill="1" applyBorder="1" applyAlignment="1" applyProtection="1">
      <alignment horizontal="center" vertical="center"/>
      <protection/>
    </xf>
    <xf numFmtId="173" fontId="5" fillId="34" borderId="11" xfId="0" applyNumberFormat="1" applyFont="1" applyFill="1" applyBorder="1" applyAlignment="1" applyProtection="1">
      <alignment horizontal="center" vertical="center"/>
      <protection/>
    </xf>
    <xf numFmtId="172" fontId="4" fillId="34" borderId="11" xfId="0" applyNumberFormat="1" applyFont="1" applyFill="1" applyBorder="1" applyAlignment="1" applyProtection="1">
      <alignment horizontal="center" vertical="center"/>
      <protection/>
    </xf>
    <xf numFmtId="2" fontId="4" fillId="34" borderId="11" xfId="0" applyNumberFormat="1" applyFont="1" applyFill="1" applyBorder="1" applyAlignment="1" applyProtection="1">
      <alignment horizontal="center" vertical="center"/>
      <protection/>
    </xf>
    <xf numFmtId="3" fontId="4" fillId="34" borderId="11" xfId="0" applyNumberFormat="1" applyFont="1" applyFill="1" applyBorder="1" applyAlignment="1" applyProtection="1">
      <alignment horizontal="center" vertical="center"/>
      <protection/>
    </xf>
    <xf numFmtId="173" fontId="4" fillId="34" borderId="11" xfId="0" applyNumberFormat="1" applyFont="1" applyFill="1" applyBorder="1" applyAlignment="1" applyProtection="1">
      <alignment horizontal="center" vertical="center"/>
      <protection/>
    </xf>
    <xf numFmtId="1" fontId="5" fillId="34" borderId="11" xfId="0" applyNumberFormat="1" applyFont="1" applyFill="1" applyBorder="1" applyAlignment="1" applyProtection="1">
      <alignment horizontal="center" vertical="center"/>
      <protection/>
    </xf>
    <xf numFmtId="3" fontId="5" fillId="35" borderId="11" xfId="0" applyNumberFormat="1" applyFont="1" applyFill="1" applyBorder="1" applyAlignment="1" applyProtection="1">
      <alignment horizontal="center" vertical="center"/>
      <protection/>
    </xf>
    <xf numFmtId="1" fontId="4" fillId="34" borderId="11"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8" xfId="0" applyFont="1" applyFill="1" applyBorder="1" applyAlignment="1" applyProtection="1">
      <alignment vertical="center"/>
      <protection/>
    </xf>
    <xf numFmtId="0" fontId="4" fillId="34" borderId="16" xfId="0" applyFont="1" applyFill="1" applyBorder="1" applyAlignment="1" applyProtection="1">
      <alignment vertical="center"/>
      <protection/>
    </xf>
    <xf numFmtId="0" fontId="4" fillId="34" borderId="27"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4" fontId="4" fillId="34" borderId="17" xfId="0" applyNumberFormat="1" applyFont="1" applyFill="1" applyBorder="1" applyAlignment="1" applyProtection="1" quotePrefix="1">
      <alignment horizontal="center" vertical="center"/>
      <protection/>
    </xf>
    <xf numFmtId="0" fontId="4" fillId="33" borderId="11" xfId="0" applyFont="1" applyFill="1" applyBorder="1" applyAlignment="1" applyProtection="1">
      <alignment vertical="center"/>
      <protection locked="0"/>
    </xf>
    <xf numFmtId="1" fontId="4" fillId="33" borderId="11" xfId="0" applyNumberFormat="1" applyFont="1" applyFill="1" applyBorder="1" applyAlignment="1" applyProtection="1">
      <alignment vertical="center"/>
      <protection locked="0"/>
    </xf>
    <xf numFmtId="2" fontId="4" fillId="33" borderId="11" xfId="0" applyNumberFormat="1" applyFont="1" applyFill="1" applyBorder="1" applyAlignment="1" applyProtection="1">
      <alignment vertical="center"/>
      <protection locked="0"/>
    </xf>
    <xf numFmtId="3" fontId="5" fillId="35" borderId="19" xfId="0" applyNumberFormat="1" applyFont="1" applyFill="1" applyBorder="1" applyAlignment="1" applyProtection="1">
      <alignment vertical="center"/>
      <protection/>
    </xf>
    <xf numFmtId="0" fontId="4" fillId="0" borderId="0" xfId="0" applyFont="1" applyBorder="1" applyAlignment="1">
      <alignment vertical="center"/>
    </xf>
    <xf numFmtId="0" fontId="4" fillId="37" borderId="0" xfId="400" applyFont="1" applyFill="1" applyAlignment="1" applyProtection="1">
      <alignment vertical="center"/>
      <protection/>
    </xf>
    <xf numFmtId="0" fontId="4" fillId="37"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7"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left" vertical="center"/>
      <protection/>
    </xf>
    <xf numFmtId="3" fontId="4" fillId="33" borderId="15" xfId="0" applyNumberFormat="1" applyFont="1" applyFill="1" applyBorder="1" applyAlignment="1" applyProtection="1">
      <alignment vertical="center"/>
      <protection locked="0"/>
    </xf>
    <xf numFmtId="37" fontId="4" fillId="34" borderId="13" xfId="0" applyNumberFormat="1"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37" fontId="4" fillId="33" borderId="13" xfId="0" applyNumberFormat="1" applyFont="1" applyFill="1" applyBorder="1" applyAlignment="1" applyProtection="1">
      <alignment vertical="center"/>
      <protection locked="0"/>
    </xf>
    <xf numFmtId="0" fontId="4" fillId="33" borderId="13" xfId="0" applyFont="1" applyFill="1" applyBorder="1" applyAlignment="1" applyProtection="1">
      <alignment horizontal="left" vertical="center"/>
      <protection locked="0"/>
    </xf>
    <xf numFmtId="0" fontId="4" fillId="34" borderId="13" xfId="0" applyFont="1" applyFill="1" applyBorder="1" applyAlignment="1" applyProtection="1">
      <alignment vertical="center"/>
      <protection/>
    </xf>
    <xf numFmtId="3" fontId="24" fillId="40" borderId="21"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left" vertical="center"/>
      <protection/>
    </xf>
    <xf numFmtId="37" fontId="5" fillId="35" borderId="11"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7"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vertical="center"/>
      <protection/>
    </xf>
    <xf numFmtId="37" fontId="4" fillId="39" borderId="11" xfId="0" applyNumberFormat="1" applyFont="1" applyFill="1" applyBorder="1" applyAlignment="1" applyProtection="1">
      <alignment vertical="center"/>
      <protection/>
    </xf>
    <xf numFmtId="0" fontId="4" fillId="33" borderId="13" xfId="0" applyFont="1" applyFill="1" applyBorder="1" applyAlignment="1" applyProtection="1">
      <alignment vertical="center"/>
      <protection locked="0"/>
    </xf>
    <xf numFmtId="37" fontId="4" fillId="35" borderId="11" xfId="0" applyNumberFormat="1" applyFont="1" applyFill="1" applyBorder="1" applyAlignment="1" applyProtection="1">
      <alignment vertical="center"/>
      <protection/>
    </xf>
    <xf numFmtId="0" fontId="24" fillId="0" borderId="0" xfId="0" applyFont="1" applyAlignment="1">
      <alignment vertical="center"/>
    </xf>
    <xf numFmtId="0" fontId="25"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6" xfId="0" applyNumberFormat="1" applyFont="1" applyFill="1" applyBorder="1" applyAlignment="1" applyProtection="1">
      <alignment horizontal="center" vertical="center"/>
      <protection/>
    </xf>
    <xf numFmtId="0" fontId="4" fillId="33" borderId="11" xfId="0" applyFont="1" applyFill="1" applyBorder="1" applyAlignment="1" applyProtection="1">
      <alignment horizontal="left" vertical="center"/>
      <protection locked="0"/>
    </xf>
    <xf numFmtId="37" fontId="4" fillId="35" borderId="16"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19" xfId="0" applyNumberFormat="1" applyFont="1" applyFill="1" applyBorder="1" applyAlignment="1" applyProtection="1">
      <alignment vertical="center"/>
      <protection/>
    </xf>
    <xf numFmtId="0" fontId="24" fillId="37" borderId="0" xfId="0" applyFont="1" applyFill="1" applyAlignment="1">
      <alignment vertical="center"/>
    </xf>
    <xf numFmtId="37" fontId="4" fillId="37"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 fontId="4" fillId="34" borderId="11" xfId="42" applyNumberFormat="1" applyFont="1" applyFill="1" applyBorder="1" applyAlignment="1" applyProtection="1">
      <alignment horizontal="right" vertical="center"/>
      <protection/>
    </xf>
    <xf numFmtId="37" fontId="4" fillId="34" borderId="27" xfId="0" applyNumberFormat="1" applyFont="1" applyFill="1" applyBorder="1" applyAlignment="1" applyProtection="1">
      <alignment horizontal="left" vertical="center"/>
      <protection/>
    </xf>
    <xf numFmtId="3" fontId="4" fillId="34" borderId="11" xfId="0" applyNumberFormat="1" applyFont="1" applyFill="1" applyBorder="1" applyAlignment="1" applyProtection="1">
      <alignment horizontal="fill" vertical="center"/>
      <protection/>
    </xf>
    <xf numFmtId="3" fontId="4" fillId="33" borderId="11" xfId="0" applyNumberFormat="1" applyFont="1" applyFill="1" applyBorder="1" applyAlignment="1" applyProtection="1">
      <alignment horizontal="right" vertical="center"/>
      <protection locked="0"/>
    </xf>
    <xf numFmtId="3" fontId="4" fillId="34" borderId="11" xfId="0" applyNumberFormat="1" applyFont="1" applyFill="1" applyBorder="1" applyAlignment="1" applyProtection="1">
      <alignment horizontal="right" vertical="center"/>
      <protection/>
    </xf>
    <xf numFmtId="0" fontId="4" fillId="34" borderId="13" xfId="0" applyNumberFormat="1" applyFont="1" applyFill="1" applyBorder="1" applyAlignment="1" applyProtection="1">
      <alignment horizontal="left" vertical="center"/>
      <protection/>
    </xf>
    <xf numFmtId="0" fontId="4" fillId="33" borderId="13" xfId="0" applyNumberFormat="1" applyFont="1" applyFill="1" applyBorder="1" applyAlignment="1" applyProtection="1">
      <alignment horizontal="left" vertical="center"/>
      <protection locked="0"/>
    </xf>
    <xf numFmtId="3" fontId="4" fillId="33" borderId="11"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24" fillId="40" borderId="11" xfId="0" applyNumberFormat="1" applyFont="1" applyFill="1" applyBorder="1" applyAlignment="1" applyProtection="1">
      <alignment horizontal="center" vertical="center"/>
      <protection/>
    </xf>
    <xf numFmtId="3" fontId="5" fillId="35" borderId="17" xfId="0" applyNumberFormat="1" applyFont="1" applyFill="1" applyBorder="1" applyAlignment="1" applyProtection="1">
      <alignment horizontal="right" vertical="center"/>
      <protection/>
    </xf>
    <xf numFmtId="3" fontId="5" fillId="35" borderId="11" xfId="0" applyNumberFormat="1" applyFont="1" applyFill="1" applyBorder="1" applyAlignment="1" applyProtection="1">
      <alignment horizontal="right" vertical="center"/>
      <protection/>
    </xf>
    <xf numFmtId="0" fontId="24" fillId="0" borderId="0" xfId="0" applyFont="1" applyAlignment="1" applyProtection="1">
      <alignment vertical="center"/>
      <protection/>
    </xf>
    <xf numFmtId="3" fontId="4" fillId="39" borderId="11"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3" xfId="0" applyFont="1" applyFill="1" applyBorder="1" applyAlignment="1" applyProtection="1">
      <alignment horizontal="left" vertical="center"/>
      <protection/>
    </xf>
    <xf numFmtId="0" fontId="4" fillId="33" borderId="13" xfId="0" applyFont="1" applyFill="1" applyBorder="1" applyAlignment="1">
      <alignment vertical="center"/>
    </xf>
    <xf numFmtId="3" fontId="5" fillId="35" borderId="11"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3" xfId="0" applyNumberFormat="1" applyFont="1" applyFill="1" applyBorder="1" applyAlignment="1" applyProtection="1">
      <alignment vertical="center"/>
      <protection/>
    </xf>
    <xf numFmtId="0" fontId="24" fillId="37" borderId="0" xfId="0" applyFont="1" applyFill="1" applyAlignment="1" applyProtection="1">
      <alignment vertical="center"/>
      <protection/>
    </xf>
    <xf numFmtId="37" fontId="4" fillId="37" borderId="0" xfId="0" applyNumberFormat="1" applyFont="1" applyFill="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31" fillId="34" borderId="0" xfId="0" applyFont="1" applyFill="1" applyAlignment="1">
      <alignment horizontal="center" vertical="center"/>
    </xf>
    <xf numFmtId="0" fontId="4" fillId="34" borderId="15" xfId="0" applyFont="1" applyFill="1" applyBorder="1" applyAlignment="1">
      <alignment horizontal="center" vertical="center"/>
    </xf>
    <xf numFmtId="0" fontId="4" fillId="34" borderId="10" xfId="0" applyFont="1" applyFill="1" applyBorder="1" applyAlignment="1">
      <alignment vertical="center"/>
    </xf>
    <xf numFmtId="0" fontId="22" fillId="34" borderId="16" xfId="0" applyFont="1" applyFill="1" applyBorder="1" applyAlignment="1">
      <alignment vertical="center"/>
    </xf>
    <xf numFmtId="0" fontId="22" fillId="34" borderId="15" xfId="0" applyFont="1" applyFill="1" applyBorder="1" applyAlignment="1">
      <alignment horizontal="center" vertical="center"/>
    </xf>
    <xf numFmtId="0" fontId="22" fillId="34" borderId="21" xfId="0" applyFont="1" applyFill="1" applyBorder="1" applyAlignment="1">
      <alignment vertical="center"/>
    </xf>
    <xf numFmtId="0" fontId="22" fillId="34" borderId="11" xfId="0" applyFont="1" applyFill="1" applyBorder="1" applyAlignment="1">
      <alignment horizontal="center" vertical="center"/>
    </xf>
    <xf numFmtId="0" fontId="4" fillId="34" borderId="15" xfId="0" applyFont="1" applyFill="1" applyBorder="1" applyAlignment="1">
      <alignment vertical="center"/>
    </xf>
    <xf numFmtId="0" fontId="4" fillId="34" borderId="11" xfId="0" applyFont="1" applyFill="1" applyBorder="1" applyAlignment="1">
      <alignment horizontal="center" vertical="center"/>
    </xf>
    <xf numFmtId="0" fontId="22" fillId="34" borderId="27" xfId="0" applyFont="1" applyFill="1" applyBorder="1" applyAlignment="1">
      <alignment vertical="center"/>
    </xf>
    <xf numFmtId="3" fontId="22" fillId="33" borderId="11" xfId="0" applyNumberFormat="1" applyFont="1" applyFill="1" applyBorder="1" applyAlignment="1" applyProtection="1">
      <alignment horizontal="center" vertical="center"/>
      <protection locked="0"/>
    </xf>
    <xf numFmtId="0" fontId="22" fillId="34" borderId="10" xfId="0" applyFont="1" applyFill="1" applyBorder="1" applyAlignment="1">
      <alignment vertical="center"/>
    </xf>
    <xf numFmtId="3" fontId="22" fillId="35" borderId="11"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1" xfId="0" applyFont="1" applyFill="1" applyBorder="1" applyAlignment="1" applyProtection="1">
      <alignment vertical="center"/>
      <protection locked="0"/>
    </xf>
    <xf numFmtId="0" fontId="22" fillId="33" borderId="21" xfId="0" applyFont="1" applyFill="1" applyBorder="1" applyAlignment="1" applyProtection="1">
      <alignment vertical="center"/>
      <protection locked="0"/>
    </xf>
    <xf numFmtId="0" fontId="22" fillId="33" borderId="0" xfId="0" applyFont="1" applyFill="1" applyAlignment="1" applyProtection="1">
      <alignment vertical="center"/>
      <protection locked="0"/>
    </xf>
    <xf numFmtId="0" fontId="22" fillId="33" borderId="15" xfId="0" applyFont="1" applyFill="1" applyBorder="1" applyAlignment="1" applyProtection="1">
      <alignment vertical="center"/>
      <protection locked="0"/>
    </xf>
    <xf numFmtId="0" fontId="22" fillId="33" borderId="17" xfId="0" applyFont="1" applyFill="1" applyBorder="1" applyAlignment="1" applyProtection="1">
      <alignment vertical="center"/>
      <protection locked="0"/>
    </xf>
    <xf numFmtId="0" fontId="22" fillId="33" borderId="24" xfId="0" applyFont="1" applyFill="1" applyBorder="1" applyAlignment="1" applyProtection="1">
      <alignment vertical="center"/>
      <protection locked="0"/>
    </xf>
    <xf numFmtId="3" fontId="22" fillId="34" borderId="11" xfId="0" applyNumberFormat="1" applyFont="1" applyFill="1" applyBorder="1" applyAlignment="1">
      <alignment horizontal="center" vertical="center"/>
    </xf>
    <xf numFmtId="3" fontId="27" fillId="39" borderId="11"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3" fontId="27" fillId="35" borderId="11" xfId="0" applyNumberFormat="1" applyFont="1" applyFill="1" applyBorder="1" applyAlignment="1">
      <alignment horizontal="center" vertical="center"/>
    </xf>
    <xf numFmtId="0" fontId="4" fillId="0" borderId="0" xfId="0" applyFont="1" applyAlignment="1">
      <alignment horizontal="centerContinuous" vertical="center"/>
    </xf>
    <xf numFmtId="0" fontId="4" fillId="34" borderId="16" xfId="0" applyFont="1" applyFill="1" applyBorder="1" applyAlignment="1" applyProtection="1">
      <alignment horizontal="centerContinuous" vertical="center"/>
      <protection/>
    </xf>
    <xf numFmtId="1" fontId="4" fillId="34" borderId="13" xfId="0" applyNumberFormat="1" applyFont="1" applyFill="1" applyBorder="1" applyAlignment="1" applyProtection="1">
      <alignment horizontal="centerContinuous" vertical="center"/>
      <protection/>
    </xf>
    <xf numFmtId="164"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19"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0" fontId="4" fillId="34" borderId="16" xfId="0" applyFont="1" applyFill="1" applyBorder="1" applyAlignment="1" applyProtection="1">
      <alignment horizontal="center" vertical="center" wrapText="1"/>
      <protection/>
    </xf>
    <xf numFmtId="0" fontId="4" fillId="34" borderId="21"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3" fontId="4" fillId="34" borderId="10" xfId="0" applyNumberFormat="1" applyFont="1" applyFill="1" applyBorder="1" applyAlignment="1" applyProtection="1">
      <alignment horizontal="center" vertical="center"/>
      <protection/>
    </xf>
    <xf numFmtId="184" fontId="4" fillId="34" borderId="10"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0"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32" fillId="0" borderId="0" xfId="0" applyFont="1" applyAlignment="1">
      <alignment horizontal="center" vertical="center"/>
    </xf>
    <xf numFmtId="0" fontId="5" fillId="0" borderId="0" xfId="0" applyFont="1" applyAlignment="1">
      <alignment vertical="center" wrapText="1"/>
    </xf>
    <xf numFmtId="3" fontId="37" fillId="39" borderId="0" xfId="0" applyNumberFormat="1" applyFont="1" applyFill="1" applyAlignment="1">
      <alignment horizontal="center" vertical="center"/>
    </xf>
    <xf numFmtId="0" fontId="4" fillId="0" borderId="0" xfId="356" applyNumberFormat="1" applyFont="1" applyAlignment="1">
      <alignment vertical="center" wrapText="1"/>
      <protection/>
    </xf>
    <xf numFmtId="0" fontId="4" fillId="0" borderId="0" xfId="365" applyNumberFormat="1" applyFont="1" applyAlignment="1">
      <alignment vertical="center" wrapText="1"/>
      <protection/>
    </xf>
    <xf numFmtId="0" fontId="4" fillId="0" borderId="0" xfId="372" applyFont="1" applyAlignment="1">
      <alignment vertical="center" wrapText="1"/>
      <protection/>
    </xf>
    <xf numFmtId="0" fontId="4" fillId="0" borderId="0" xfId="184" applyFont="1" applyAlignment="1">
      <alignment vertical="center" wrapText="1"/>
      <protection/>
    </xf>
    <xf numFmtId="0" fontId="0" fillId="0" borderId="0" xfId="0" applyAlignment="1">
      <alignment/>
    </xf>
    <xf numFmtId="37" fontId="18" fillId="34" borderId="0" xfId="0" applyNumberFormat="1" applyFont="1" applyFill="1" applyBorder="1" applyAlignment="1" applyProtection="1">
      <alignment horizontal="left" vertical="center"/>
      <protection/>
    </xf>
    <xf numFmtId="0" fontId="4" fillId="0" borderId="0" xfId="392" applyFont="1" applyAlignment="1">
      <alignment vertical="center"/>
      <protection/>
    </xf>
    <xf numFmtId="37" fontId="18" fillId="34" borderId="0" xfId="0" applyNumberFormat="1" applyFont="1" applyFill="1" applyBorder="1" applyAlignment="1" applyProtection="1">
      <alignment horizontal="fill" vertical="center"/>
      <protection/>
    </xf>
    <xf numFmtId="0" fontId="12" fillId="0" borderId="0" xfId="380" applyFont="1">
      <alignment/>
      <protection/>
    </xf>
    <xf numFmtId="0" fontId="12" fillId="0" borderId="0" xfId="380" applyNumberFormat="1" applyFont="1" applyAlignment="1">
      <alignment horizontal="left" vertical="center"/>
      <protection/>
    </xf>
    <xf numFmtId="0" fontId="4" fillId="0" borderId="0" xfId="380" applyFont="1" applyAlignment="1">
      <alignment horizontal="left" vertical="center"/>
      <protection/>
    </xf>
    <xf numFmtId="49" fontId="4" fillId="33" borderId="0" xfId="380" applyNumberFormat="1" applyFont="1" applyFill="1" applyAlignment="1" applyProtection="1">
      <alignment horizontal="left" vertical="center"/>
      <protection locked="0"/>
    </xf>
    <xf numFmtId="185" fontId="22" fillId="0" borderId="0" xfId="380" applyNumberFormat="1" applyFont="1" applyAlignment="1">
      <alignment horizontal="left" vertical="center"/>
      <protection/>
    </xf>
    <xf numFmtId="49" fontId="4" fillId="0" borderId="0" xfId="380" applyNumberFormat="1" applyFont="1" applyAlignment="1">
      <alignment horizontal="left" vertical="center"/>
      <protection/>
    </xf>
    <xf numFmtId="0" fontId="22" fillId="0" borderId="0" xfId="380" applyFont="1" applyAlignment="1">
      <alignment horizontal="left" vertical="center"/>
      <protection/>
    </xf>
    <xf numFmtId="186" fontId="22" fillId="0" borderId="0" xfId="380" applyNumberFormat="1" applyFont="1" applyAlignment="1">
      <alignment horizontal="left" vertical="center"/>
      <protection/>
    </xf>
    <xf numFmtId="0" fontId="4" fillId="33" borderId="0" xfId="380" applyFont="1" applyFill="1" applyAlignment="1" applyProtection="1">
      <alignment horizontal="left" vertical="center"/>
      <protection locked="0"/>
    </xf>
    <xf numFmtId="0" fontId="12" fillId="33" borderId="0" xfId="380" applyFont="1" applyFill="1" applyAlignment="1" applyProtection="1">
      <alignment horizontal="left" vertical="center"/>
      <protection locked="0"/>
    </xf>
    <xf numFmtId="0" fontId="6" fillId="0" borderId="0" xfId="120" applyFont="1" applyAlignment="1">
      <alignment vertical="center"/>
      <protection/>
    </xf>
    <xf numFmtId="0" fontId="4" fillId="0" borderId="0" xfId="124" applyFont="1" applyAlignment="1">
      <alignment vertical="center"/>
      <protection/>
    </xf>
    <xf numFmtId="0" fontId="2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1" applyFont="1">
      <alignment/>
      <protection/>
    </xf>
    <xf numFmtId="0" fontId="0" fillId="0" borderId="0" xfId="201" applyFont="1" applyFill="1">
      <alignment/>
      <protection/>
    </xf>
    <xf numFmtId="0" fontId="0" fillId="0" borderId="0" xfId="0" applyFont="1" applyAlignment="1">
      <alignment/>
    </xf>
    <xf numFmtId="0" fontId="1" fillId="0" borderId="0" xfId="0" applyFont="1" applyAlignment="1">
      <alignment horizontal="center"/>
    </xf>
    <xf numFmtId="0" fontId="4" fillId="0" borderId="0" xfId="397" applyFont="1" applyAlignment="1">
      <alignment vertical="center" wrapText="1"/>
      <protection/>
    </xf>
    <xf numFmtId="0" fontId="4" fillId="0" borderId="0" xfId="73" applyFont="1" applyAlignment="1">
      <alignment vertical="center" wrapText="1"/>
      <protection/>
    </xf>
    <xf numFmtId="0" fontId="6" fillId="0" borderId="0" xfId="119" applyFont="1" applyAlignment="1">
      <alignment vertical="center"/>
      <protection/>
    </xf>
    <xf numFmtId="0" fontId="5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 fontId="22" fillId="35" borderId="17" xfId="0" applyNumberFormat="1" applyFont="1" applyFill="1" applyBorder="1" applyAlignment="1">
      <alignment horizontal="center" vertical="center"/>
    </xf>
    <xf numFmtId="0" fontId="4" fillId="33" borderId="10" xfId="0" applyFont="1" applyFill="1" applyBorder="1" applyAlignment="1" applyProtection="1">
      <alignment vertical="center"/>
      <protection locked="0"/>
    </xf>
    <xf numFmtId="14" fontId="4" fillId="33" borderId="11" xfId="0" applyNumberFormat="1" applyFont="1" applyFill="1" applyBorder="1" applyAlignment="1" applyProtection="1">
      <alignment vertical="center"/>
      <protection locked="0"/>
    </xf>
    <xf numFmtId="14" fontId="4" fillId="33" borderId="11" xfId="0" applyNumberFormat="1" applyFont="1" applyFill="1" applyBorder="1" applyAlignment="1" applyProtection="1">
      <alignment horizontal="center" vertical="center"/>
      <protection locked="0"/>
    </xf>
    <xf numFmtId="3" fontId="4" fillId="33" borderId="13" xfId="0" applyNumberFormat="1" applyFont="1" applyFill="1" applyBorder="1" applyAlignment="1" applyProtection="1">
      <alignment vertical="center"/>
      <protection locked="0"/>
    </xf>
    <xf numFmtId="3" fontId="24" fillId="40" borderId="13" xfId="0" applyNumberFormat="1" applyFont="1" applyFill="1" applyBorder="1" applyAlignment="1" applyProtection="1">
      <alignment horizontal="center" vertical="center"/>
      <protection/>
    </xf>
    <xf numFmtId="3" fontId="5" fillId="35" borderId="13" xfId="0" applyNumberFormat="1" applyFont="1" applyFill="1" applyBorder="1" applyAlignment="1" applyProtection="1">
      <alignment vertical="center"/>
      <protection/>
    </xf>
    <xf numFmtId="0" fontId="4" fillId="34" borderId="27" xfId="0" applyNumberFormat="1" applyFont="1" applyFill="1" applyBorder="1" applyAlignment="1" applyProtection="1">
      <alignment horizontal="center" vertical="center"/>
      <protection/>
    </xf>
    <xf numFmtId="3" fontId="4" fillId="34" borderId="13" xfId="0" applyNumberFormat="1" applyFont="1" applyFill="1" applyBorder="1" applyAlignment="1" applyProtection="1">
      <alignment vertical="center"/>
      <protection/>
    </xf>
    <xf numFmtId="3" fontId="4" fillId="35" borderId="13" xfId="0" applyNumberFormat="1" applyFont="1" applyFill="1" applyBorder="1" applyAlignment="1" applyProtection="1">
      <alignment vertical="center"/>
      <protection/>
    </xf>
    <xf numFmtId="3" fontId="4" fillId="34" borderId="13" xfId="0" applyNumberFormat="1" applyFont="1" applyFill="1" applyBorder="1" applyAlignment="1" applyProtection="1">
      <alignment horizontal="right" vertical="center"/>
      <protection locked="0"/>
    </xf>
    <xf numFmtId="3" fontId="4" fillId="33" borderId="13" xfId="0" applyNumberFormat="1" applyFont="1" applyFill="1" applyBorder="1" applyAlignment="1" applyProtection="1">
      <alignment horizontal="right" vertical="center"/>
      <protection locked="0"/>
    </xf>
    <xf numFmtId="3" fontId="4" fillId="34" borderId="13" xfId="0" applyNumberFormat="1" applyFont="1" applyFill="1" applyBorder="1" applyAlignment="1" applyProtection="1">
      <alignment horizontal="right" vertical="center"/>
      <protection/>
    </xf>
    <xf numFmtId="3" fontId="4" fillId="34" borderId="13" xfId="42" applyNumberFormat="1" applyFont="1" applyFill="1" applyBorder="1" applyAlignment="1" applyProtection="1">
      <alignment horizontal="right" vertical="center"/>
      <protection/>
    </xf>
    <xf numFmtId="3" fontId="5" fillId="35" borderId="27" xfId="0" applyNumberFormat="1" applyFont="1" applyFill="1" applyBorder="1" applyAlignment="1" applyProtection="1">
      <alignment horizontal="right" vertical="center"/>
      <protection/>
    </xf>
    <xf numFmtId="3" fontId="5" fillId="35" borderId="13" xfId="0" applyNumberFormat="1" applyFont="1" applyFill="1" applyBorder="1" applyAlignment="1" applyProtection="1">
      <alignment horizontal="right" vertical="center"/>
      <protection/>
    </xf>
    <xf numFmtId="3" fontId="4" fillId="35" borderId="13" xfId="0" applyNumberFormat="1" applyFont="1" applyFill="1" applyBorder="1" applyAlignment="1" applyProtection="1">
      <alignment horizontal="right" vertical="center"/>
      <protection/>
    </xf>
    <xf numFmtId="49" fontId="4" fillId="33" borderId="11" xfId="0" applyNumberFormat="1" applyFont="1" applyFill="1" applyBorder="1" applyAlignment="1" applyProtection="1">
      <alignment horizontal="center" vertical="center"/>
      <protection locked="0"/>
    </xf>
    <xf numFmtId="184" fontId="4" fillId="33" borderId="11" xfId="0" applyNumberFormat="1" applyFont="1" applyFill="1" applyBorder="1" applyAlignment="1" applyProtection="1">
      <alignment vertical="center"/>
      <protection locked="0"/>
    </xf>
    <xf numFmtId="184" fontId="4" fillId="33" borderId="11" xfId="0" applyNumberFormat="1" applyFont="1" applyFill="1" applyBorder="1" applyAlignment="1" applyProtection="1">
      <alignment vertical="center"/>
      <protection locked="0"/>
    </xf>
    <xf numFmtId="37" fontId="18" fillId="34" borderId="0" xfId="0" applyNumberFormat="1" applyFont="1" applyFill="1" applyAlignment="1" applyProtection="1">
      <alignment horizontal="center" vertical="center"/>
      <protection locked="0"/>
    </xf>
    <xf numFmtId="37" fontId="18" fillId="34" borderId="0" xfId="0" applyNumberFormat="1" applyFont="1" applyFill="1" applyAlignment="1" applyProtection="1">
      <alignment horizontal="left" vertical="center"/>
      <protection locked="0"/>
    </xf>
    <xf numFmtId="0" fontId="18" fillId="34" borderId="22" xfId="0" applyFont="1" applyFill="1" applyBorder="1" applyAlignment="1" applyProtection="1">
      <alignment vertical="center"/>
      <protection/>
    </xf>
    <xf numFmtId="0" fontId="18" fillId="34" borderId="22" xfId="0" applyFont="1" applyFill="1" applyBorder="1" applyAlignment="1" applyProtection="1">
      <alignment vertical="center"/>
      <protection locked="0"/>
    </xf>
    <xf numFmtId="0" fontId="18" fillId="36" borderId="11" xfId="0" applyFont="1" applyFill="1" applyBorder="1" applyAlignment="1" applyProtection="1">
      <alignment horizontal="center" vertical="center"/>
      <protection/>
    </xf>
    <xf numFmtId="37" fontId="18" fillId="34" borderId="22" xfId="0" applyNumberFormat="1" applyFont="1" applyFill="1" applyBorder="1" applyAlignment="1" applyProtection="1">
      <alignment horizontal="center" vertical="center"/>
      <protection/>
    </xf>
    <xf numFmtId="37" fontId="8" fillId="34" borderId="20" xfId="0" applyNumberFormat="1" applyFont="1" applyFill="1" applyBorder="1" applyAlignment="1" applyProtection="1">
      <alignment horizontal="center" vertical="center"/>
      <protection/>
    </xf>
    <xf numFmtId="1" fontId="8" fillId="34" borderId="20" xfId="0" applyNumberFormat="1" applyFont="1" applyFill="1" applyBorder="1" applyAlignment="1" applyProtection="1">
      <alignment horizontal="center" vertical="center"/>
      <protection/>
    </xf>
    <xf numFmtId="37" fontId="8" fillId="34" borderId="16" xfId="0" applyNumberFormat="1" applyFont="1" applyFill="1" applyBorder="1" applyAlignment="1" applyProtection="1">
      <alignment horizontal="center" vertical="center"/>
      <protection/>
    </xf>
    <xf numFmtId="0" fontId="22" fillId="39" borderId="10" xfId="75" applyFont="1" applyFill="1" applyBorder="1" applyAlignment="1" applyProtection="1">
      <alignment vertical="center"/>
      <protection/>
    </xf>
    <xf numFmtId="190" fontId="22" fillId="39" borderId="27" xfId="75" applyNumberFormat="1" applyFont="1" applyFill="1" applyBorder="1" applyAlignment="1" applyProtection="1">
      <alignment horizontal="center" vertical="center"/>
      <protection/>
    </xf>
    <xf numFmtId="190" fontId="22" fillId="34" borderId="28" xfId="75" applyNumberFormat="1" applyFont="1" applyFill="1" applyBorder="1" applyAlignment="1" applyProtection="1">
      <alignment vertical="center"/>
      <protection/>
    </xf>
    <xf numFmtId="190" fontId="22" fillId="34" borderId="27" xfId="75" applyNumberFormat="1" applyFont="1" applyFill="1" applyBorder="1" applyAlignment="1" applyProtection="1">
      <alignment horizontal="center" vertical="center"/>
      <protection/>
    </xf>
    <xf numFmtId="0" fontId="22" fillId="34" borderId="0" xfId="75" applyFont="1" applyFill="1" applyBorder="1" applyAlignment="1" applyProtection="1">
      <alignment vertical="center"/>
      <protection/>
    </xf>
    <xf numFmtId="0" fontId="22" fillId="34" borderId="0" xfId="75" applyFont="1" applyFill="1" applyBorder="1" applyAlignment="1" applyProtection="1">
      <alignment horizontal="left" vertical="center"/>
      <protection/>
    </xf>
    <xf numFmtId="190" fontId="22" fillId="34" borderId="28" xfId="75" applyNumberFormat="1" applyFont="1" applyFill="1" applyBorder="1" applyAlignment="1" applyProtection="1">
      <alignment horizontal="center" vertical="center"/>
      <protection/>
    </xf>
    <xf numFmtId="0" fontId="46" fillId="0" borderId="0" xfId="0" applyFont="1" applyAlignment="1" applyProtection="1">
      <alignment vertical="center"/>
      <protection/>
    </xf>
    <xf numFmtId="190" fontId="19" fillId="39" borderId="18" xfId="75" applyNumberFormat="1" applyFont="1" applyFill="1" applyBorder="1" applyAlignment="1" applyProtection="1">
      <alignment horizontal="center" vertical="center"/>
      <protection/>
    </xf>
    <xf numFmtId="0" fontId="18" fillId="39" borderId="10" xfId="75" applyFont="1" applyFill="1" applyBorder="1" applyAlignment="1" applyProtection="1">
      <alignment vertical="center"/>
      <protection/>
    </xf>
    <xf numFmtId="0" fontId="4" fillId="39" borderId="10" xfId="75" applyFont="1" applyFill="1" applyBorder="1" applyAlignment="1" applyProtection="1">
      <alignment vertical="center"/>
      <protection/>
    </xf>
    <xf numFmtId="0" fontId="19" fillId="39" borderId="27" xfId="75" applyFont="1" applyFill="1" applyBorder="1" applyAlignment="1" applyProtection="1">
      <alignment vertical="center"/>
      <protection/>
    </xf>
    <xf numFmtId="0" fontId="19" fillId="34" borderId="18" xfId="75" applyFont="1" applyFill="1" applyBorder="1" applyAlignment="1" applyProtection="1">
      <alignment horizontal="center" vertical="center"/>
      <protection/>
    </xf>
    <xf numFmtId="190" fontId="18" fillId="33" borderId="11" xfId="75" applyNumberFormat="1" applyFont="1" applyFill="1" applyBorder="1" applyAlignment="1" applyProtection="1">
      <alignment horizontal="center" vertical="center"/>
      <protection locked="0"/>
    </xf>
    <xf numFmtId="0" fontId="18" fillId="34" borderId="28" xfId="75" applyFont="1" applyFill="1" applyBorder="1" applyAlignment="1" applyProtection="1">
      <alignment horizontal="left" vertical="center"/>
      <protection/>
    </xf>
    <xf numFmtId="190" fontId="18" fillId="34" borderId="24" xfId="75" applyNumberFormat="1" applyFont="1" applyFill="1" applyBorder="1" applyAlignment="1" applyProtection="1">
      <alignment horizontal="center" vertical="center"/>
      <protection/>
    </xf>
    <xf numFmtId="0" fontId="18" fillId="34" borderId="28" xfId="75" applyFont="1" applyFill="1" applyBorder="1" applyAlignment="1" applyProtection="1">
      <alignment vertical="center"/>
      <protection/>
    </xf>
    <xf numFmtId="0" fontId="0" fillId="34" borderId="15" xfId="75" applyFill="1" applyBorder="1" applyAlignment="1" applyProtection="1">
      <alignment vertical="center"/>
      <protection/>
    </xf>
    <xf numFmtId="0" fontId="28" fillId="34" borderId="14" xfId="75" applyFont="1" applyFill="1" applyBorder="1" applyAlignment="1" applyProtection="1">
      <alignment horizontal="center" vertical="center"/>
      <protection/>
    </xf>
    <xf numFmtId="0" fontId="18" fillId="34" borderId="14" xfId="75" applyFont="1" applyFill="1" applyBorder="1" applyAlignment="1" applyProtection="1">
      <alignment horizontal="left" vertical="center"/>
      <protection/>
    </xf>
    <xf numFmtId="184" fontId="28" fillId="34" borderId="13" xfId="75" applyNumberFormat="1" applyFont="1" applyFill="1" applyBorder="1" applyAlignment="1" applyProtection="1">
      <alignment horizontal="center" vertical="center"/>
      <protection/>
    </xf>
    <xf numFmtId="0" fontId="4" fillId="39" borderId="18" xfId="75" applyFont="1" applyFill="1" applyBorder="1" applyAlignment="1" applyProtection="1">
      <alignment vertical="center"/>
      <protection/>
    </xf>
    <xf numFmtId="0" fontId="18" fillId="39" borderId="18" xfId="75" applyFont="1" applyFill="1" applyBorder="1" applyAlignment="1" applyProtection="1">
      <alignment vertical="center"/>
      <protection/>
    </xf>
    <xf numFmtId="37" fontId="18" fillId="34" borderId="17" xfId="84" applyNumberFormat="1" applyFont="1" applyFill="1" applyBorder="1" applyAlignment="1" applyProtection="1">
      <alignment horizontal="center" vertical="center"/>
      <protection/>
    </xf>
    <xf numFmtId="37" fontId="18" fillId="34" borderId="12" xfId="84" applyNumberFormat="1" applyFont="1" applyFill="1" applyBorder="1" applyAlignment="1" applyProtection="1">
      <alignment horizontal="center" vertical="center"/>
      <protection/>
    </xf>
    <xf numFmtId="184" fontId="4" fillId="34" borderId="0" xfId="0" applyNumberFormat="1" applyFont="1" applyFill="1" applyAlignment="1">
      <alignment horizontal="center" vertical="center"/>
    </xf>
    <xf numFmtId="3" fontId="24" fillId="33" borderId="11" xfId="0" applyNumberFormat="1" applyFont="1" applyFill="1" applyBorder="1" applyAlignment="1" applyProtection="1">
      <alignment horizontal="center" vertical="center"/>
      <protection/>
    </xf>
    <xf numFmtId="0" fontId="25" fillId="34" borderId="11" xfId="0" applyFont="1" applyFill="1" applyBorder="1" applyAlignment="1" applyProtection="1">
      <alignment horizontal="center" vertical="center"/>
      <protection/>
    </xf>
    <xf numFmtId="3" fontId="25" fillId="34" borderId="11" xfId="0" applyNumberFormat="1" applyFont="1" applyFill="1" applyBorder="1" applyAlignment="1" applyProtection="1">
      <alignment horizontal="center" vertical="center"/>
      <protection/>
    </xf>
    <xf numFmtId="3" fontId="24" fillId="40" borderId="16"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7" fontId="5" fillId="34"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4" fillId="39" borderId="13" xfId="0" applyNumberFormat="1" applyFont="1" applyFill="1" applyBorder="1" applyAlignment="1" applyProtection="1">
      <alignment vertical="center"/>
      <protection/>
    </xf>
    <xf numFmtId="0" fontId="34" fillId="0" borderId="0" xfId="0" applyFont="1" applyAlignment="1">
      <alignment/>
    </xf>
    <xf numFmtId="0" fontId="33"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5" fillId="0" borderId="0" xfId="0" applyFont="1" applyAlignment="1">
      <alignment wrapText="1"/>
    </xf>
    <xf numFmtId="0" fontId="38" fillId="0" borderId="0" xfId="0" applyFont="1" applyAlignment="1">
      <alignment vertical="center"/>
    </xf>
    <xf numFmtId="0" fontId="39" fillId="0" borderId="0" xfId="0" applyFont="1" applyAlignment="1">
      <alignment horizontal="center"/>
    </xf>
    <xf numFmtId="37" fontId="4" fillId="34" borderId="12" xfId="75" applyNumberFormat="1" applyFont="1" applyFill="1" applyBorder="1" applyAlignment="1" applyProtection="1">
      <alignment horizontal="center" vertical="center"/>
      <protection/>
    </xf>
    <xf numFmtId="37" fontId="4" fillId="34" borderId="17" xfId="75" applyNumberFormat="1" applyFont="1" applyFill="1" applyBorder="1" applyAlignment="1" applyProtection="1">
      <alignment horizontal="center" vertical="center"/>
      <protection/>
    </xf>
    <xf numFmtId="0" fontId="19" fillId="39" borderId="10" xfId="75" applyFont="1" applyFill="1" applyBorder="1" applyAlignment="1" applyProtection="1">
      <alignment vertical="center"/>
      <protection/>
    </xf>
    <xf numFmtId="190" fontId="19" fillId="39" borderId="27" xfId="75" applyNumberFormat="1" applyFont="1" applyFill="1" applyBorder="1" applyAlignment="1" applyProtection="1">
      <alignment horizontal="center" vertical="center"/>
      <protection/>
    </xf>
    <xf numFmtId="190" fontId="18" fillId="34" borderId="28" xfId="75" applyNumberFormat="1" applyFont="1" applyFill="1" applyBorder="1" applyAlignment="1" applyProtection="1">
      <alignment vertical="center"/>
      <protection/>
    </xf>
    <xf numFmtId="190" fontId="18" fillId="34" borderId="27" xfId="75" applyNumberFormat="1" applyFont="1" applyFill="1" applyBorder="1" applyAlignment="1" applyProtection="1">
      <alignment horizontal="center" vertical="center"/>
      <protection/>
    </xf>
    <xf numFmtId="0" fontId="18" fillId="34" borderId="0" xfId="75" applyFont="1" applyFill="1" applyBorder="1" applyAlignment="1" applyProtection="1">
      <alignment vertical="center"/>
      <protection/>
    </xf>
    <xf numFmtId="0" fontId="18" fillId="34" borderId="24" xfId="75" applyFont="1" applyFill="1" applyBorder="1" applyAlignment="1" applyProtection="1">
      <alignment vertical="center"/>
      <protection/>
    </xf>
    <xf numFmtId="0" fontId="18" fillId="34" borderId="0" xfId="75" applyFont="1" applyFill="1" applyBorder="1" applyAlignment="1" applyProtection="1">
      <alignment horizontal="left" vertical="center"/>
      <protection/>
    </xf>
    <xf numFmtId="0" fontId="46" fillId="0" borderId="0" xfId="0" applyFont="1" applyAlignment="1">
      <alignment vertical="center"/>
    </xf>
    <xf numFmtId="190" fontId="18" fillId="34" borderId="28" xfId="75" applyNumberFormat="1" applyFont="1" applyFill="1" applyBorder="1" applyAlignment="1" applyProtection="1">
      <alignment horizontal="center" vertical="center"/>
      <protection/>
    </xf>
    <xf numFmtId="0" fontId="4" fillId="34" borderId="0" xfId="87" applyFont="1" applyFill="1" applyAlignment="1" applyProtection="1">
      <alignment horizontal="right" vertical="center"/>
      <protection/>
    </xf>
    <xf numFmtId="0" fontId="29" fillId="34" borderId="0" xfId="0" applyFont="1" applyFill="1" applyBorder="1" applyAlignment="1" applyProtection="1">
      <alignment horizontal="center" vertical="center"/>
      <protection/>
    </xf>
    <xf numFmtId="0" fontId="29" fillId="34" borderId="0" xfId="0" applyFont="1" applyFill="1" applyAlignment="1" applyProtection="1">
      <alignment horizontal="center" vertical="center"/>
      <protection/>
    </xf>
    <xf numFmtId="0" fontId="4" fillId="34" borderId="29" xfId="0" applyFont="1" applyFill="1" applyBorder="1" applyAlignment="1" applyProtection="1">
      <alignment vertical="center"/>
      <protection locked="0"/>
    </xf>
    <xf numFmtId="0" fontId="4" fillId="34" borderId="29" xfId="0" applyFont="1" applyFill="1" applyBorder="1" applyAlignment="1" applyProtection="1">
      <alignment vertical="center"/>
      <protection/>
    </xf>
    <xf numFmtId="37" fontId="4" fillId="34" borderId="29"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fill" vertical="center"/>
      <protection/>
    </xf>
    <xf numFmtId="37" fontId="4" fillId="34" borderId="17" xfId="0" applyNumberFormat="1" applyFont="1" applyFill="1" applyBorder="1" applyAlignment="1" applyProtection="1">
      <alignment vertical="center"/>
      <protection/>
    </xf>
    <xf numFmtId="0" fontId="0" fillId="0" borderId="0" xfId="75">
      <alignment/>
      <protection/>
    </xf>
    <xf numFmtId="37" fontId="4" fillId="34" borderId="16" xfId="75" applyNumberFormat="1" applyFont="1" applyFill="1" applyBorder="1" applyAlignment="1" applyProtection="1">
      <alignment horizontal="center"/>
      <protection/>
    </xf>
    <xf numFmtId="37" fontId="4" fillId="34" borderId="17" xfId="75" applyNumberFormat="1" applyFont="1" applyFill="1" applyBorder="1" applyAlignment="1" applyProtection="1">
      <alignment horizontal="center"/>
      <protection/>
    </xf>
    <xf numFmtId="0" fontId="4" fillId="34" borderId="0" xfId="75" applyFont="1" applyFill="1" applyBorder="1" applyAlignment="1" applyProtection="1">
      <alignment vertical="center"/>
      <protection/>
    </xf>
    <xf numFmtId="0" fontId="4" fillId="34" borderId="28" xfId="75" applyFont="1" applyFill="1" applyBorder="1" applyAlignment="1" applyProtection="1">
      <alignment vertical="center"/>
      <protection/>
    </xf>
    <xf numFmtId="0" fontId="4" fillId="34" borderId="24" xfId="75" applyFont="1" applyFill="1" applyBorder="1" applyAlignment="1" applyProtection="1">
      <alignment vertical="center"/>
      <protection/>
    </xf>
    <xf numFmtId="0" fontId="4" fillId="0" borderId="0" xfId="75" applyFont="1" applyFill="1" applyBorder="1" applyAlignment="1" applyProtection="1">
      <alignment vertical="center"/>
      <protection/>
    </xf>
    <xf numFmtId="0" fontId="4" fillId="34" borderId="0" xfId="84" applyFont="1" applyFill="1" applyBorder="1" applyProtection="1">
      <alignment/>
      <protection/>
    </xf>
    <xf numFmtId="190" fontId="4" fillId="34" borderId="24" xfId="84" applyNumberFormat="1" applyFont="1" applyFill="1" applyBorder="1" applyAlignment="1" applyProtection="1">
      <alignment horizontal="center"/>
      <protection/>
    </xf>
    <xf numFmtId="190" fontId="4" fillId="39" borderId="18" xfId="84" applyNumberFormat="1" applyFont="1" applyFill="1" applyBorder="1" applyAlignment="1" applyProtection="1">
      <alignment horizontal="center"/>
      <protection/>
    </xf>
    <xf numFmtId="0" fontId="4" fillId="0" borderId="0" xfId="84" applyFont="1" applyFill="1" applyBorder="1" applyProtection="1">
      <alignment/>
      <protection/>
    </xf>
    <xf numFmtId="0" fontId="4" fillId="34" borderId="28" xfId="84" applyFont="1" applyFill="1" applyBorder="1" applyProtection="1">
      <alignment/>
      <protection/>
    </xf>
    <xf numFmtId="0" fontId="4" fillId="34" borderId="24" xfId="84" applyFont="1" applyFill="1" applyBorder="1" applyProtection="1">
      <alignment/>
      <protection/>
    </xf>
    <xf numFmtId="183" fontId="4" fillId="34" borderId="24" xfId="84" applyNumberFormat="1" applyFont="1" applyFill="1" applyBorder="1" applyAlignment="1" applyProtection="1">
      <alignment horizontal="center"/>
      <protection/>
    </xf>
    <xf numFmtId="0" fontId="4" fillId="39" borderId="28" xfId="84" applyFont="1" applyFill="1" applyBorder="1" applyProtection="1">
      <alignment/>
      <protection/>
    </xf>
    <xf numFmtId="0" fontId="4" fillId="39" borderId="0" xfId="84" applyFont="1" applyFill="1" applyBorder="1" applyProtection="1">
      <alignment/>
      <protection/>
    </xf>
    <xf numFmtId="0" fontId="4" fillId="39" borderId="27" xfId="84" applyFont="1" applyFill="1" applyBorder="1" applyProtection="1">
      <alignment/>
      <protection/>
    </xf>
    <xf numFmtId="0" fontId="4" fillId="39" borderId="10" xfId="84" applyFont="1" applyFill="1" applyBorder="1" applyProtection="1">
      <alignment/>
      <protection/>
    </xf>
    <xf numFmtId="0" fontId="4" fillId="0" borderId="0" xfId="84" applyFont="1" applyProtection="1">
      <alignment/>
      <protection/>
    </xf>
    <xf numFmtId="190" fontId="4" fillId="34" borderId="18" xfId="84" applyNumberFormat="1" applyFont="1" applyFill="1" applyBorder="1" applyAlignment="1" applyProtection="1">
      <alignment horizontal="center"/>
      <protection/>
    </xf>
    <xf numFmtId="184" fontId="4" fillId="33" borderId="24" xfId="84" applyNumberFormat="1" applyFont="1" applyFill="1" applyBorder="1" applyAlignment="1" applyProtection="1">
      <alignment horizontal="center"/>
      <protection locked="0"/>
    </xf>
    <xf numFmtId="0" fontId="34" fillId="0" borderId="0" xfId="0" applyFont="1" applyAlignment="1">
      <alignment vertical="center"/>
    </xf>
    <xf numFmtId="0" fontId="48" fillId="0" borderId="0" xfId="0" applyFont="1" applyBorder="1" applyAlignment="1">
      <alignment horizontal="centerContinuous"/>
    </xf>
    <xf numFmtId="0" fontId="48" fillId="0" borderId="0" xfId="0" applyFont="1" applyBorder="1" applyAlignment="1">
      <alignment/>
    </xf>
    <xf numFmtId="0" fontId="48" fillId="0" borderId="0" xfId="0" applyFont="1" applyAlignment="1">
      <alignment/>
    </xf>
    <xf numFmtId="0" fontId="4" fillId="0" borderId="0" xfId="75" applyFont="1" applyAlignment="1">
      <alignment vertical="center"/>
      <protection/>
    </xf>
    <xf numFmtId="0" fontId="4" fillId="0" borderId="0" xfId="87" applyFont="1" applyAlignment="1">
      <alignment vertical="center"/>
      <protection/>
    </xf>
    <xf numFmtId="0" fontId="4" fillId="0" borderId="0" xfId="75" applyFont="1">
      <alignment/>
      <protection/>
    </xf>
    <xf numFmtId="0" fontId="49" fillId="0" borderId="0" xfId="75" applyFont="1" applyAlignment="1">
      <alignment horizontal="center"/>
      <protection/>
    </xf>
    <xf numFmtId="0" fontId="4" fillId="0" borderId="0" xfId="75" applyFont="1" applyAlignment="1">
      <alignment wrapText="1"/>
      <protection/>
    </xf>
    <xf numFmtId="0" fontId="50" fillId="0" borderId="0" xfId="65" applyFont="1" applyAlignment="1" applyProtection="1">
      <alignment/>
      <protection/>
    </xf>
    <xf numFmtId="0" fontId="8" fillId="34" borderId="17" xfId="0" applyNumberFormat="1" applyFont="1" applyFill="1" applyBorder="1" applyAlignment="1" applyProtection="1">
      <alignment horizontal="center" vertical="center"/>
      <protection/>
    </xf>
    <xf numFmtId="1" fontId="8" fillId="34" borderId="16" xfId="0" applyNumberFormat="1" applyFont="1" applyFill="1" applyBorder="1" applyAlignment="1" applyProtection="1">
      <alignment horizontal="center" vertical="center"/>
      <protection/>
    </xf>
    <xf numFmtId="0" fontId="4" fillId="0" borderId="0" xfId="87" applyFont="1" applyAlignment="1">
      <alignment vertical="center" wrapText="1"/>
      <protection/>
    </xf>
    <xf numFmtId="192" fontId="18" fillId="34" borderId="11" xfId="0" applyNumberFormat="1" applyFont="1" applyFill="1" applyBorder="1" applyAlignment="1" applyProtection="1">
      <alignment vertical="center"/>
      <protection/>
    </xf>
    <xf numFmtId="0" fontId="47" fillId="34" borderId="0" xfId="0" applyFont="1" applyFill="1" applyAlignment="1">
      <alignment horizontal="center"/>
    </xf>
    <xf numFmtId="0" fontId="47" fillId="34" borderId="0" xfId="0" applyFont="1" applyFill="1" applyAlignment="1">
      <alignment/>
    </xf>
    <xf numFmtId="0" fontId="47" fillId="34" borderId="30" xfId="0" applyFont="1" applyFill="1" applyBorder="1" applyAlignment="1">
      <alignment/>
    </xf>
    <xf numFmtId="0" fontId="52" fillId="0" borderId="0" xfId="0" applyFont="1" applyBorder="1" applyAlignment="1">
      <alignment/>
    </xf>
    <xf numFmtId="0" fontId="47" fillId="0" borderId="0" xfId="0" applyFont="1" applyBorder="1" applyAlignment="1">
      <alignment horizontal="centerContinuous"/>
    </xf>
    <xf numFmtId="0" fontId="47" fillId="34" borderId="0" xfId="0" applyFont="1" applyFill="1" applyAlignment="1">
      <alignment horizontal="center" wrapText="1"/>
    </xf>
    <xf numFmtId="0" fontId="47" fillId="34" borderId="30" xfId="0" applyFont="1" applyFill="1" applyBorder="1" applyAlignment="1">
      <alignment/>
    </xf>
    <xf numFmtId="0" fontId="47" fillId="34" borderId="31" xfId="0" applyFont="1" applyFill="1" applyBorder="1" applyAlignment="1">
      <alignment horizontal="centerContinuous" vertical="center"/>
    </xf>
    <xf numFmtId="190" fontId="47" fillId="34" borderId="0" xfId="0" applyNumberFormat="1" applyFont="1" applyFill="1" applyBorder="1" applyAlignment="1">
      <alignment horizontal="centerContinuous" vertical="center"/>
    </xf>
    <xf numFmtId="0" fontId="47" fillId="34" borderId="0" xfId="0" applyFont="1" applyFill="1" applyBorder="1" applyAlignment="1">
      <alignment horizontal="centerContinuous" vertical="center"/>
    </xf>
    <xf numFmtId="184" fontId="47" fillId="34" borderId="0" xfId="0" applyNumberFormat="1" applyFont="1" applyFill="1" applyBorder="1" applyAlignment="1" applyProtection="1">
      <alignment horizontal="centerContinuous" vertical="center"/>
      <protection locked="0"/>
    </xf>
    <xf numFmtId="191" fontId="47" fillId="34" borderId="0" xfId="0" applyNumberFormat="1" applyFont="1" applyFill="1" applyBorder="1" applyAlignment="1">
      <alignment horizontal="centerContinuous" vertical="center"/>
    </xf>
    <xf numFmtId="0" fontId="47" fillId="34" borderId="32" xfId="0" applyFont="1" applyFill="1" applyBorder="1" applyAlignment="1">
      <alignment horizontal="centerContinuous" vertical="center"/>
    </xf>
    <xf numFmtId="0" fontId="47" fillId="34" borderId="31" xfId="0" applyFont="1" applyFill="1" applyBorder="1" applyAlignment="1">
      <alignment horizontal="centerContinuous"/>
    </xf>
    <xf numFmtId="190" fontId="47" fillId="34" borderId="0" xfId="0" applyNumberFormat="1" applyFont="1" applyFill="1" applyBorder="1" applyAlignment="1">
      <alignment horizontal="centerContinuous"/>
    </xf>
    <xf numFmtId="0" fontId="47" fillId="34" borderId="0" xfId="0" applyFont="1" applyFill="1" applyBorder="1" applyAlignment="1">
      <alignment horizontal="centerContinuous"/>
    </xf>
    <xf numFmtId="184" fontId="47" fillId="34" borderId="0" xfId="0" applyNumberFormat="1" applyFont="1" applyFill="1" applyBorder="1" applyAlignment="1" applyProtection="1">
      <alignment horizontal="centerContinuous"/>
      <protection locked="0"/>
    </xf>
    <xf numFmtId="191" fontId="47" fillId="34" borderId="0" xfId="0" applyNumberFormat="1" applyFont="1" applyFill="1" applyBorder="1" applyAlignment="1">
      <alignment horizontal="centerContinuous"/>
    </xf>
    <xf numFmtId="0" fontId="47" fillId="34" borderId="32" xfId="0" applyFont="1" applyFill="1" applyBorder="1" applyAlignment="1">
      <alignment horizontal="centerContinuous"/>
    </xf>
    <xf numFmtId="0" fontId="48" fillId="36" borderId="0" xfId="0" applyFont="1" applyFill="1" applyAlignment="1">
      <alignment/>
    </xf>
    <xf numFmtId="0" fontId="48" fillId="34" borderId="0" xfId="0" applyFont="1" applyFill="1" applyAlignment="1">
      <alignment/>
    </xf>
    <xf numFmtId="0" fontId="47" fillId="36" borderId="0" xfId="0" applyFont="1" applyFill="1" applyAlignment="1">
      <alignment horizontal="center" wrapText="1"/>
    </xf>
    <xf numFmtId="0" fontId="48" fillId="34" borderId="0" xfId="0" applyFont="1" applyFill="1" applyAlignment="1">
      <alignment horizontal="center"/>
    </xf>
    <xf numFmtId="190" fontId="48" fillId="34" borderId="0" xfId="0" applyNumberFormat="1" applyFont="1" applyFill="1" applyAlignment="1">
      <alignment horizontal="center"/>
    </xf>
    <xf numFmtId="0" fontId="48" fillId="34" borderId="33" xfId="0" applyFont="1" applyFill="1" applyBorder="1" applyAlignment="1">
      <alignment/>
    </xf>
    <xf numFmtId="0" fontId="48" fillId="34" borderId="34" xfId="0" applyFont="1" applyFill="1" applyBorder="1" applyAlignment="1">
      <alignment/>
    </xf>
    <xf numFmtId="190" fontId="48" fillId="34" borderId="35" xfId="0" applyNumberFormat="1" applyFont="1" applyFill="1" applyBorder="1" applyAlignment="1">
      <alignment/>
    </xf>
    <xf numFmtId="0" fontId="48" fillId="34" borderId="0" xfId="0" applyFont="1" applyFill="1" applyBorder="1" applyAlignment="1">
      <alignment/>
    </xf>
    <xf numFmtId="0" fontId="48" fillId="34" borderId="0" xfId="0" applyFont="1" applyFill="1" applyBorder="1" applyAlignment="1">
      <alignment horizontal="center"/>
    </xf>
    <xf numFmtId="190" fontId="48" fillId="34" borderId="10" xfId="0" applyNumberFormat="1" applyFont="1" applyFill="1" applyBorder="1" applyAlignment="1">
      <alignment horizontal="center"/>
    </xf>
    <xf numFmtId="0" fontId="48" fillId="34" borderId="32" xfId="0" applyFont="1" applyFill="1" applyBorder="1" applyAlignment="1">
      <alignment/>
    </xf>
    <xf numFmtId="0" fontId="48" fillId="34" borderId="36" xfId="0" applyFont="1" applyFill="1" applyBorder="1" applyAlignment="1">
      <alignment/>
    </xf>
    <xf numFmtId="0" fontId="48" fillId="34" borderId="37" xfId="0" applyFont="1" applyFill="1" applyBorder="1" applyAlignment="1">
      <alignment/>
    </xf>
    <xf numFmtId="0" fontId="48" fillId="34" borderId="38" xfId="0" applyFont="1" applyFill="1" applyBorder="1" applyAlignment="1">
      <alignment/>
    </xf>
    <xf numFmtId="190" fontId="48" fillId="34" borderId="0" xfId="0" applyNumberFormat="1" applyFont="1" applyFill="1" applyAlignment="1">
      <alignment/>
    </xf>
    <xf numFmtId="0" fontId="48" fillId="34" borderId="30" xfId="0" applyFont="1" applyFill="1" applyBorder="1" applyAlignment="1">
      <alignment/>
    </xf>
    <xf numFmtId="0" fontId="48" fillId="34" borderId="31" xfId="0" applyFont="1" applyFill="1" applyBorder="1" applyAlignment="1">
      <alignment/>
    </xf>
    <xf numFmtId="190" fontId="48" fillId="33" borderId="35" xfId="0" applyNumberFormat="1" applyFont="1" applyFill="1" applyBorder="1" applyAlignment="1" applyProtection="1">
      <alignment horizontal="center"/>
      <protection locked="0"/>
    </xf>
    <xf numFmtId="184" fontId="48" fillId="34" borderId="0" xfId="0" applyNumberFormat="1" applyFont="1" applyFill="1" applyBorder="1" applyAlignment="1">
      <alignment horizontal="center"/>
    </xf>
    <xf numFmtId="190" fontId="48" fillId="0" borderId="0" xfId="0" applyNumberFormat="1" applyFont="1" applyAlignment="1">
      <alignment/>
    </xf>
    <xf numFmtId="0" fontId="48" fillId="36" borderId="0" xfId="0" applyFont="1" applyFill="1" applyBorder="1" applyAlignment="1">
      <alignment/>
    </xf>
    <xf numFmtId="190" fontId="48" fillId="34" borderId="0" xfId="0" applyNumberFormat="1" applyFont="1" applyFill="1" applyBorder="1" applyAlignment="1">
      <alignment horizontal="center"/>
    </xf>
    <xf numFmtId="0" fontId="48" fillId="34" borderId="39" xfId="0" applyFont="1" applyFill="1" applyBorder="1" applyAlignment="1">
      <alignment/>
    </xf>
    <xf numFmtId="0" fontId="48" fillId="34" borderId="22" xfId="0" applyFont="1" applyFill="1" applyBorder="1" applyAlignment="1">
      <alignment/>
    </xf>
    <xf numFmtId="0" fontId="48" fillId="34" borderId="22" xfId="0" applyFont="1" applyFill="1" applyBorder="1" applyAlignment="1">
      <alignment horizontal="center"/>
    </xf>
    <xf numFmtId="0" fontId="48" fillId="34" borderId="40" xfId="0" applyFont="1" applyFill="1" applyBorder="1" applyAlignment="1">
      <alignment/>
    </xf>
    <xf numFmtId="191" fontId="48" fillId="34" borderId="0" xfId="0" applyNumberFormat="1" applyFont="1" applyFill="1" applyBorder="1" applyAlignment="1">
      <alignment horizontal="center"/>
    </xf>
    <xf numFmtId="5" fontId="48" fillId="34" borderId="37" xfId="0" applyNumberFormat="1" applyFont="1" applyFill="1" applyBorder="1" applyAlignment="1">
      <alignment horizontal="center"/>
    </xf>
    <xf numFmtId="0" fontId="48" fillId="34" borderId="37" xfId="0" applyFont="1" applyFill="1" applyBorder="1" applyAlignment="1">
      <alignment horizontal="center"/>
    </xf>
    <xf numFmtId="184" fontId="48" fillId="34" borderId="37" xfId="0" applyNumberFormat="1" applyFont="1" applyFill="1" applyBorder="1" applyAlignment="1">
      <alignment horizontal="center"/>
    </xf>
    <xf numFmtId="191" fontId="48" fillId="34" borderId="37" xfId="0" applyNumberFormat="1" applyFont="1" applyFill="1" applyBorder="1" applyAlignment="1">
      <alignment horizontal="center"/>
    </xf>
    <xf numFmtId="0" fontId="48" fillId="34" borderId="0" xfId="0" applyFont="1" applyFill="1" applyAlignment="1">
      <alignment horizontal="center" wrapText="1"/>
    </xf>
    <xf numFmtId="0" fontId="48" fillId="34" borderId="33" xfId="0" applyFont="1" applyFill="1" applyBorder="1" applyAlignment="1">
      <alignment/>
    </xf>
    <xf numFmtId="0" fontId="48" fillId="34" borderId="34" xfId="0" applyFont="1" applyFill="1" applyBorder="1" applyAlignment="1">
      <alignment/>
    </xf>
    <xf numFmtId="0" fontId="48" fillId="34" borderId="31" xfId="0" applyFont="1" applyFill="1" applyBorder="1" applyAlignment="1">
      <alignment/>
    </xf>
    <xf numFmtId="0" fontId="48" fillId="34" borderId="0" xfId="0" applyFont="1" applyFill="1" applyBorder="1" applyAlignment="1">
      <alignment/>
    </xf>
    <xf numFmtId="0" fontId="48" fillId="34" borderId="32" xfId="0" applyFont="1" applyFill="1" applyBorder="1" applyAlignment="1">
      <alignment/>
    </xf>
    <xf numFmtId="0" fontId="48" fillId="34" borderId="39" xfId="0" applyFont="1" applyFill="1" applyBorder="1" applyAlignment="1">
      <alignment/>
    </xf>
    <xf numFmtId="0" fontId="48" fillId="34" borderId="22" xfId="0" applyFont="1" applyFill="1" applyBorder="1" applyAlignment="1">
      <alignment/>
    </xf>
    <xf numFmtId="0" fontId="48" fillId="34" borderId="40" xfId="0" applyFont="1" applyFill="1" applyBorder="1" applyAlignment="1">
      <alignment/>
    </xf>
    <xf numFmtId="183" fontId="48" fillId="34" borderId="0" xfId="0" applyNumberFormat="1" applyFont="1" applyFill="1" applyBorder="1" applyAlignment="1">
      <alignment horizontal="center"/>
    </xf>
    <xf numFmtId="0" fontId="48" fillId="34" borderId="36" xfId="0" applyFont="1" applyFill="1" applyBorder="1" applyAlignment="1">
      <alignment/>
    </xf>
    <xf numFmtId="0" fontId="48" fillId="34" borderId="38" xfId="0" applyFont="1" applyFill="1" applyBorder="1" applyAlignment="1">
      <alignment/>
    </xf>
    <xf numFmtId="5" fontId="48" fillId="34" borderId="0" xfId="0" applyNumberFormat="1" applyFont="1" applyFill="1" applyBorder="1" applyAlignment="1">
      <alignment horizontal="center"/>
    </xf>
    <xf numFmtId="0" fontId="48" fillId="36" borderId="0" xfId="0" applyFont="1" applyFill="1" applyAlignment="1">
      <alignment/>
    </xf>
    <xf numFmtId="184" fontId="48" fillId="33" borderId="10" xfId="0" applyNumberFormat="1" applyFont="1" applyFill="1" applyBorder="1" applyAlignment="1" applyProtection="1">
      <alignment horizontal="center"/>
      <protection locked="0"/>
    </xf>
    <xf numFmtId="191" fontId="48" fillId="34" borderId="0" xfId="0" applyNumberFormat="1" applyFont="1" applyFill="1" applyBorder="1" applyAlignment="1">
      <alignment/>
    </xf>
    <xf numFmtId="190" fontId="48" fillId="34" borderId="37" xfId="0" applyNumberFormat="1" applyFont="1" applyFill="1" applyBorder="1" applyAlignment="1">
      <alignment horizontal="center"/>
    </xf>
    <xf numFmtId="184" fontId="48" fillId="34" borderId="37" xfId="0" applyNumberFormat="1" applyFont="1" applyFill="1" applyBorder="1" applyAlignment="1" applyProtection="1">
      <alignment horizontal="center"/>
      <protection locked="0"/>
    </xf>
    <xf numFmtId="191" fontId="48" fillId="34" borderId="37" xfId="0" applyNumberFormat="1" applyFont="1" applyFill="1" applyBorder="1" applyAlignment="1">
      <alignment/>
    </xf>
    <xf numFmtId="184" fontId="48" fillId="34" borderId="0" xfId="0" applyNumberFormat="1" applyFont="1" applyFill="1" applyBorder="1" applyAlignment="1" applyProtection="1">
      <alignment horizontal="center"/>
      <protection locked="0"/>
    </xf>
    <xf numFmtId="190" fontId="48" fillId="34" borderId="33" xfId="0" applyNumberFormat="1" applyFont="1" applyFill="1" applyBorder="1" applyAlignment="1">
      <alignment horizontal="center"/>
    </xf>
    <xf numFmtId="0" fontId="48" fillId="34" borderId="33" xfId="0" applyFont="1" applyFill="1" applyBorder="1" applyAlignment="1">
      <alignment horizontal="center"/>
    </xf>
    <xf numFmtId="184" fontId="48" fillId="34" borderId="33" xfId="0" applyNumberFormat="1" applyFont="1" applyFill="1" applyBorder="1" applyAlignment="1" applyProtection="1">
      <alignment horizontal="center"/>
      <protection locked="0"/>
    </xf>
    <xf numFmtId="191" fontId="48" fillId="34" borderId="33" xfId="0" applyNumberFormat="1" applyFont="1" applyFill="1" applyBorder="1" applyAlignment="1">
      <alignment/>
    </xf>
    <xf numFmtId="190" fontId="48" fillId="33" borderId="10" xfId="0" applyNumberFormat="1" applyFont="1" applyFill="1" applyBorder="1" applyAlignment="1" applyProtection="1">
      <alignment horizontal="center"/>
      <protection locked="0"/>
    </xf>
    <xf numFmtId="190" fontId="48" fillId="34" borderId="0" xfId="0" applyNumberFormat="1" applyFont="1" applyFill="1" applyBorder="1" applyAlignment="1" applyProtection="1">
      <alignment horizontal="center"/>
      <protection locked="0"/>
    </xf>
    <xf numFmtId="0" fontId="48" fillId="41" borderId="0" xfId="0" applyFont="1" applyFill="1" applyAlignment="1">
      <alignment/>
    </xf>
    <xf numFmtId="190" fontId="4" fillId="39" borderId="24" xfId="84" applyNumberFormat="1" applyFont="1" applyFill="1" applyBorder="1" applyAlignment="1" applyProtection="1">
      <alignment horizontal="center"/>
      <protection/>
    </xf>
    <xf numFmtId="0" fontId="4" fillId="39" borderId="27" xfId="0" applyFont="1" applyFill="1" applyBorder="1" applyAlignment="1">
      <alignment vertical="center"/>
    </xf>
    <xf numFmtId="0" fontId="4" fillId="39" borderId="10" xfId="0" applyFont="1" applyFill="1" applyBorder="1" applyAlignment="1">
      <alignment vertical="center"/>
    </xf>
    <xf numFmtId="190" fontId="4" fillId="39" borderId="18" xfId="0" applyNumberFormat="1" applyFont="1" applyFill="1" applyBorder="1" applyAlignment="1">
      <alignment horizontal="center" vertical="center"/>
    </xf>
    <xf numFmtId="0" fontId="4" fillId="33" borderId="11" xfId="0" applyFont="1" applyFill="1" applyBorder="1" applyAlignment="1" applyProtection="1">
      <alignment/>
      <protection locked="0"/>
    </xf>
    <xf numFmtId="164" fontId="4" fillId="33" borderId="11" xfId="0" applyNumberFormat="1" applyFont="1" applyFill="1" applyBorder="1" applyAlignment="1" applyProtection="1">
      <alignment/>
      <protection locked="0"/>
    </xf>
    <xf numFmtId="0" fontId="4" fillId="33" borderId="17" xfId="0" applyFont="1" applyFill="1" applyBorder="1" applyAlignment="1" applyProtection="1">
      <alignment/>
      <protection locked="0"/>
    </xf>
    <xf numFmtId="175" fontId="4" fillId="33" borderId="17" xfId="42" applyNumberFormat="1" applyFont="1" applyFill="1" applyBorder="1" applyAlignment="1" applyProtection="1">
      <alignment/>
      <protection locked="0"/>
    </xf>
    <xf numFmtId="0" fontId="4" fillId="33" borderId="17" xfId="0" applyFont="1" applyFill="1" applyBorder="1" applyAlignment="1" applyProtection="1">
      <alignment horizontal="center"/>
      <protection locked="0"/>
    </xf>
    <xf numFmtId="175" fontId="4" fillId="33" borderId="11" xfId="42" applyNumberFormat="1" applyFont="1" applyFill="1" applyBorder="1" applyAlignment="1" applyProtection="1">
      <alignment/>
      <protection locked="0"/>
    </xf>
    <xf numFmtId="0" fontId="4" fillId="33" borderId="11" xfId="0" applyFont="1" applyFill="1" applyBorder="1" applyAlignment="1" applyProtection="1">
      <alignment horizontal="center"/>
      <protection locked="0"/>
    </xf>
    <xf numFmtId="37" fontId="4" fillId="33" borderId="13" xfId="0" applyNumberFormat="1" applyFont="1" applyFill="1" applyBorder="1" applyAlignment="1" applyProtection="1">
      <alignment/>
      <protection locked="0"/>
    </xf>
    <xf numFmtId="184" fontId="4" fillId="34" borderId="11" xfId="0" applyNumberFormat="1" applyFont="1" applyFill="1" applyBorder="1" applyAlignment="1" applyProtection="1">
      <alignment horizontal="right" vertical="center"/>
      <protection/>
    </xf>
    <xf numFmtId="3" fontId="4" fillId="33" borderId="16" xfId="0" applyNumberFormat="1" applyFont="1" applyFill="1" applyBorder="1" applyAlignment="1" applyProtection="1">
      <alignment horizontal="right" vertical="center"/>
      <protection locked="0"/>
    </xf>
    <xf numFmtId="3" fontId="4" fillId="34" borderId="19" xfId="0" applyNumberFormat="1" applyFont="1" applyFill="1" applyBorder="1" applyAlignment="1" applyProtection="1">
      <alignment horizontal="right" vertical="center"/>
      <protection/>
    </xf>
    <xf numFmtId="184" fontId="4" fillId="34" borderId="19" xfId="0" applyNumberFormat="1" applyFont="1" applyFill="1" applyBorder="1" applyAlignment="1" applyProtection="1">
      <alignment horizontal="right" vertical="center"/>
      <protection/>
    </xf>
    <xf numFmtId="37" fontId="4" fillId="34" borderId="11" xfId="0" applyNumberFormat="1" applyFont="1" applyFill="1" applyBorder="1" applyAlignment="1" applyProtection="1">
      <alignment horizontal="right"/>
      <protection/>
    </xf>
    <xf numFmtId="177" fontId="4" fillId="34" borderId="11" xfId="0" applyNumberFormat="1" applyFont="1" applyFill="1" applyBorder="1" applyAlignment="1" applyProtection="1">
      <alignment horizontal="right"/>
      <protection/>
    </xf>
    <xf numFmtId="37" fontId="4" fillId="35" borderId="19" xfId="0" applyNumberFormat="1" applyFont="1" applyFill="1" applyBorder="1" applyAlignment="1" applyProtection="1">
      <alignment horizontal="right"/>
      <protection/>
    </xf>
    <xf numFmtId="177" fontId="4" fillId="35" borderId="19" xfId="0" applyNumberFormat="1" applyFont="1" applyFill="1" applyBorder="1" applyAlignment="1" applyProtection="1">
      <alignment horizontal="right"/>
      <protection/>
    </xf>
    <xf numFmtId="0" fontId="4" fillId="33" borderId="11" xfId="0" applyFont="1" applyFill="1" applyBorder="1" applyAlignment="1" applyProtection="1">
      <alignment horizontal="center" vertical="center"/>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horizontal="center" vertical="center" wrapText="1"/>
    </xf>
    <xf numFmtId="37" fontId="25" fillId="34"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6"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24" fillId="34" borderId="0" xfId="0" applyFont="1" applyFill="1" applyBorder="1" applyAlignment="1">
      <alignment vertical="center"/>
    </xf>
    <xf numFmtId="0" fontId="30" fillId="0" borderId="0" xfId="0" applyFont="1" applyAlignment="1">
      <alignment vertical="center"/>
    </xf>
    <xf numFmtId="0" fontId="4" fillId="0" borderId="0" xfId="380" applyFont="1" applyAlignment="1">
      <alignment horizontal="left" vertical="center" wrapText="1"/>
      <protection/>
    </xf>
    <xf numFmtId="0" fontId="12" fillId="0" borderId="0" xfId="380" applyFont="1" applyAlignment="1">
      <alignment horizontal="left" vertical="center" wrapText="1"/>
      <protection/>
    </xf>
    <xf numFmtId="0" fontId="23" fillId="0" borderId="0" xfId="380" applyFont="1" applyAlignment="1">
      <alignment horizontal="left" vertical="center"/>
      <protection/>
    </xf>
    <xf numFmtId="37" fontId="18" fillId="0" borderId="0" xfId="0" applyNumberFormat="1" applyFont="1" applyAlignment="1" applyProtection="1">
      <alignment horizontal="center" vertical="center"/>
      <protection locked="0"/>
    </xf>
    <xf numFmtId="37" fontId="19" fillId="34" borderId="0" xfId="0" applyNumberFormat="1" applyFont="1" applyFill="1" applyAlignment="1" applyProtection="1">
      <alignment horizontal="center" vertical="center"/>
      <protection/>
    </xf>
    <xf numFmtId="37" fontId="18" fillId="34" borderId="16" xfId="0" applyNumberFormat="1" applyFont="1" applyFill="1" applyBorder="1" applyAlignment="1" applyProtection="1">
      <alignment horizontal="center" vertical="center" wrapText="1"/>
      <protection/>
    </xf>
    <xf numFmtId="0" fontId="20" fillId="0" borderId="17" xfId="0" applyFont="1" applyBorder="1" applyAlignment="1">
      <alignment horizontal="center" vertical="center" wrapText="1"/>
    </xf>
    <xf numFmtId="37" fontId="28"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8"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8" fillId="34" borderId="13" xfId="0" applyNumberFormat="1" applyFont="1" applyFill="1" applyBorder="1" applyAlignment="1" applyProtection="1">
      <alignment horizontal="fill" vertical="center"/>
      <protection/>
    </xf>
    <xf numFmtId="0" fontId="0" fillId="0" borderId="15" xfId="0" applyBorder="1" applyAlignment="1">
      <alignment vertical="center"/>
    </xf>
    <xf numFmtId="0" fontId="18" fillId="34" borderId="0" xfId="0" applyFont="1" applyFill="1" applyAlignment="1" applyProtection="1">
      <alignment horizontal="center" vertical="center"/>
      <protection/>
    </xf>
    <xf numFmtId="0" fontId="18" fillId="36" borderId="16" xfId="0" applyFont="1" applyFill="1" applyBorder="1" applyAlignment="1" applyProtection="1">
      <alignment horizontal="center" vertical="center" wrapText="1"/>
      <protection/>
    </xf>
    <xf numFmtId="0" fontId="0" fillId="0" borderId="17" xfId="0" applyBorder="1" applyAlignment="1">
      <alignment vertical="center" wrapText="1"/>
    </xf>
    <xf numFmtId="0" fontId="7"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4" fillId="34" borderId="16" xfId="0" applyNumberFormat="1" applyFont="1" applyFill="1" applyBorder="1" applyAlignment="1" applyProtection="1">
      <alignment horizontal="center" wrapText="1"/>
      <protection/>
    </xf>
    <xf numFmtId="0" fontId="0" fillId="0" borderId="17" xfId="0" applyBorder="1" applyAlignment="1">
      <alignment horizontal="center" wrapText="1"/>
    </xf>
    <xf numFmtId="37" fontId="5" fillId="34" borderId="0" xfId="0" applyNumberFormat="1" applyFont="1" applyFill="1" applyAlignment="1" applyProtection="1">
      <alignment horizontal="center"/>
      <protection/>
    </xf>
    <xf numFmtId="0" fontId="0" fillId="0" borderId="0" xfId="0" applyAlignment="1">
      <alignment/>
    </xf>
    <xf numFmtId="37" fontId="4" fillId="34" borderId="13" xfId="0" applyNumberFormat="1" applyFont="1" applyFill="1" applyBorder="1" applyAlignment="1" applyProtection="1">
      <alignment horizontal="center"/>
      <protection/>
    </xf>
    <xf numFmtId="0" fontId="0" fillId="0" borderId="14" xfId="0" applyBorder="1" applyAlignment="1">
      <alignment horizontal="center"/>
    </xf>
    <xf numFmtId="0" fontId="0" fillId="0" borderId="15" xfId="0" applyBorder="1" applyAlignment="1">
      <alignment horizontal="center"/>
    </xf>
    <xf numFmtId="0" fontId="4" fillId="34" borderId="27"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4" fillId="34" borderId="27"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28" fillId="34" borderId="20" xfId="75" applyFont="1" applyFill="1" applyBorder="1" applyAlignment="1" applyProtection="1">
      <alignment horizontal="center" vertical="center"/>
      <protection/>
    </xf>
    <xf numFmtId="0" fontId="45" fillId="0" borderId="22" xfId="75" applyFont="1" applyBorder="1" applyAlignment="1" applyProtection="1">
      <alignment horizontal="center" vertical="center"/>
      <protection/>
    </xf>
    <xf numFmtId="0" fontId="0" fillId="0" borderId="21" xfId="75" applyBorder="1" applyAlignment="1" applyProtection="1">
      <alignment vertical="center"/>
      <protection/>
    </xf>
    <xf numFmtId="0" fontId="28" fillId="34" borderId="22" xfId="75" applyFont="1" applyFill="1" applyBorder="1" applyAlignment="1" applyProtection="1">
      <alignment horizontal="center" vertical="center"/>
      <protection/>
    </xf>
    <xf numFmtId="0" fontId="4" fillId="34" borderId="0" xfId="0" applyFont="1" applyFill="1" applyAlignment="1" applyProtection="1">
      <alignment horizontal="center"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3" fontId="4" fillId="34" borderId="22" xfId="87" applyNumberFormat="1" applyFont="1" applyFill="1" applyBorder="1" applyAlignment="1" applyProtection="1">
      <alignment horizontal="right" vertical="center"/>
      <protection/>
    </xf>
    <xf numFmtId="0" fontId="0" fillId="0" borderId="21" xfId="87" applyBorder="1" applyAlignment="1">
      <alignment horizontal="right" vertical="center"/>
      <protection/>
    </xf>
    <xf numFmtId="0" fontId="4" fillId="34" borderId="0" xfId="87" applyFont="1" applyFill="1" applyAlignment="1" applyProtection="1">
      <alignment horizontal="right" vertical="center"/>
      <protection/>
    </xf>
    <xf numFmtId="0" fontId="4" fillId="0" borderId="24" xfId="87" applyFont="1" applyBorder="1" applyAlignment="1">
      <alignment horizontal="right" vertical="center"/>
      <protection/>
    </xf>
    <xf numFmtId="37" fontId="4" fillId="34" borderId="0" xfId="0" applyNumberFormat="1" applyFont="1" applyFill="1" applyAlignment="1" applyProtection="1">
      <alignment horizontal="center" vertical="center"/>
      <protection/>
    </xf>
    <xf numFmtId="0" fontId="44" fillId="34" borderId="20" xfId="75" applyFont="1" applyFill="1" applyBorder="1" applyAlignment="1" applyProtection="1">
      <alignment horizontal="center" vertical="center"/>
      <protection/>
    </xf>
    <xf numFmtId="0" fontId="26" fillId="0" borderId="22" xfId="75" applyFont="1" applyBorder="1" applyAlignment="1" applyProtection="1">
      <alignment horizontal="center" vertical="center"/>
      <protection/>
    </xf>
    <xf numFmtId="0" fontId="26" fillId="0" borderId="21" xfId="75" applyFont="1" applyBorder="1" applyAlignment="1" applyProtection="1">
      <alignment horizontal="center" vertical="center"/>
      <protection/>
    </xf>
    <xf numFmtId="0" fontId="4" fillId="34" borderId="13" xfId="0" applyFont="1" applyFill="1" applyBorder="1" applyAlignment="1">
      <alignment horizontal="center" vertical="center"/>
    </xf>
    <xf numFmtId="0" fontId="4" fillId="34" borderId="15" xfId="0" applyFont="1" applyFill="1" applyBorder="1" applyAlignment="1">
      <alignment horizontal="center" vertical="center"/>
    </xf>
    <xf numFmtId="37" fontId="23" fillId="34" borderId="0" xfId="0" applyNumberFormat="1" applyFont="1" applyFill="1" applyAlignment="1" applyProtection="1">
      <alignment horizontal="center" vertical="center"/>
      <protection/>
    </xf>
    <xf numFmtId="0" fontId="23" fillId="34" borderId="20" xfId="84" applyFont="1" applyFill="1" applyBorder="1" applyAlignment="1" applyProtection="1">
      <alignment horizontal="center"/>
      <protection/>
    </xf>
    <xf numFmtId="0" fontId="23" fillId="34" borderId="22" xfId="84" applyFont="1" applyFill="1" applyBorder="1" applyAlignment="1" applyProtection="1">
      <alignment horizontal="center"/>
      <protection/>
    </xf>
    <xf numFmtId="0" fontId="23" fillId="34" borderId="21" xfId="84" applyFont="1" applyFill="1" applyBorder="1" applyAlignment="1" applyProtection="1">
      <alignment horizontal="center"/>
      <protection/>
    </xf>
    <xf numFmtId="0" fontId="0" fillId="0" borderId="22" xfId="84" applyBorder="1" applyAlignment="1" applyProtection="1">
      <alignment horizontal="center"/>
      <protection/>
    </xf>
    <xf numFmtId="0" fontId="0" fillId="0" borderId="21" xfId="84" applyBorder="1" applyAlignment="1" applyProtection="1">
      <alignment horizontal="center"/>
      <protection/>
    </xf>
    <xf numFmtId="37" fontId="4" fillId="34" borderId="10" xfId="0" applyNumberFormat="1" applyFont="1" applyFill="1" applyBorder="1" applyAlignment="1" applyProtection="1">
      <alignment horizontal="fill" vertical="center"/>
      <protection locked="0"/>
    </xf>
    <xf numFmtId="37" fontId="4" fillId="34" borderId="16" xfId="0" applyNumberFormat="1" applyFont="1" applyFill="1" applyBorder="1" applyAlignment="1" applyProtection="1">
      <alignment horizontal="center" vertical="center" wrapText="1"/>
      <protection/>
    </xf>
    <xf numFmtId="0" fontId="0" fillId="0" borderId="22" xfId="0" applyBorder="1" applyAlignment="1">
      <alignment horizontal="center"/>
    </xf>
    <xf numFmtId="0" fontId="0" fillId="0" borderId="21" xfId="0" applyBorder="1" applyAlignment="1">
      <alignment horizontal="center"/>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xf>
    <xf numFmtId="183" fontId="48" fillId="33" borderId="10" xfId="0" applyNumberFormat="1" applyFont="1" applyFill="1" applyBorder="1" applyAlignment="1" applyProtection="1">
      <alignment horizontal="center"/>
      <protection locked="0"/>
    </xf>
    <xf numFmtId="190" fontId="48" fillId="34" borderId="0" xfId="0" applyNumberFormat="1" applyFont="1" applyFill="1" applyBorder="1" applyAlignment="1">
      <alignment horizontal="center"/>
    </xf>
    <xf numFmtId="190" fontId="48" fillId="0" borderId="32" xfId="0" applyNumberFormat="1" applyFont="1" applyBorder="1" applyAlignment="1">
      <alignment horizontal="center"/>
    </xf>
    <xf numFmtId="0" fontId="48" fillId="34" borderId="31" xfId="0" applyFont="1" applyFill="1" applyBorder="1" applyAlignment="1">
      <alignment vertical="top" wrapText="1"/>
    </xf>
    <xf numFmtId="0" fontId="48" fillId="0" borderId="0" xfId="0" applyFont="1" applyAlignment="1">
      <alignment vertical="top" wrapText="1"/>
    </xf>
    <xf numFmtId="0" fontId="48" fillId="0" borderId="32" xfId="0" applyFont="1" applyBorder="1" applyAlignment="1">
      <alignment vertical="top" wrapText="1"/>
    </xf>
    <xf numFmtId="191" fontId="48" fillId="34" borderId="0" xfId="0" applyNumberFormat="1" applyFont="1" applyFill="1" applyBorder="1" applyAlignment="1">
      <alignment horizontal="center"/>
    </xf>
    <xf numFmtId="0" fontId="48" fillId="0" borderId="32" xfId="0" applyFont="1" applyBorder="1" applyAlignment="1">
      <alignment horizontal="center"/>
    </xf>
    <xf numFmtId="5" fontId="48" fillId="34" borderId="10" xfId="0" applyNumberFormat="1" applyFont="1" applyFill="1" applyBorder="1" applyAlignment="1">
      <alignment horizontal="center"/>
    </xf>
    <xf numFmtId="0" fontId="48" fillId="34" borderId="22" xfId="0" applyFont="1" applyFill="1" applyBorder="1" applyAlignment="1">
      <alignment horizontal="center"/>
    </xf>
    <xf numFmtId="0" fontId="47" fillId="34" borderId="0" xfId="0" applyFont="1" applyFill="1" applyBorder="1" applyAlignment="1">
      <alignment horizontal="center" wrapText="1"/>
    </xf>
    <xf numFmtId="0" fontId="47" fillId="0" borderId="0" xfId="0" applyFont="1" applyAlignment="1">
      <alignment horizontal="center" wrapText="1"/>
    </xf>
    <xf numFmtId="0" fontId="47" fillId="34" borderId="33" xfId="0" applyFont="1" applyFill="1" applyBorder="1" applyAlignment="1">
      <alignment horizontal="center" vertical="center"/>
    </xf>
    <xf numFmtId="0" fontId="48" fillId="34" borderId="0" xfId="0" applyFont="1" applyFill="1" applyAlignment="1">
      <alignment wrapText="1"/>
    </xf>
    <xf numFmtId="0" fontId="48" fillId="0" borderId="0" xfId="0" applyFont="1" applyAlignment="1">
      <alignment wrapText="1"/>
    </xf>
    <xf numFmtId="0" fontId="47" fillId="34" borderId="0" xfId="0" applyFont="1" applyFill="1" applyAlignment="1">
      <alignment horizontal="center" wrapText="1"/>
    </xf>
    <xf numFmtId="190" fontId="48" fillId="33" borderId="10" xfId="0" applyNumberFormat="1" applyFont="1" applyFill="1" applyBorder="1" applyAlignment="1" applyProtection="1">
      <alignment horizontal="center"/>
      <protection locked="0"/>
    </xf>
    <xf numFmtId="0" fontId="47" fillId="34" borderId="0" xfId="0" applyFont="1" applyFill="1" applyAlignment="1">
      <alignment horizontal="center"/>
    </xf>
    <xf numFmtId="190" fontId="48" fillId="34" borderId="0" xfId="0" applyNumberFormat="1" applyFont="1" applyFill="1" applyAlignment="1">
      <alignment horizontal="center"/>
    </xf>
    <xf numFmtId="0" fontId="48" fillId="34" borderId="0" xfId="0" applyFont="1" applyFill="1" applyBorder="1" applyAlignment="1">
      <alignment/>
    </xf>
    <xf numFmtId="0" fontId="48" fillId="0" borderId="0" xfId="0" applyFont="1" applyBorder="1" applyAlignment="1">
      <alignment/>
    </xf>
    <xf numFmtId="0" fontId="48" fillId="34" borderId="37" xfId="0" applyFont="1" applyFill="1" applyBorder="1" applyAlignment="1">
      <alignment/>
    </xf>
    <xf numFmtId="0" fontId="48" fillId="34" borderId="38" xfId="0" applyFont="1" applyFill="1" applyBorder="1" applyAlignment="1">
      <alignment/>
    </xf>
    <xf numFmtId="0" fontId="48" fillId="0" borderId="33" xfId="0" applyFont="1" applyBorder="1" applyAlignment="1">
      <alignment horizontal="center" vertical="center"/>
    </xf>
    <xf numFmtId="0" fontId="48" fillId="0" borderId="0" xfId="0" applyFont="1" applyAlignment="1">
      <alignment horizontal="center" wrapText="1"/>
    </xf>
    <xf numFmtId="0" fontId="47" fillId="34" borderId="0" xfId="0" applyFont="1" applyFill="1" applyAlignment="1">
      <alignment horizontal="center" vertical="center"/>
    </xf>
    <xf numFmtId="0" fontId="47" fillId="0" borderId="0" xfId="0" applyFont="1" applyAlignment="1">
      <alignment horizontal="center" vertical="center"/>
    </xf>
    <xf numFmtId="190" fontId="48" fillId="34" borderId="0" xfId="0" applyNumberFormat="1" applyFont="1" applyFill="1" applyAlignment="1">
      <alignment/>
    </xf>
    <xf numFmtId="0" fontId="48" fillId="34" borderId="0" xfId="0" applyFont="1" applyFill="1" applyBorder="1" applyAlignment="1">
      <alignment wrapText="1"/>
    </xf>
    <xf numFmtId="0" fontId="48" fillId="34" borderId="0" xfId="0" applyFont="1" applyFill="1" applyBorder="1" applyAlignment="1">
      <alignment horizontal="center"/>
    </xf>
  </cellXfs>
  <cellStyles count="3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3" xfId="63"/>
    <cellStyle name="Hyperlink 3 2" xfId="64"/>
    <cellStyle name="Hyperlink 7" xfId="65"/>
    <cellStyle name="Hyperlink 7 2" xfId="66"/>
    <cellStyle name="Input" xfId="67"/>
    <cellStyle name="Linked Cell" xfId="68"/>
    <cellStyle name="Neutral" xfId="69"/>
    <cellStyle name="Normal 10" xfId="70"/>
    <cellStyle name="Normal 10 2" xfId="71"/>
    <cellStyle name="Normal 10 2 2" xfId="72"/>
    <cellStyle name="Normal 10 3" xfId="73"/>
    <cellStyle name="Normal 10 4" xfId="74"/>
    <cellStyle name="Normal 10 5" xfId="75"/>
    <cellStyle name="Normal 10 6" xfId="76"/>
    <cellStyle name="Normal 11" xfId="77"/>
    <cellStyle name="Normal 11 2" xfId="78"/>
    <cellStyle name="Normal 11 2 2" xfId="79"/>
    <cellStyle name="Normal 11 3" xfId="80"/>
    <cellStyle name="Normal 11 4" xfId="81"/>
    <cellStyle name="Normal 11 5" xfId="82"/>
    <cellStyle name="Normal 12" xfId="83"/>
    <cellStyle name="Normal 12 10" xfId="84"/>
    <cellStyle name="Normal 12 11" xfId="85"/>
    <cellStyle name="Normal 12 12" xfId="86"/>
    <cellStyle name="Normal 12 2" xfId="87"/>
    <cellStyle name="Normal 12 2 2" xfId="88"/>
    <cellStyle name="Normal 12 3" xfId="89"/>
    <cellStyle name="Normal 12 4" xfId="90"/>
    <cellStyle name="Normal 12 5" xfId="91"/>
    <cellStyle name="Normal 12 6" xfId="92"/>
    <cellStyle name="Normal 12 7" xfId="93"/>
    <cellStyle name="Normal 12 8" xfId="94"/>
    <cellStyle name="Normal 12 9" xfId="95"/>
    <cellStyle name="Normal 13" xfId="96"/>
    <cellStyle name="Normal 13 10" xfId="97"/>
    <cellStyle name="Normal 13 11" xfId="98"/>
    <cellStyle name="Normal 13 12" xfId="99"/>
    <cellStyle name="Normal 13 2" xfId="100"/>
    <cellStyle name="Normal 13 2 2" xfId="101"/>
    <cellStyle name="Normal 13 3" xfId="102"/>
    <cellStyle name="Normal 13 4" xfId="103"/>
    <cellStyle name="Normal 13 5" xfId="104"/>
    <cellStyle name="Normal 13 6" xfId="105"/>
    <cellStyle name="Normal 13 7" xfId="106"/>
    <cellStyle name="Normal 13 8" xfId="107"/>
    <cellStyle name="Normal 13 9" xfId="108"/>
    <cellStyle name="Normal 14" xfId="109"/>
    <cellStyle name="Normal 14 2" xfId="110"/>
    <cellStyle name="Normal 14 3" xfId="111"/>
    <cellStyle name="Normal 14 4" xfId="112"/>
    <cellStyle name="Normal 14 5" xfId="113"/>
    <cellStyle name="Normal 14 6" xfId="114"/>
    <cellStyle name="Normal 15" xfId="115"/>
    <cellStyle name="Normal 15 2" xfId="116"/>
    <cellStyle name="Normal 15 3" xfId="117"/>
    <cellStyle name="Normal 15 4" xfId="118"/>
    <cellStyle name="Normal 16" xfId="119"/>
    <cellStyle name="Normal 16 2" xfId="120"/>
    <cellStyle name="Normal 16 3" xfId="121"/>
    <cellStyle name="Normal 16 4" xfId="122"/>
    <cellStyle name="Normal 17" xfId="123"/>
    <cellStyle name="Normal 17 2" xfId="124"/>
    <cellStyle name="Normal 17 3" xfId="125"/>
    <cellStyle name="Normal 17 4" xfId="126"/>
    <cellStyle name="Normal 18" xfId="127"/>
    <cellStyle name="Normal 18 2" xfId="128"/>
    <cellStyle name="Normal 18 2 2" xfId="129"/>
    <cellStyle name="Normal 18 2 3" xfId="130"/>
    <cellStyle name="Normal 18 3" xfId="131"/>
    <cellStyle name="Normal 18 4" xfId="132"/>
    <cellStyle name="Normal 18 5" xfId="133"/>
    <cellStyle name="Normal 18 6" xfId="134"/>
    <cellStyle name="Normal 18 7" xfId="135"/>
    <cellStyle name="Normal 19" xfId="136"/>
    <cellStyle name="Normal 19 2" xfId="137"/>
    <cellStyle name="Normal 19 2 2" xfId="138"/>
    <cellStyle name="Normal 19 2 3" xfId="139"/>
    <cellStyle name="Normal 19 3" xfId="140"/>
    <cellStyle name="Normal 19 4" xfId="141"/>
    <cellStyle name="Normal 19 5" xfId="142"/>
    <cellStyle name="Normal 19 6" xfId="143"/>
    <cellStyle name="Normal 2" xfId="144"/>
    <cellStyle name="Normal 2 10" xfId="145"/>
    <cellStyle name="Normal 2 10 10" xfId="146"/>
    <cellStyle name="Normal 2 10 2" xfId="147"/>
    <cellStyle name="Normal 2 10 2 2" xfId="148"/>
    <cellStyle name="Normal 2 10 3" xfId="149"/>
    <cellStyle name="Normal 2 10 3 2" xfId="150"/>
    <cellStyle name="Normal 2 10 4" xfId="151"/>
    <cellStyle name="Normal 2 10 4 2" xfId="152"/>
    <cellStyle name="Normal 2 10 5" xfId="153"/>
    <cellStyle name="Normal 2 10 5 2" xfId="154"/>
    <cellStyle name="Normal 2 10 6" xfId="155"/>
    <cellStyle name="Normal 2 10 6 2" xfId="156"/>
    <cellStyle name="Normal 2 10 7" xfId="157"/>
    <cellStyle name="Normal 2 10 7 2" xfId="158"/>
    <cellStyle name="Normal 2 10 8" xfId="159"/>
    <cellStyle name="Normal 2 10 8 2" xfId="160"/>
    <cellStyle name="Normal 2 10 9" xfId="161"/>
    <cellStyle name="Normal 2 11" xfId="162"/>
    <cellStyle name="Normal 2 11 10" xfId="163"/>
    <cellStyle name="Normal 2 11 2" xfId="164"/>
    <cellStyle name="Normal 2 11 2 2" xfId="165"/>
    <cellStyle name="Normal 2 11 3" xfId="166"/>
    <cellStyle name="Normal 2 11 3 2" xfId="167"/>
    <cellStyle name="Normal 2 11 4" xfId="168"/>
    <cellStyle name="Normal 2 11 4 2" xfId="169"/>
    <cellStyle name="Normal 2 11 5" xfId="170"/>
    <cellStyle name="Normal 2 11 5 2" xfId="171"/>
    <cellStyle name="Normal 2 11 6" xfId="172"/>
    <cellStyle name="Normal 2 11 6 2" xfId="173"/>
    <cellStyle name="Normal 2 11 7" xfId="174"/>
    <cellStyle name="Normal 2 11 7 2" xfId="175"/>
    <cellStyle name="Normal 2 11 8" xfId="176"/>
    <cellStyle name="Normal 2 11 8 2" xfId="177"/>
    <cellStyle name="Normal 2 11 9" xfId="178"/>
    <cellStyle name="Normal 2 12" xfId="179"/>
    <cellStyle name="Normal 2 13" xfId="180"/>
    <cellStyle name="Normal 2 14" xfId="181"/>
    <cellStyle name="Normal 2 15" xfId="182"/>
    <cellStyle name="Normal 2 16"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3 3" xfId="240"/>
    <cellStyle name="Normal 2 3 4" xfId="241"/>
    <cellStyle name="Normal 2 3 5" xfId="242"/>
    <cellStyle name="Normal 2 3 6" xfId="243"/>
    <cellStyle name="Normal 2 3 7" xfId="244"/>
    <cellStyle name="Normal 2 3 8" xfId="245"/>
    <cellStyle name="Normal 2 3 9" xfId="246"/>
    <cellStyle name="Normal 2 4" xfId="247"/>
    <cellStyle name="Normal 2 4 10" xfId="248"/>
    <cellStyle name="Normal 2 4 11" xfId="249"/>
    <cellStyle name="Normal 2 4 2" xfId="250"/>
    <cellStyle name="Normal 2 4 2 2" xfId="251"/>
    <cellStyle name="Normal 2 4 3" xfId="252"/>
    <cellStyle name="Normal 2 4 3 2" xfId="253"/>
    <cellStyle name="Normal 2 4 3 3" xfId="254"/>
    <cellStyle name="Normal 2 4 4" xfId="255"/>
    <cellStyle name="Normal 2 4 5" xfId="256"/>
    <cellStyle name="Normal 2 4 6" xfId="257"/>
    <cellStyle name="Normal 2 4 7" xfId="258"/>
    <cellStyle name="Normal 2 4 8" xfId="259"/>
    <cellStyle name="Normal 2 4 9" xfId="260"/>
    <cellStyle name="Normal 2 5" xfId="261"/>
    <cellStyle name="Normal 2 5 10" xfId="262"/>
    <cellStyle name="Normal 2 5 11" xfId="263"/>
    <cellStyle name="Normal 2 5 12" xfId="264"/>
    <cellStyle name="Normal 2 5 2" xfId="265"/>
    <cellStyle name="Normal 2 5 2 2" xfId="266"/>
    <cellStyle name="Normal 2 5 3" xfId="267"/>
    <cellStyle name="Normal 2 5 3 2" xfId="268"/>
    <cellStyle name="Normal 2 5 4" xfId="269"/>
    <cellStyle name="Normal 2 5 5" xfId="270"/>
    <cellStyle name="Normal 2 5 6" xfId="271"/>
    <cellStyle name="Normal 2 5 7" xfId="272"/>
    <cellStyle name="Normal 2 5 8" xfId="273"/>
    <cellStyle name="Normal 2 5 9" xfId="274"/>
    <cellStyle name="Normal 2 6" xfId="275"/>
    <cellStyle name="Normal 2 6 10" xfId="276"/>
    <cellStyle name="Normal 2 6 11" xfId="277"/>
    <cellStyle name="Normal 2 6 12" xfId="278"/>
    <cellStyle name="Normal 2 6 2" xfId="279"/>
    <cellStyle name="Normal 2 6 2 2" xfId="280"/>
    <cellStyle name="Normal 2 6 3" xfId="281"/>
    <cellStyle name="Normal 2 6 3 2" xfId="282"/>
    <cellStyle name="Normal 2 6 4" xfId="283"/>
    <cellStyle name="Normal 2 6 5" xfId="284"/>
    <cellStyle name="Normal 2 6 6" xfId="285"/>
    <cellStyle name="Normal 2 6 7" xfId="286"/>
    <cellStyle name="Normal 2 6 8" xfId="287"/>
    <cellStyle name="Normal 2 6 9" xfId="288"/>
    <cellStyle name="Normal 2 7" xfId="289"/>
    <cellStyle name="Normal 2 7 10" xfId="290"/>
    <cellStyle name="Normal 2 7 2" xfId="291"/>
    <cellStyle name="Normal 2 7 2 2" xfId="292"/>
    <cellStyle name="Normal 2 7 2 3" xfId="293"/>
    <cellStyle name="Normal 2 7 3" xfId="294"/>
    <cellStyle name="Normal 2 7 3 2" xfId="295"/>
    <cellStyle name="Normal 2 7 4" xfId="296"/>
    <cellStyle name="Normal 2 7 4 2" xfId="297"/>
    <cellStyle name="Normal 2 7 5" xfId="298"/>
    <cellStyle name="Normal 2 7 5 2" xfId="299"/>
    <cellStyle name="Normal 2 7 6" xfId="300"/>
    <cellStyle name="Normal 2 7 6 2" xfId="301"/>
    <cellStyle name="Normal 2 7 7" xfId="302"/>
    <cellStyle name="Normal 2 7 7 2" xfId="303"/>
    <cellStyle name="Normal 2 7 8" xfId="304"/>
    <cellStyle name="Normal 2 7 8 2" xfId="305"/>
    <cellStyle name="Normal 2 7 9" xfId="306"/>
    <cellStyle name="Normal 2 8" xfId="307"/>
    <cellStyle name="Normal 2 8 10" xfId="308"/>
    <cellStyle name="Normal 2 8 2" xfId="309"/>
    <cellStyle name="Normal 2 8 2 2" xfId="310"/>
    <cellStyle name="Normal 2 8 3" xfId="311"/>
    <cellStyle name="Normal 2 8 3 2" xfId="312"/>
    <cellStyle name="Normal 2 8 4" xfId="313"/>
    <cellStyle name="Normal 2 8 4 2" xfId="314"/>
    <cellStyle name="Normal 2 8 5" xfId="315"/>
    <cellStyle name="Normal 2 8 5 2" xfId="316"/>
    <cellStyle name="Normal 2 8 6" xfId="317"/>
    <cellStyle name="Normal 2 8 6 2" xfId="318"/>
    <cellStyle name="Normal 2 8 7" xfId="319"/>
    <cellStyle name="Normal 2 8 7 2" xfId="320"/>
    <cellStyle name="Normal 2 8 8" xfId="321"/>
    <cellStyle name="Normal 2 8 8 2" xfId="322"/>
    <cellStyle name="Normal 2 8 9" xfId="323"/>
    <cellStyle name="Normal 2 9" xfId="324"/>
    <cellStyle name="Normal 2 9 10" xfId="325"/>
    <cellStyle name="Normal 2 9 2" xfId="326"/>
    <cellStyle name="Normal 2 9 2 2" xfId="327"/>
    <cellStyle name="Normal 2 9 3" xfId="328"/>
    <cellStyle name="Normal 2 9 3 2" xfId="329"/>
    <cellStyle name="Normal 2 9 4" xfId="330"/>
    <cellStyle name="Normal 2 9 4 2" xfId="331"/>
    <cellStyle name="Normal 2 9 5" xfId="332"/>
    <cellStyle name="Normal 2 9 5 2" xfId="333"/>
    <cellStyle name="Normal 2 9 6" xfId="334"/>
    <cellStyle name="Normal 2 9 6 2" xfId="335"/>
    <cellStyle name="Normal 2 9 7" xfId="336"/>
    <cellStyle name="Normal 2 9 7 2" xfId="337"/>
    <cellStyle name="Normal 2 9 8" xfId="338"/>
    <cellStyle name="Normal 2 9 8 2" xfId="339"/>
    <cellStyle name="Normal 2 9 9" xfId="340"/>
    <cellStyle name="Normal 20" xfId="341"/>
    <cellStyle name="Normal 20 2" xfId="342"/>
    <cellStyle name="Normal 20 3" xfId="343"/>
    <cellStyle name="Normal 22" xfId="344"/>
    <cellStyle name="Normal 22 2" xfId="345"/>
    <cellStyle name="Normal 22 3" xfId="346"/>
    <cellStyle name="Normal 23" xfId="347"/>
    <cellStyle name="Normal 23 2" xfId="348"/>
    <cellStyle name="Normal 23 3" xfId="349"/>
    <cellStyle name="Normal 24" xfId="350"/>
    <cellStyle name="Normal 24 2" xfId="351"/>
    <cellStyle name="Normal 24 3" xfId="352"/>
    <cellStyle name="Normal 25" xfId="353"/>
    <cellStyle name="Normal 25 2" xfId="354"/>
    <cellStyle name="Normal 25 3" xfId="355"/>
    <cellStyle name="Normal 3" xfId="356"/>
    <cellStyle name="Normal 3 2" xfId="357"/>
    <cellStyle name="Normal 3 3" xfId="358"/>
    <cellStyle name="Normal 3 3 2" xfId="359"/>
    <cellStyle name="Normal 3 3 3" xfId="360"/>
    <cellStyle name="Normal 3 4" xfId="361"/>
    <cellStyle name="Normal 3 5" xfId="362"/>
    <cellStyle name="Normal 3 6" xfId="363"/>
    <cellStyle name="Normal 3 7" xfId="364"/>
    <cellStyle name="Normal 4" xfId="365"/>
    <cellStyle name="Normal 4 2" xfId="366"/>
    <cellStyle name="Normal 4 3" xfId="367"/>
    <cellStyle name="Normal 4 3 2" xfId="368"/>
    <cellStyle name="Normal 4 3 3" xfId="369"/>
    <cellStyle name="Normal 4 4" xfId="370"/>
    <cellStyle name="Normal 4 5" xfId="371"/>
    <cellStyle name="Normal 5" xfId="372"/>
    <cellStyle name="Normal 5 2" xfId="373"/>
    <cellStyle name="Normal 5 3" xfId="374"/>
    <cellStyle name="Normal 6" xfId="375"/>
    <cellStyle name="Normal 6 2" xfId="376"/>
    <cellStyle name="Normal 6 3" xfId="377"/>
    <cellStyle name="Normal 6 4" xfId="378"/>
    <cellStyle name="Normal 6 5" xfId="379"/>
    <cellStyle name="Normal 7" xfId="380"/>
    <cellStyle name="Normal 7 2" xfId="381"/>
    <cellStyle name="Normal 7 2 2" xfId="382"/>
    <cellStyle name="Normal 7 2 2 2" xfId="383"/>
    <cellStyle name="Normal 7 2 3" xfId="384"/>
    <cellStyle name="Normal 7 2 4" xfId="385"/>
    <cellStyle name="Normal 7 3" xfId="386"/>
    <cellStyle name="Normal 7 4" xfId="387"/>
    <cellStyle name="Normal 7 5" xfId="388"/>
    <cellStyle name="Normal 7 5 2" xfId="389"/>
    <cellStyle name="Normal 7 5 3" xfId="390"/>
    <cellStyle name="Normal 7 6" xfId="391"/>
    <cellStyle name="Normal 8" xfId="392"/>
    <cellStyle name="Normal 8 2" xfId="393"/>
    <cellStyle name="Normal 9" xfId="394"/>
    <cellStyle name="Normal 9 2" xfId="395"/>
    <cellStyle name="Normal 9 2 2" xfId="396"/>
    <cellStyle name="Normal 9 3" xfId="397"/>
    <cellStyle name="Normal 9 4" xfId="398"/>
    <cellStyle name="Normal 9 5" xfId="399"/>
    <cellStyle name="Normal_debt" xfId="400"/>
    <cellStyle name="Normal_lpform" xfId="401"/>
    <cellStyle name="Normal_Township 07" xfId="402"/>
    <cellStyle name="Note" xfId="403"/>
    <cellStyle name="Output" xfId="404"/>
    <cellStyle name="Percent" xfId="405"/>
    <cellStyle name="Title" xfId="406"/>
    <cellStyle name="Total" xfId="407"/>
    <cellStyle name="Warning Text" xfId="408"/>
  </cellStyles>
  <dxfs count="406">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6"/>
  <sheetViews>
    <sheetView zoomScale="75" zoomScaleNormal="75" zoomScalePageLayoutView="0" workbookViewId="0" topLeftCell="A1">
      <selection activeCell="L13" sqref="L13"/>
    </sheetView>
  </sheetViews>
  <sheetFormatPr defaultColWidth="8.796875" defaultRowHeight="15"/>
  <cols>
    <col min="1" max="1" width="88.796875" style="77" customWidth="1"/>
    <col min="2" max="16384" width="8.8984375" style="77" customWidth="1"/>
  </cols>
  <sheetData>
    <row r="1" ht="15.75">
      <c r="A1" s="76" t="s">
        <v>287</v>
      </c>
    </row>
    <row r="3" ht="34.5" customHeight="1">
      <c r="A3" s="78" t="s">
        <v>611</v>
      </c>
    </row>
    <row r="4" ht="15.75">
      <c r="A4" s="79"/>
    </row>
    <row r="5" ht="52.5" customHeight="1">
      <c r="A5" s="80" t="s">
        <v>288</v>
      </c>
    </row>
    <row r="6" ht="15.75">
      <c r="A6" s="80"/>
    </row>
    <row r="7" ht="31.5">
      <c r="A7" s="80" t="s">
        <v>895</v>
      </c>
    </row>
    <row r="8" ht="15.75">
      <c r="A8" s="80"/>
    </row>
    <row r="9" ht="54.75" customHeight="1">
      <c r="A9" s="80" t="s">
        <v>880</v>
      </c>
    </row>
    <row r="10" ht="15.75">
      <c r="A10" s="80"/>
    </row>
    <row r="11" ht="15.75">
      <c r="A11" s="80" t="s">
        <v>283</v>
      </c>
    </row>
    <row r="13" ht="118.5" customHeight="1">
      <c r="A13" s="80" t="s">
        <v>875</v>
      </c>
    </row>
    <row r="14" ht="15.75">
      <c r="A14" s="80"/>
    </row>
    <row r="15" ht="106.5" customHeight="1">
      <c r="A15" s="80" t="s">
        <v>876</v>
      </c>
    </row>
    <row r="17" ht="15.75">
      <c r="A17" s="76" t="s">
        <v>833</v>
      </c>
    </row>
    <row r="18" ht="15.75">
      <c r="A18" s="76"/>
    </row>
    <row r="19" ht="15.75">
      <c r="A19" s="79" t="s">
        <v>878</v>
      </c>
    </row>
    <row r="20" ht="15.75">
      <c r="A20" s="79"/>
    </row>
    <row r="21" ht="15.75">
      <c r="A21" s="77" t="s">
        <v>321</v>
      </c>
    </row>
    <row r="23" ht="72" customHeight="1">
      <c r="A23" s="81" t="s">
        <v>879</v>
      </c>
    </row>
    <row r="24" ht="13.5" customHeight="1">
      <c r="A24" s="81"/>
    </row>
    <row r="27" ht="15.75">
      <c r="A27" s="76" t="s">
        <v>436</v>
      </c>
    </row>
    <row r="29" ht="34.5" customHeight="1">
      <c r="A29" s="80" t="s">
        <v>874</v>
      </c>
    </row>
    <row r="30" ht="9.75" customHeight="1">
      <c r="A30" s="80"/>
    </row>
    <row r="31" ht="15.75">
      <c r="A31" s="82" t="s">
        <v>0</v>
      </c>
    </row>
    <row r="32" ht="15.75">
      <c r="A32" s="80"/>
    </row>
    <row r="33" ht="17.25" customHeight="1">
      <c r="A33" s="83" t="s">
        <v>256</v>
      </c>
    </row>
    <row r="34" ht="17.25" customHeight="1">
      <c r="A34" s="84"/>
    </row>
    <row r="35" ht="87.75" customHeight="1">
      <c r="A35" s="85" t="s">
        <v>857</v>
      </c>
    </row>
    <row r="37" ht="15.75">
      <c r="A37" s="86" t="s">
        <v>1</v>
      </c>
    </row>
    <row r="39" ht="15.75">
      <c r="A39" s="87" t="s">
        <v>877</v>
      </c>
    </row>
    <row r="41" ht="15.75">
      <c r="A41" s="80" t="s">
        <v>437</v>
      </c>
    </row>
    <row r="43" ht="15.75">
      <c r="A43" s="76" t="s">
        <v>438</v>
      </c>
    </row>
    <row r="45" ht="70.5" customHeight="1">
      <c r="A45" s="80" t="s">
        <v>347</v>
      </c>
    </row>
    <row r="46" ht="52.5" customHeight="1">
      <c r="A46" s="88" t="s">
        <v>847</v>
      </c>
    </row>
    <row r="47" ht="9" customHeight="1">
      <c r="A47" s="80"/>
    </row>
    <row r="48" ht="69.75" customHeight="1">
      <c r="A48" s="80" t="s">
        <v>348</v>
      </c>
    </row>
    <row r="49" ht="53.25" customHeight="1">
      <c r="A49" s="80" t="s">
        <v>848</v>
      </c>
    </row>
    <row r="50" ht="102.75" customHeight="1">
      <c r="A50" s="80" t="s">
        <v>429</v>
      </c>
    </row>
    <row r="51" ht="73.5" customHeight="1">
      <c r="A51" s="449" t="s">
        <v>834</v>
      </c>
    </row>
    <row r="52" ht="69.75" customHeight="1">
      <c r="A52" s="450" t="s">
        <v>835</v>
      </c>
    </row>
    <row r="53" ht="12" customHeight="1">
      <c r="A53" s="80"/>
    </row>
    <row r="54" ht="68.25" customHeight="1">
      <c r="A54" s="80" t="s">
        <v>19</v>
      </c>
    </row>
    <row r="55" ht="68.25" customHeight="1">
      <c r="A55" s="80" t="s">
        <v>20</v>
      </c>
    </row>
    <row r="56" ht="31.5">
      <c r="A56" s="80" t="s">
        <v>21</v>
      </c>
    </row>
    <row r="57" ht="31.5">
      <c r="A57" s="80" t="s">
        <v>22</v>
      </c>
    </row>
    <row r="58" ht="12" customHeight="1"/>
    <row r="59" ht="68.25" customHeight="1">
      <c r="A59" s="80" t="s">
        <v>23</v>
      </c>
    </row>
    <row r="60" ht="128.25" customHeight="1">
      <c r="A60" s="80" t="s">
        <v>24</v>
      </c>
    </row>
    <row r="61" ht="35.25" customHeight="1">
      <c r="A61" s="80" t="s">
        <v>25</v>
      </c>
    </row>
    <row r="62" ht="10.5" customHeight="1">
      <c r="A62" s="80"/>
    </row>
    <row r="63" ht="68.25" customHeight="1">
      <c r="A63" s="80" t="s">
        <v>26</v>
      </c>
    </row>
    <row r="64" ht="10.5" customHeight="1">
      <c r="A64" s="80"/>
    </row>
    <row r="65" ht="72.75" customHeight="1">
      <c r="A65" s="80" t="s">
        <v>27</v>
      </c>
    </row>
    <row r="66" ht="31.5" customHeight="1">
      <c r="A66" s="80" t="s">
        <v>650</v>
      </c>
    </row>
    <row r="67" ht="82.5" customHeight="1">
      <c r="A67" s="80" t="s">
        <v>651</v>
      </c>
    </row>
    <row r="68" ht="37.5" customHeight="1">
      <c r="A68" s="423" t="s">
        <v>649</v>
      </c>
    </row>
    <row r="69" ht="12" customHeight="1">
      <c r="A69" s="80"/>
    </row>
    <row r="70" ht="54" customHeight="1">
      <c r="A70" s="80" t="s">
        <v>28</v>
      </c>
    </row>
    <row r="71" ht="12" customHeight="1"/>
    <row r="72" s="80" customFormat="1" ht="69" customHeight="1">
      <c r="A72" s="80" t="s">
        <v>29</v>
      </c>
    </row>
    <row r="73" ht="12" customHeight="1"/>
    <row r="74" ht="87" customHeight="1">
      <c r="A74" s="80" t="s">
        <v>30</v>
      </c>
    </row>
    <row r="75" ht="87" customHeight="1">
      <c r="A75" s="578" t="s">
        <v>349</v>
      </c>
    </row>
    <row r="76" ht="87" customHeight="1">
      <c r="A76" s="578" t="s">
        <v>16</v>
      </c>
    </row>
    <row r="77" ht="72" customHeight="1">
      <c r="A77" s="80" t="s">
        <v>576</v>
      </c>
    </row>
    <row r="78" ht="116.25" customHeight="1">
      <c r="A78" s="80" t="s">
        <v>577</v>
      </c>
    </row>
    <row r="79" ht="132.75" customHeight="1">
      <c r="A79" s="80" t="s">
        <v>845</v>
      </c>
    </row>
    <row r="80" ht="84" customHeight="1">
      <c r="A80" s="578" t="s">
        <v>846</v>
      </c>
    </row>
    <row r="81" ht="124.5" customHeight="1">
      <c r="A81" s="80" t="s">
        <v>350</v>
      </c>
    </row>
    <row r="82" ht="38.25" customHeight="1">
      <c r="A82" s="80" t="s">
        <v>351</v>
      </c>
    </row>
    <row r="83" ht="85.5" customHeight="1">
      <c r="A83" s="80" t="s">
        <v>352</v>
      </c>
    </row>
    <row r="84" ht="40.5" customHeight="1">
      <c r="A84" s="80" t="s">
        <v>353</v>
      </c>
    </row>
    <row r="85" ht="140.25" customHeight="1">
      <c r="A85" s="420" t="s">
        <v>354</v>
      </c>
    </row>
    <row r="86" ht="119.25" customHeight="1">
      <c r="A86" s="421" t="s">
        <v>355</v>
      </c>
    </row>
    <row r="87" ht="59.25" customHeight="1">
      <c r="A87" s="422" t="s">
        <v>356</v>
      </c>
    </row>
    <row r="89" ht="154.5" customHeight="1">
      <c r="A89" s="80" t="s">
        <v>31</v>
      </c>
    </row>
    <row r="90" ht="132" customHeight="1">
      <c r="A90" s="80" t="s">
        <v>32</v>
      </c>
    </row>
    <row r="91" ht="54" customHeight="1">
      <c r="A91" s="80" t="s">
        <v>33</v>
      </c>
    </row>
    <row r="92" ht="21.75" customHeight="1">
      <c r="A92" s="80" t="s">
        <v>34</v>
      </c>
    </row>
    <row r="94" ht="52.5" customHeight="1">
      <c r="A94" s="80" t="s">
        <v>35</v>
      </c>
    </row>
    <row r="95" ht="22.5" customHeight="1">
      <c r="A95" s="80" t="s">
        <v>36</v>
      </c>
    </row>
    <row r="96" ht="79.5" customHeight="1">
      <c r="A96" s="578" t="s">
        <v>357</v>
      </c>
    </row>
    <row r="97" ht="90.75" customHeight="1">
      <c r="A97" s="578" t="s">
        <v>358</v>
      </c>
    </row>
    <row r="98" ht="37.5" customHeight="1">
      <c r="A98" s="80" t="s">
        <v>359</v>
      </c>
    </row>
    <row r="99" ht="57.75" customHeight="1">
      <c r="A99" s="80" t="s">
        <v>360</v>
      </c>
    </row>
    <row r="100" ht="57.75" customHeight="1">
      <c r="A100" s="80" t="s">
        <v>361</v>
      </c>
    </row>
    <row r="101" ht="10.5" customHeight="1"/>
    <row r="102" ht="57" customHeight="1">
      <c r="A102" s="80" t="s">
        <v>37</v>
      </c>
    </row>
    <row r="103" ht="15.75" customHeight="1"/>
    <row r="104" ht="54" customHeight="1">
      <c r="A104" s="578" t="s">
        <v>362</v>
      </c>
    </row>
    <row r="105" ht="93" customHeight="1">
      <c r="A105" s="578" t="s">
        <v>363</v>
      </c>
    </row>
    <row r="106" ht="104.25" customHeight="1">
      <c r="A106" s="578" t="s">
        <v>364</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10.xml><?xml version="1.0" encoding="utf-8"?>
<worksheet xmlns="http://schemas.openxmlformats.org/spreadsheetml/2006/main" xmlns:r="http://schemas.openxmlformats.org/officeDocument/2006/relationships">
  <sheetPr>
    <pageSetUpPr fitToPage="1"/>
  </sheetPr>
  <dimension ref="A1:AB42"/>
  <sheetViews>
    <sheetView tabSelected="1" zoomScale="75" zoomScaleNormal="75" zoomScalePageLayoutView="0" workbookViewId="0" topLeftCell="A1">
      <selection activeCell="F49" sqref="F49"/>
    </sheetView>
  </sheetViews>
  <sheetFormatPr defaultColWidth="8.796875" defaultRowHeight="15"/>
  <cols>
    <col min="1" max="1" width="20.796875" style="148" customWidth="1"/>
    <col min="2" max="2" width="9.3984375" style="148" customWidth="1"/>
    <col min="3" max="3" width="9.796875" style="148" customWidth="1"/>
    <col min="4" max="4" width="8.796875" style="148" customWidth="1"/>
    <col min="5" max="5" width="12.796875" style="148" customWidth="1"/>
    <col min="6" max="6" width="14" style="148" customWidth="1"/>
    <col min="7" max="12" width="9.796875" style="148" customWidth="1"/>
    <col min="13" max="16384" width="8.8984375" style="148" customWidth="1"/>
  </cols>
  <sheetData>
    <row r="1" spans="1:12" ht="15.75">
      <c r="A1" s="240" t="str">
        <f>inputPrYr!$C$2</f>
        <v>Clay County</v>
      </c>
      <c r="B1" s="90"/>
      <c r="C1" s="90"/>
      <c r="D1" s="90"/>
      <c r="E1" s="90"/>
      <c r="F1" s="90"/>
      <c r="G1" s="90"/>
      <c r="H1" s="90"/>
      <c r="I1" s="90"/>
      <c r="J1" s="90"/>
      <c r="K1" s="90"/>
      <c r="L1" s="265">
        <f>inputPrYr!$C$4</f>
        <v>2012</v>
      </c>
    </row>
    <row r="2" spans="1:12" ht="15.75">
      <c r="A2" s="240"/>
      <c r="B2" s="90"/>
      <c r="C2" s="90"/>
      <c r="D2" s="90"/>
      <c r="E2" s="90"/>
      <c r="F2" s="90"/>
      <c r="G2" s="90"/>
      <c r="H2" s="90"/>
      <c r="I2" s="90"/>
      <c r="J2" s="90"/>
      <c r="K2" s="90"/>
      <c r="L2" s="252"/>
    </row>
    <row r="3" spans="1:12" ht="15.75">
      <c r="A3" s="266" t="s">
        <v>213</v>
      </c>
      <c r="B3" s="98"/>
      <c r="C3" s="98"/>
      <c r="D3" s="98"/>
      <c r="E3" s="98"/>
      <c r="F3" s="98"/>
      <c r="G3" s="98"/>
      <c r="H3" s="98"/>
      <c r="I3" s="98"/>
      <c r="J3" s="98"/>
      <c r="K3" s="98"/>
      <c r="L3" s="98"/>
    </row>
    <row r="4" spans="1:12" ht="15.75">
      <c r="A4" s="90"/>
      <c r="B4" s="267"/>
      <c r="C4" s="267"/>
      <c r="D4" s="267"/>
      <c r="E4" s="267"/>
      <c r="F4" s="267"/>
      <c r="G4" s="267"/>
      <c r="H4" s="267"/>
      <c r="I4" s="267"/>
      <c r="J4" s="267"/>
      <c r="K4" s="267"/>
      <c r="L4" s="267"/>
    </row>
    <row r="5" spans="1:12" ht="15.75">
      <c r="A5" s="90"/>
      <c r="B5" s="268" t="s">
        <v>178</v>
      </c>
      <c r="C5" s="268" t="s">
        <v>178</v>
      </c>
      <c r="D5" s="268" t="s">
        <v>193</v>
      </c>
      <c r="E5" s="268"/>
      <c r="F5" s="268" t="s">
        <v>314</v>
      </c>
      <c r="G5" s="90"/>
      <c r="H5" s="90"/>
      <c r="I5" s="269" t="s">
        <v>179</v>
      </c>
      <c r="J5" s="270"/>
      <c r="K5" s="269" t="s">
        <v>179</v>
      </c>
      <c r="L5" s="270"/>
    </row>
    <row r="6" spans="1:12" ht="15.75">
      <c r="A6" s="90"/>
      <c r="B6" s="271" t="s">
        <v>180</v>
      </c>
      <c r="C6" s="271" t="s">
        <v>315</v>
      </c>
      <c r="D6" s="271" t="s">
        <v>181</v>
      </c>
      <c r="E6" s="271" t="s">
        <v>115</v>
      </c>
      <c r="F6" s="271" t="s">
        <v>259</v>
      </c>
      <c r="G6" s="718" t="s">
        <v>182</v>
      </c>
      <c r="H6" s="719"/>
      <c r="I6" s="720">
        <f>L1-1</f>
        <v>2011</v>
      </c>
      <c r="J6" s="721"/>
      <c r="K6" s="720">
        <f>L1</f>
        <v>2012</v>
      </c>
      <c r="L6" s="721"/>
    </row>
    <row r="7" spans="1:12" ht="15.75">
      <c r="A7" s="273" t="s">
        <v>183</v>
      </c>
      <c r="B7" s="274" t="s">
        <v>184</v>
      </c>
      <c r="C7" s="274" t="s">
        <v>316</v>
      </c>
      <c r="D7" s="274" t="s">
        <v>139</v>
      </c>
      <c r="E7" s="274" t="s">
        <v>185</v>
      </c>
      <c r="F7" s="272" t="str">
        <f>CONCATENATE("Jan 1,",L1-1,"")</f>
        <v>Jan 1,2011</v>
      </c>
      <c r="G7" s="263" t="s">
        <v>193</v>
      </c>
      <c r="H7" s="263" t="s">
        <v>194</v>
      </c>
      <c r="I7" s="263" t="s">
        <v>193</v>
      </c>
      <c r="J7" s="263" t="s">
        <v>194</v>
      </c>
      <c r="K7" s="263" t="s">
        <v>193</v>
      </c>
      <c r="L7" s="263" t="s">
        <v>194</v>
      </c>
    </row>
    <row r="8" spans="1:12" ht="15.75">
      <c r="A8" s="273" t="s">
        <v>186</v>
      </c>
      <c r="B8" s="113"/>
      <c r="C8" s="113"/>
      <c r="D8" s="275"/>
      <c r="E8" s="276"/>
      <c r="F8" s="276"/>
      <c r="G8" s="113"/>
      <c r="H8" s="113"/>
      <c r="I8" s="276"/>
      <c r="J8" s="276"/>
      <c r="K8" s="276"/>
      <c r="L8" s="276"/>
    </row>
    <row r="9" spans="1:12" ht="15.75">
      <c r="A9" s="277" t="s">
        <v>700</v>
      </c>
      <c r="B9" s="457">
        <v>35735</v>
      </c>
      <c r="C9" s="457"/>
      <c r="D9" s="278" t="s">
        <v>702</v>
      </c>
      <c r="E9" s="279">
        <v>1375000</v>
      </c>
      <c r="F9" s="280">
        <f>795000-105000</f>
        <v>690000</v>
      </c>
      <c r="G9" s="281" t="s">
        <v>704</v>
      </c>
      <c r="H9" s="281">
        <v>40817</v>
      </c>
      <c r="I9" s="280">
        <v>34170</v>
      </c>
      <c r="J9" s="280">
        <v>105000</v>
      </c>
      <c r="K9" s="280">
        <v>29130</v>
      </c>
      <c r="L9" s="280">
        <v>110000</v>
      </c>
    </row>
    <row r="10" spans="1:12" ht="15.75">
      <c r="A10" s="277" t="s">
        <v>701</v>
      </c>
      <c r="B10" s="457">
        <v>37371</v>
      </c>
      <c r="C10" s="457"/>
      <c r="D10" s="278" t="s">
        <v>703</v>
      </c>
      <c r="E10" s="279">
        <v>2000000</v>
      </c>
      <c r="F10" s="280">
        <f>920000-215000</f>
        <v>705000</v>
      </c>
      <c r="G10" s="281" t="s">
        <v>704</v>
      </c>
      <c r="H10" s="281">
        <v>40817</v>
      </c>
      <c r="I10" s="280">
        <v>29278</v>
      </c>
      <c r="J10" s="280">
        <v>225000</v>
      </c>
      <c r="K10" s="280">
        <v>20165</v>
      </c>
      <c r="L10" s="280">
        <v>235000</v>
      </c>
    </row>
    <row r="11" spans="1:12" ht="15.75">
      <c r="A11" s="277"/>
      <c r="B11" s="457"/>
      <c r="C11" s="457"/>
      <c r="D11" s="278"/>
      <c r="E11" s="279"/>
      <c r="F11" s="280"/>
      <c r="G11" s="281"/>
      <c r="H11" s="281"/>
      <c r="I11" s="280"/>
      <c r="J11" s="280"/>
      <c r="K11" s="280"/>
      <c r="L11" s="280"/>
    </row>
    <row r="12" spans="1:12" ht="15.75">
      <c r="A12" s="277"/>
      <c r="B12" s="457"/>
      <c r="C12" s="457"/>
      <c r="D12" s="278"/>
      <c r="E12" s="279"/>
      <c r="F12" s="280"/>
      <c r="G12" s="281"/>
      <c r="H12" s="281"/>
      <c r="I12" s="280"/>
      <c r="J12" s="280"/>
      <c r="K12" s="280"/>
      <c r="L12" s="280"/>
    </row>
    <row r="13" spans="1:12" ht="15.75">
      <c r="A13" s="277"/>
      <c r="B13" s="457"/>
      <c r="C13" s="457"/>
      <c r="D13" s="278"/>
      <c r="E13" s="279"/>
      <c r="F13" s="280"/>
      <c r="G13" s="281"/>
      <c r="H13" s="281"/>
      <c r="I13" s="280"/>
      <c r="J13" s="280"/>
      <c r="K13" s="280"/>
      <c r="L13" s="280"/>
    </row>
    <row r="14" spans="1:12" ht="15.75">
      <c r="A14" s="277"/>
      <c r="B14" s="457"/>
      <c r="C14" s="457"/>
      <c r="D14" s="278"/>
      <c r="E14" s="279"/>
      <c r="F14" s="280"/>
      <c r="G14" s="281"/>
      <c r="H14" s="281"/>
      <c r="I14" s="280"/>
      <c r="J14" s="280"/>
      <c r="K14" s="280"/>
      <c r="L14" s="280"/>
    </row>
    <row r="15" spans="1:12" ht="15.75">
      <c r="A15" s="277"/>
      <c r="B15" s="457"/>
      <c r="C15" s="457"/>
      <c r="D15" s="278"/>
      <c r="E15" s="279"/>
      <c r="F15" s="280"/>
      <c r="G15" s="281"/>
      <c r="H15" s="281"/>
      <c r="I15" s="280"/>
      <c r="J15" s="280"/>
      <c r="K15" s="280"/>
      <c r="L15" s="280"/>
    </row>
    <row r="16" spans="1:12" ht="15.75">
      <c r="A16" s="277"/>
      <c r="B16" s="457"/>
      <c r="C16" s="457"/>
      <c r="D16" s="278"/>
      <c r="E16" s="279"/>
      <c r="F16" s="280"/>
      <c r="G16" s="281"/>
      <c r="H16" s="281"/>
      <c r="I16" s="280"/>
      <c r="J16" s="280"/>
      <c r="K16" s="280"/>
      <c r="L16" s="280"/>
    </row>
    <row r="17" spans="1:12" ht="15.75">
      <c r="A17" s="277"/>
      <c r="B17" s="457"/>
      <c r="C17" s="457"/>
      <c r="D17" s="278"/>
      <c r="E17" s="279"/>
      <c r="F17" s="280"/>
      <c r="G17" s="281"/>
      <c r="H17" s="281"/>
      <c r="I17" s="280"/>
      <c r="J17" s="280"/>
      <c r="K17" s="280"/>
      <c r="L17" s="280"/>
    </row>
    <row r="18" spans="1:12" ht="15.75">
      <c r="A18" s="277"/>
      <c r="B18" s="457"/>
      <c r="C18" s="457"/>
      <c r="D18" s="278"/>
      <c r="E18" s="279"/>
      <c r="F18" s="280"/>
      <c r="G18" s="281"/>
      <c r="H18" s="281"/>
      <c r="I18" s="280"/>
      <c r="J18" s="280"/>
      <c r="K18" s="280"/>
      <c r="L18" s="280"/>
    </row>
    <row r="19" spans="1:12" ht="15.75">
      <c r="A19" s="282" t="s">
        <v>187</v>
      </c>
      <c r="B19" s="283"/>
      <c r="C19" s="283"/>
      <c r="D19" s="284"/>
      <c r="E19" s="285"/>
      <c r="F19" s="286">
        <f>SUM(F9:F18)</f>
        <v>1395000</v>
      </c>
      <c r="G19" s="287"/>
      <c r="H19" s="287"/>
      <c r="I19" s="286">
        <f>SUM(I9:I18)</f>
        <v>63448</v>
      </c>
      <c r="J19" s="286">
        <f>SUM(J9:J18)</f>
        <v>330000</v>
      </c>
      <c r="K19" s="286">
        <f>SUM(K9:K18)</f>
        <v>49295</v>
      </c>
      <c r="L19" s="286">
        <f>SUM(L9:L18)</f>
        <v>345000</v>
      </c>
    </row>
    <row r="20" spans="1:12" ht="15.75">
      <c r="A20" s="263" t="s">
        <v>188</v>
      </c>
      <c r="B20" s="288"/>
      <c r="C20" s="288"/>
      <c r="D20" s="289"/>
      <c r="E20" s="290"/>
      <c r="F20" s="290"/>
      <c r="G20" s="291"/>
      <c r="H20" s="291"/>
      <c r="I20" s="290"/>
      <c r="J20" s="290"/>
      <c r="K20" s="290"/>
      <c r="L20" s="290"/>
    </row>
    <row r="21" spans="1:12" ht="15.75">
      <c r="A21" s="277"/>
      <c r="B21" s="457"/>
      <c r="C21" s="457"/>
      <c r="D21" s="278"/>
      <c r="E21" s="279"/>
      <c r="F21" s="280"/>
      <c r="G21" s="281"/>
      <c r="H21" s="281"/>
      <c r="I21" s="280"/>
      <c r="J21" s="280"/>
      <c r="K21" s="280"/>
      <c r="L21" s="280"/>
    </row>
    <row r="22" spans="1:12" ht="15.75">
      <c r="A22" s="277"/>
      <c r="B22" s="457"/>
      <c r="C22" s="457"/>
      <c r="D22" s="278"/>
      <c r="E22" s="279"/>
      <c r="F22" s="280"/>
      <c r="G22" s="281"/>
      <c r="H22" s="281"/>
      <c r="I22" s="280"/>
      <c r="J22" s="280"/>
      <c r="K22" s="280"/>
      <c r="L22" s="280"/>
    </row>
    <row r="23" spans="1:12" ht="15.75">
      <c r="A23" s="277"/>
      <c r="B23" s="457"/>
      <c r="C23" s="457"/>
      <c r="D23" s="278"/>
      <c r="E23" s="279"/>
      <c r="F23" s="280"/>
      <c r="G23" s="281"/>
      <c r="H23" s="281"/>
      <c r="I23" s="280"/>
      <c r="J23" s="280"/>
      <c r="K23" s="280"/>
      <c r="L23" s="280"/>
    </row>
    <row r="24" spans="1:12" ht="15.75">
      <c r="A24" s="277"/>
      <c r="B24" s="457"/>
      <c r="C24" s="457"/>
      <c r="D24" s="278"/>
      <c r="E24" s="279"/>
      <c r="F24" s="280"/>
      <c r="G24" s="281"/>
      <c r="H24" s="281"/>
      <c r="I24" s="280"/>
      <c r="J24" s="280"/>
      <c r="K24" s="280"/>
      <c r="L24" s="280"/>
    </row>
    <row r="25" spans="1:12" ht="15.75">
      <c r="A25" s="277"/>
      <c r="B25" s="457"/>
      <c r="C25" s="457"/>
      <c r="D25" s="278"/>
      <c r="E25" s="279"/>
      <c r="F25" s="280"/>
      <c r="G25" s="281"/>
      <c r="H25" s="281"/>
      <c r="I25" s="280"/>
      <c r="J25" s="280"/>
      <c r="K25" s="280"/>
      <c r="L25" s="280"/>
    </row>
    <row r="26" spans="1:12" ht="15.75">
      <c r="A26" s="277"/>
      <c r="B26" s="457"/>
      <c r="C26" s="457"/>
      <c r="D26" s="278"/>
      <c r="E26" s="279"/>
      <c r="F26" s="280"/>
      <c r="G26" s="281"/>
      <c r="H26" s="281"/>
      <c r="I26" s="280"/>
      <c r="J26" s="280"/>
      <c r="K26" s="280"/>
      <c r="L26" s="280"/>
    </row>
    <row r="27" spans="1:12" ht="15.75">
      <c r="A27" s="282" t="s">
        <v>189</v>
      </c>
      <c r="B27" s="283"/>
      <c r="C27" s="283"/>
      <c r="D27" s="292"/>
      <c r="E27" s="285"/>
      <c r="F27" s="293">
        <f>SUM(F21:F26)</f>
        <v>0</v>
      </c>
      <c r="G27" s="287"/>
      <c r="H27" s="287"/>
      <c r="I27" s="293">
        <f>SUM(I21:I26)</f>
        <v>0</v>
      </c>
      <c r="J27" s="293">
        <f>SUM(J21:J26)</f>
        <v>0</v>
      </c>
      <c r="K27" s="286">
        <f>SUM(K21:K26)</f>
        <v>0</v>
      </c>
      <c r="L27" s="293">
        <f>SUM(L21:L26)</f>
        <v>0</v>
      </c>
    </row>
    <row r="28" spans="1:12" ht="15.75">
      <c r="A28" s="263" t="s">
        <v>190</v>
      </c>
      <c r="B28" s="288"/>
      <c r="C28" s="288"/>
      <c r="D28" s="289"/>
      <c r="E28" s="290"/>
      <c r="F28" s="294"/>
      <c r="G28" s="291"/>
      <c r="H28" s="291"/>
      <c r="I28" s="290"/>
      <c r="J28" s="290"/>
      <c r="K28" s="290"/>
      <c r="L28" s="290"/>
    </row>
    <row r="29" spans="1:12" ht="15.75">
      <c r="A29" s="277" t="s">
        <v>705</v>
      </c>
      <c r="B29" s="457">
        <v>38824</v>
      </c>
      <c r="C29" s="457"/>
      <c r="D29" s="278">
        <v>4</v>
      </c>
      <c r="E29" s="279">
        <v>2580729</v>
      </c>
      <c r="F29" s="280">
        <f>2219789-127888</f>
        <v>2091901</v>
      </c>
      <c r="G29" s="281" t="s">
        <v>706</v>
      </c>
      <c r="H29" s="281">
        <v>40756</v>
      </c>
      <c r="I29" s="280">
        <v>69716</v>
      </c>
      <c r="J29" s="280">
        <v>165179</v>
      </c>
      <c r="K29" s="280">
        <v>63472</v>
      </c>
      <c r="L29" s="280">
        <v>171423</v>
      </c>
    </row>
    <row r="30" spans="1:12" ht="15.75">
      <c r="A30" s="277"/>
      <c r="B30" s="457"/>
      <c r="C30" s="457"/>
      <c r="D30" s="278"/>
      <c r="E30" s="279"/>
      <c r="F30" s="280"/>
      <c r="G30" s="281"/>
      <c r="H30" s="281"/>
      <c r="I30" s="280"/>
      <c r="J30" s="280"/>
      <c r="K30" s="280"/>
      <c r="L30" s="280"/>
    </row>
    <row r="31" spans="1:12" ht="15.75">
      <c r="A31" s="277"/>
      <c r="B31" s="457"/>
      <c r="C31" s="457"/>
      <c r="D31" s="278"/>
      <c r="E31" s="279"/>
      <c r="F31" s="280"/>
      <c r="G31" s="281"/>
      <c r="H31" s="281"/>
      <c r="I31" s="280"/>
      <c r="J31" s="280"/>
      <c r="K31" s="280"/>
      <c r="L31" s="280"/>
    </row>
    <row r="32" spans="1:12" ht="15.75">
      <c r="A32" s="277"/>
      <c r="B32" s="457"/>
      <c r="C32" s="457"/>
      <c r="D32" s="278"/>
      <c r="E32" s="279"/>
      <c r="F32" s="280"/>
      <c r="G32" s="281"/>
      <c r="H32" s="281"/>
      <c r="I32" s="280"/>
      <c r="J32" s="280"/>
      <c r="K32" s="280"/>
      <c r="L32" s="280"/>
    </row>
    <row r="33" spans="1:12" ht="15.75">
      <c r="A33" s="277"/>
      <c r="B33" s="457"/>
      <c r="C33" s="457"/>
      <c r="D33" s="278"/>
      <c r="E33" s="279"/>
      <c r="F33" s="280"/>
      <c r="G33" s="281"/>
      <c r="H33" s="281"/>
      <c r="I33" s="280"/>
      <c r="J33" s="280"/>
      <c r="K33" s="280"/>
      <c r="L33" s="280"/>
    </row>
    <row r="34" spans="1:12" ht="15.75">
      <c r="A34" s="277"/>
      <c r="B34" s="457"/>
      <c r="C34" s="457"/>
      <c r="D34" s="278"/>
      <c r="E34" s="279"/>
      <c r="F34" s="280"/>
      <c r="G34" s="281"/>
      <c r="H34" s="281"/>
      <c r="I34" s="280"/>
      <c r="J34" s="280"/>
      <c r="K34" s="280"/>
      <c r="L34" s="280"/>
    </row>
    <row r="35" spans="1:28" ht="15.75">
      <c r="A35" s="277"/>
      <c r="B35" s="457"/>
      <c r="C35" s="457"/>
      <c r="D35" s="278"/>
      <c r="E35" s="279"/>
      <c r="F35" s="280"/>
      <c r="G35" s="281"/>
      <c r="H35" s="281"/>
      <c r="I35" s="280"/>
      <c r="J35" s="280"/>
      <c r="K35" s="280"/>
      <c r="L35" s="280"/>
      <c r="M35" s="77"/>
      <c r="N35" s="77"/>
      <c r="O35" s="77"/>
      <c r="P35" s="77"/>
      <c r="Q35" s="77"/>
      <c r="R35" s="77"/>
      <c r="S35" s="77"/>
      <c r="T35" s="77"/>
      <c r="U35" s="77"/>
      <c r="V35" s="77"/>
      <c r="W35" s="77"/>
      <c r="X35" s="77"/>
      <c r="Y35" s="77"/>
      <c r="Z35" s="77"/>
      <c r="AA35" s="77"/>
      <c r="AB35" s="77"/>
    </row>
    <row r="36" spans="1:12" ht="15.75">
      <c r="A36" s="282" t="s">
        <v>317</v>
      </c>
      <c r="B36" s="282"/>
      <c r="C36" s="282"/>
      <c r="D36" s="292"/>
      <c r="E36" s="285"/>
      <c r="F36" s="293">
        <f>SUM(F29:F35)</f>
        <v>2091901</v>
      </c>
      <c r="G36" s="285"/>
      <c r="H36" s="285"/>
      <c r="I36" s="293">
        <f>SUM(I29:I35)</f>
        <v>69716</v>
      </c>
      <c r="J36" s="293">
        <f>SUM(J29:J35)</f>
        <v>165179</v>
      </c>
      <c r="K36" s="293">
        <f>SUM(K29:K35)</f>
        <v>63472</v>
      </c>
      <c r="L36" s="293">
        <f>SUM(L29:L35)</f>
        <v>171423</v>
      </c>
    </row>
    <row r="37" spans="1:12" ht="15.75">
      <c r="A37" s="282" t="s">
        <v>191</v>
      </c>
      <c r="B37" s="282"/>
      <c r="C37" s="282"/>
      <c r="D37" s="282"/>
      <c r="E37" s="285"/>
      <c r="F37" s="293">
        <f>SUM(F19+F27+F36)</f>
        <v>3486901</v>
      </c>
      <c r="G37" s="285"/>
      <c r="H37" s="285"/>
      <c r="I37" s="293">
        <f>SUM(I19+I27+I36)</f>
        <v>133164</v>
      </c>
      <c r="J37" s="293">
        <f>SUM(J19+J27+J36)</f>
        <v>495179</v>
      </c>
      <c r="K37" s="293">
        <f>SUM(K19+K27+K36)</f>
        <v>112767</v>
      </c>
      <c r="L37" s="293">
        <f>SUM(L19+L27+L36)</f>
        <v>516423</v>
      </c>
    </row>
    <row r="38" spans="1:12" ht="15.75">
      <c r="A38" s="77"/>
      <c r="B38" s="77"/>
      <c r="C38" s="77"/>
      <c r="D38" s="77"/>
      <c r="E38" s="77"/>
      <c r="F38" s="77"/>
      <c r="G38" s="77"/>
      <c r="H38" s="77"/>
      <c r="I38" s="77"/>
      <c r="J38" s="77"/>
      <c r="K38" s="77"/>
      <c r="L38" s="77"/>
    </row>
    <row r="39" spans="5:12" ht="15.75">
      <c r="E39" s="295"/>
      <c r="F39" s="295"/>
      <c r="I39" s="295"/>
      <c r="J39" s="295"/>
      <c r="K39" s="295"/>
      <c r="L39" s="295"/>
    </row>
    <row r="40" spans="5:13" ht="15.75">
      <c r="E40" s="77"/>
      <c r="G40" s="296"/>
      <c r="M40" s="77"/>
    </row>
    <row r="41" spans="1:12" ht="15.75">
      <c r="A41" s="77"/>
      <c r="B41" s="77"/>
      <c r="C41" s="77"/>
      <c r="D41" s="77"/>
      <c r="E41" s="77"/>
      <c r="F41" s="77"/>
      <c r="G41" s="77"/>
      <c r="H41" s="77"/>
      <c r="I41" s="77"/>
      <c r="J41" s="77"/>
      <c r="K41" s="77"/>
      <c r="L41" s="77"/>
    </row>
    <row r="42" spans="1:12" ht="15.75">
      <c r="A42" s="77"/>
      <c r="B42" s="77"/>
      <c r="C42" s="77"/>
      <c r="D42" s="77"/>
      <c r="E42" s="77"/>
      <c r="F42" s="77"/>
      <c r="G42" s="77"/>
      <c r="H42" s="77"/>
      <c r="I42" s="77"/>
      <c r="J42" s="77"/>
      <c r="K42" s="77"/>
      <c r="L42" s="77"/>
    </row>
  </sheetData>
  <sheetProtection sheet="1"/>
  <mergeCells count="3">
    <mergeCell ref="G6:H6"/>
    <mergeCell ref="I6:J6"/>
    <mergeCell ref="K6:L6"/>
  </mergeCells>
  <printOptions/>
  <pageMargins left="1" right="0.5" top="0.78" bottom="0.4" header="0.5" footer="0"/>
  <pageSetup blackAndWhite="1" fitToHeight="1" fitToWidth="1" horizontalDpi="120" verticalDpi="120" orientation="landscape" scale="70" r:id="rId1"/>
  <headerFooter alignWithMargins="0">
    <oddHeader>&amp;RState of Kansas
County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48"/>
  <sheetViews>
    <sheetView tabSelected="1" zoomScale="75" zoomScaleNormal="75" zoomScalePageLayoutView="0" workbookViewId="0" topLeftCell="A1">
      <selection activeCell="F49" sqref="F49"/>
    </sheetView>
  </sheetViews>
  <sheetFormatPr defaultColWidth="8.796875" defaultRowHeight="15"/>
  <cols>
    <col min="1" max="1" width="25.796875" style="77" customWidth="1"/>
    <col min="2" max="4" width="9.796875" style="77" customWidth="1"/>
    <col min="5" max="5" width="17.09765625" style="77" customWidth="1"/>
    <col min="6" max="8" width="15.796875" style="77" customWidth="1"/>
    <col min="9" max="16384" width="8.8984375" style="77" customWidth="1"/>
  </cols>
  <sheetData>
    <row r="1" spans="1:8" ht="15.75">
      <c r="A1" s="240" t="str">
        <f>inputPrYr!$C$2</f>
        <v>Clay County</v>
      </c>
      <c r="B1" s="90"/>
      <c r="C1" s="90"/>
      <c r="D1" s="90"/>
      <c r="E1" s="90"/>
      <c r="F1" s="90"/>
      <c r="G1" s="90"/>
      <c r="H1" s="297">
        <f>inputPrYr!C4</f>
        <v>2012</v>
      </c>
    </row>
    <row r="2" spans="1:8" ht="15.75">
      <c r="A2" s="90"/>
      <c r="B2" s="90"/>
      <c r="C2" s="90"/>
      <c r="D2" s="90"/>
      <c r="E2" s="90"/>
      <c r="F2" s="90"/>
      <c r="G2" s="90"/>
      <c r="H2" s="252"/>
    </row>
    <row r="3" spans="1:8" ht="15.75">
      <c r="A3" s="90"/>
      <c r="B3" s="98"/>
      <c r="C3" s="98"/>
      <c r="D3" s="98"/>
      <c r="E3" s="98"/>
      <c r="F3" s="98"/>
      <c r="G3" s="98"/>
      <c r="H3" s="298"/>
    </row>
    <row r="4" spans="1:8" ht="15.75">
      <c r="A4" s="266" t="s">
        <v>204</v>
      </c>
      <c r="B4" s="98"/>
      <c r="C4" s="98"/>
      <c r="D4" s="98"/>
      <c r="E4" s="98"/>
      <c r="F4" s="98"/>
      <c r="G4" s="98"/>
      <c r="H4" s="98"/>
    </row>
    <row r="5" spans="1:8" ht="15.75">
      <c r="A5" s="119"/>
      <c r="B5" s="267"/>
      <c r="C5" s="267"/>
      <c r="D5" s="267"/>
      <c r="E5" s="267"/>
      <c r="F5" s="267"/>
      <c r="G5" s="267"/>
      <c r="H5" s="267"/>
    </row>
    <row r="6" spans="1:8" ht="15.75">
      <c r="A6" s="299"/>
      <c r="B6" s="300"/>
      <c r="C6" s="300"/>
      <c r="D6" s="300"/>
      <c r="E6" s="268" t="s">
        <v>441</v>
      </c>
      <c r="F6" s="300"/>
      <c r="G6" s="300"/>
      <c r="H6" s="300"/>
    </row>
    <row r="7" spans="1:8" ht="15.75">
      <c r="A7" s="299"/>
      <c r="B7" s="271"/>
      <c r="C7" s="271" t="s">
        <v>192</v>
      </c>
      <c r="D7" s="271" t="s">
        <v>193</v>
      </c>
      <c r="E7" s="271" t="s">
        <v>115</v>
      </c>
      <c r="F7" s="271" t="s">
        <v>194</v>
      </c>
      <c r="G7" s="271" t="s">
        <v>195</v>
      </c>
      <c r="H7" s="271" t="s">
        <v>195</v>
      </c>
    </row>
    <row r="8" spans="1:8" ht="15.75">
      <c r="A8" s="299"/>
      <c r="B8" s="271" t="s">
        <v>196</v>
      </c>
      <c r="C8" s="271" t="s">
        <v>197</v>
      </c>
      <c r="D8" s="271" t="s">
        <v>181</v>
      </c>
      <c r="E8" s="271" t="s">
        <v>198</v>
      </c>
      <c r="F8" s="271" t="s">
        <v>240</v>
      </c>
      <c r="G8" s="271" t="s">
        <v>199</v>
      </c>
      <c r="H8" s="271" t="s">
        <v>199</v>
      </c>
    </row>
    <row r="9" spans="1:8" ht="15.75">
      <c r="A9" s="301" t="s">
        <v>200</v>
      </c>
      <c r="B9" s="274" t="s">
        <v>178</v>
      </c>
      <c r="C9" s="302" t="s">
        <v>201</v>
      </c>
      <c r="D9" s="274" t="s">
        <v>139</v>
      </c>
      <c r="E9" s="302" t="s">
        <v>260</v>
      </c>
      <c r="F9" s="303" t="str">
        <f>CONCATENATE("Jan 1,",H1-1,"")</f>
        <v>Jan 1,2011</v>
      </c>
      <c r="G9" s="274">
        <f>H1-1</f>
        <v>2011</v>
      </c>
      <c r="H9" s="274">
        <f>H1</f>
        <v>2012</v>
      </c>
    </row>
    <row r="10" spans="1:8" ht="15.75">
      <c r="A10" s="304"/>
      <c r="B10" s="456"/>
      <c r="C10" s="305"/>
      <c r="D10" s="306"/>
      <c r="E10" s="117"/>
      <c r="F10" s="117"/>
      <c r="G10" s="117"/>
      <c r="H10" s="117"/>
    </row>
    <row r="11" spans="1:8" ht="15.75">
      <c r="A11" s="304"/>
      <c r="B11" s="304"/>
      <c r="C11" s="305"/>
      <c r="D11" s="306"/>
      <c r="E11" s="117"/>
      <c r="F11" s="117"/>
      <c r="G11" s="117"/>
      <c r="H11" s="117"/>
    </row>
    <row r="12" spans="1:8" ht="15.75">
      <c r="A12" s="304"/>
      <c r="B12" s="456"/>
      <c r="C12" s="305"/>
      <c r="D12" s="306"/>
      <c r="E12" s="117"/>
      <c r="F12" s="117"/>
      <c r="G12" s="117"/>
      <c r="H12" s="117"/>
    </row>
    <row r="13" spans="1:8" ht="15.75">
      <c r="A13" s="304"/>
      <c r="B13" s="304"/>
      <c r="C13" s="305"/>
      <c r="D13" s="306"/>
      <c r="E13" s="117"/>
      <c r="F13" s="117"/>
      <c r="G13" s="117"/>
      <c r="H13" s="117"/>
    </row>
    <row r="14" spans="1:8" ht="15.75">
      <c r="A14" s="304"/>
      <c r="B14" s="304"/>
      <c r="C14" s="305"/>
      <c r="D14" s="306"/>
      <c r="E14" s="117"/>
      <c r="F14" s="117"/>
      <c r="G14" s="117"/>
      <c r="H14" s="117"/>
    </row>
    <row r="15" spans="1:8" ht="15.75">
      <c r="A15" s="304"/>
      <c r="B15" s="304"/>
      <c r="C15" s="305"/>
      <c r="D15" s="306"/>
      <c r="E15" s="117"/>
      <c r="F15" s="117"/>
      <c r="G15" s="117"/>
      <c r="H15" s="117"/>
    </row>
    <row r="16" spans="1:8" ht="15.75">
      <c r="A16" s="304"/>
      <c r="B16" s="304"/>
      <c r="C16" s="305"/>
      <c r="D16" s="306"/>
      <c r="E16" s="117"/>
      <c r="F16" s="117"/>
      <c r="G16" s="117"/>
      <c r="H16" s="117"/>
    </row>
    <row r="17" spans="1:8" ht="15.75">
      <c r="A17" s="304"/>
      <c r="B17" s="304"/>
      <c r="C17" s="305"/>
      <c r="D17" s="306"/>
      <c r="E17" s="117"/>
      <c r="F17" s="117"/>
      <c r="G17" s="117"/>
      <c r="H17" s="117"/>
    </row>
    <row r="18" spans="1:8" ht="15.75">
      <c r="A18" s="304"/>
      <c r="B18" s="304"/>
      <c r="C18" s="305"/>
      <c r="D18" s="306"/>
      <c r="E18" s="117"/>
      <c r="F18" s="117"/>
      <c r="G18" s="117"/>
      <c r="H18" s="117"/>
    </row>
    <row r="19" spans="1:8" ht="15.75">
      <c r="A19" s="304"/>
      <c r="B19" s="304"/>
      <c r="C19" s="305"/>
      <c r="D19" s="306"/>
      <c r="E19" s="117"/>
      <c r="F19" s="117"/>
      <c r="G19" s="117"/>
      <c r="H19" s="117"/>
    </row>
    <row r="20" spans="1:8" ht="15.75">
      <c r="A20" s="304"/>
      <c r="B20" s="304"/>
      <c r="C20" s="305"/>
      <c r="D20" s="306"/>
      <c r="E20" s="117"/>
      <c r="F20" s="117"/>
      <c r="G20" s="117"/>
      <c r="H20" s="117"/>
    </row>
    <row r="21" spans="1:8" ht="15.75">
      <c r="A21" s="304"/>
      <c r="B21" s="304"/>
      <c r="C21" s="305"/>
      <c r="D21" s="306"/>
      <c r="E21" s="117"/>
      <c r="F21" s="117"/>
      <c r="G21" s="117"/>
      <c r="H21" s="117"/>
    </row>
    <row r="22" spans="1:8" ht="15.75">
      <c r="A22" s="304"/>
      <c r="B22" s="304"/>
      <c r="C22" s="305"/>
      <c r="D22" s="306"/>
      <c r="E22" s="117"/>
      <c r="F22" s="117"/>
      <c r="G22" s="117"/>
      <c r="H22" s="117"/>
    </row>
    <row r="23" spans="1:8" ht="15.75">
      <c r="A23" s="304"/>
      <c r="B23" s="304"/>
      <c r="C23" s="305"/>
      <c r="D23" s="306"/>
      <c r="E23" s="117"/>
      <c r="F23" s="117"/>
      <c r="G23" s="117"/>
      <c r="H23" s="117"/>
    </row>
    <row r="24" spans="1:8" ht="15.75">
      <c r="A24" s="304"/>
      <c r="B24" s="304"/>
      <c r="C24" s="305"/>
      <c r="D24" s="306"/>
      <c r="E24" s="117"/>
      <c r="F24" s="117"/>
      <c r="G24" s="117"/>
      <c r="H24" s="117"/>
    </row>
    <row r="25" spans="1:8" ht="15.75">
      <c r="A25" s="304"/>
      <c r="B25" s="304"/>
      <c r="C25" s="305"/>
      <c r="D25" s="306"/>
      <c r="E25" s="117"/>
      <c r="F25" s="117"/>
      <c r="G25" s="117"/>
      <c r="H25" s="117"/>
    </row>
    <row r="26" spans="1:8" ht="15.75">
      <c r="A26" s="304"/>
      <c r="B26" s="304"/>
      <c r="C26" s="305"/>
      <c r="D26" s="306"/>
      <c r="E26" s="117"/>
      <c r="F26" s="117"/>
      <c r="G26" s="117"/>
      <c r="H26" s="117"/>
    </row>
    <row r="27" spans="1:8" ht="15.75">
      <c r="A27" s="304"/>
      <c r="B27" s="304"/>
      <c r="C27" s="305"/>
      <c r="D27" s="306"/>
      <c r="E27" s="117"/>
      <c r="F27" s="117"/>
      <c r="G27" s="117"/>
      <c r="H27" s="117"/>
    </row>
    <row r="28" spans="1:8" ht="15.75">
      <c r="A28" s="304"/>
      <c r="B28" s="304"/>
      <c r="C28" s="305"/>
      <c r="D28" s="306"/>
      <c r="E28" s="117"/>
      <c r="F28" s="117"/>
      <c r="G28" s="117"/>
      <c r="H28" s="117"/>
    </row>
    <row r="29" spans="1:8" ht="15.75">
      <c r="A29" s="304"/>
      <c r="B29" s="304"/>
      <c r="C29" s="305"/>
      <c r="D29" s="306"/>
      <c r="E29" s="117"/>
      <c r="F29" s="117"/>
      <c r="G29" s="117"/>
      <c r="H29" s="117"/>
    </row>
    <row r="30" spans="1:8" ht="15.75">
      <c r="A30" s="304"/>
      <c r="B30" s="304"/>
      <c r="C30" s="305"/>
      <c r="D30" s="306"/>
      <c r="E30" s="117"/>
      <c r="F30" s="117"/>
      <c r="G30" s="117"/>
      <c r="H30" s="117"/>
    </row>
    <row r="31" spans="1:8" ht="15.75">
      <c r="A31" s="304"/>
      <c r="B31" s="304"/>
      <c r="C31" s="305"/>
      <c r="D31" s="306"/>
      <c r="E31" s="117"/>
      <c r="F31" s="117"/>
      <c r="G31" s="117"/>
      <c r="H31" s="117"/>
    </row>
    <row r="32" spans="1:8" ht="15.75">
      <c r="A32" s="304"/>
      <c r="B32" s="304"/>
      <c r="C32" s="305"/>
      <c r="D32" s="306"/>
      <c r="E32" s="117"/>
      <c r="F32" s="117"/>
      <c r="G32" s="117"/>
      <c r="H32" s="117"/>
    </row>
    <row r="33" spans="1:8" ht="15.75">
      <c r="A33" s="304"/>
      <c r="B33" s="304"/>
      <c r="C33" s="305"/>
      <c r="D33" s="306"/>
      <c r="E33" s="117"/>
      <c r="F33" s="117"/>
      <c r="G33" s="117"/>
      <c r="H33" s="117"/>
    </row>
    <row r="34" spans="1:8" ht="15.75">
      <c r="A34" s="304"/>
      <c r="B34" s="304"/>
      <c r="C34" s="305"/>
      <c r="D34" s="306"/>
      <c r="E34" s="117"/>
      <c r="F34" s="117"/>
      <c r="G34" s="117"/>
      <c r="H34" s="117"/>
    </row>
    <row r="35" spans="1:8" ht="15.75">
      <c r="A35" s="304"/>
      <c r="B35" s="304"/>
      <c r="C35" s="305"/>
      <c r="D35" s="306"/>
      <c r="E35" s="117"/>
      <c r="F35" s="117"/>
      <c r="G35" s="117"/>
      <c r="H35" s="117"/>
    </row>
    <row r="36" spans="1:8" ht="15.75">
      <c r="A36" s="304"/>
      <c r="B36" s="304"/>
      <c r="C36" s="305"/>
      <c r="D36" s="306"/>
      <c r="E36" s="117"/>
      <c r="F36" s="117"/>
      <c r="G36" s="117"/>
      <c r="H36" s="117"/>
    </row>
    <row r="37" spans="1:9" ht="16.5" thickBot="1">
      <c r="A37" s="273" t="s">
        <v>121</v>
      </c>
      <c r="B37" s="90"/>
      <c r="C37" s="90"/>
      <c r="D37" s="90"/>
      <c r="E37" s="90"/>
      <c r="F37" s="307">
        <f>SUM(F10:F36)</f>
        <v>0</v>
      </c>
      <c r="G37" s="307">
        <f>SUM(G10:G36)</f>
        <v>0</v>
      </c>
      <c r="H37" s="307">
        <f>SUM(H10:H36)</f>
        <v>0</v>
      </c>
      <c r="I37" s="308"/>
    </row>
    <row r="38" spans="1:8" ht="16.5" thickTop="1">
      <c r="A38" s="90"/>
      <c r="B38" s="90"/>
      <c r="C38" s="90"/>
      <c r="D38" s="90"/>
      <c r="E38" s="90"/>
      <c r="F38" s="90"/>
      <c r="G38" s="240"/>
      <c r="H38" s="240"/>
    </row>
    <row r="39" spans="1:8" ht="15.75">
      <c r="A39" s="309" t="s">
        <v>884</v>
      </c>
      <c r="B39" s="310"/>
      <c r="C39" s="310"/>
      <c r="D39" s="310"/>
      <c r="E39" s="310"/>
      <c r="F39" s="310"/>
      <c r="G39" s="240"/>
      <c r="H39" s="240"/>
    </row>
    <row r="40" spans="1:8" ht="15.75">
      <c r="A40" s="148"/>
      <c r="B40" s="148"/>
      <c r="C40" s="296"/>
      <c r="D40" s="148"/>
      <c r="E40" s="148"/>
      <c r="F40" s="148"/>
      <c r="G40" s="295"/>
      <c r="H40" s="295"/>
    </row>
    <row r="41" spans="1:8" ht="15.75">
      <c r="A41" s="148"/>
      <c r="B41" s="148"/>
      <c r="C41" s="148"/>
      <c r="D41" s="148"/>
      <c r="E41" s="148"/>
      <c r="F41" s="148"/>
      <c r="G41" s="148"/>
      <c r="H41" s="148"/>
    </row>
    <row r="42" spans="1:8" ht="15.75">
      <c r="A42" s="148"/>
      <c r="B42" s="148"/>
      <c r="C42" s="148"/>
      <c r="D42" s="148"/>
      <c r="E42" s="148"/>
      <c r="F42" s="148"/>
      <c r="G42" s="148"/>
      <c r="H42" s="148"/>
    </row>
    <row r="43" spans="1:8" ht="15.75">
      <c r="A43" s="148"/>
      <c r="B43" s="148"/>
      <c r="C43" s="148"/>
      <c r="D43" s="148"/>
      <c r="E43" s="148"/>
      <c r="F43" s="148"/>
      <c r="G43" s="148"/>
      <c r="H43" s="148"/>
    </row>
    <row r="44" spans="1:8" ht="15.75">
      <c r="A44" s="148"/>
      <c r="B44" s="148"/>
      <c r="C44" s="148"/>
      <c r="D44" s="148"/>
      <c r="E44" s="148"/>
      <c r="F44" s="148"/>
      <c r="G44" s="148"/>
      <c r="H44" s="148"/>
    </row>
    <row r="45" spans="1:8" ht="15.75">
      <c r="A45" s="148"/>
      <c r="B45" s="148"/>
      <c r="C45" s="148"/>
      <c r="D45" s="148"/>
      <c r="E45" s="148"/>
      <c r="F45" s="148"/>
      <c r="G45" s="148"/>
      <c r="H45" s="148"/>
    </row>
    <row r="46" spans="1:8" ht="15.75">
      <c r="A46" s="148"/>
      <c r="B46" s="148"/>
      <c r="C46" s="148"/>
      <c r="D46" s="148"/>
      <c r="E46" s="148"/>
      <c r="F46" s="148"/>
      <c r="G46" s="148"/>
      <c r="H46" s="148"/>
    </row>
    <row r="47" spans="1:8" ht="15.75">
      <c r="A47" s="148"/>
      <c r="B47" s="148"/>
      <c r="C47" s="148"/>
      <c r="D47" s="148"/>
      <c r="E47" s="148"/>
      <c r="F47" s="148"/>
      <c r="G47" s="148"/>
      <c r="H47" s="148"/>
    </row>
    <row r="48" spans="1:8" ht="15.75">
      <c r="A48" s="148"/>
      <c r="B48" s="148"/>
      <c r="C48" s="148"/>
      <c r="D48" s="148"/>
      <c r="E48" s="148"/>
      <c r="F48" s="148"/>
      <c r="G48" s="148"/>
      <c r="H48" s="148"/>
    </row>
  </sheetData>
  <sheetProtection sheet="1"/>
  <printOptions/>
  <pageMargins left="1" right="0.5" top="0.78" bottom="0.4" header="0.5" footer="0"/>
  <pageSetup blackAndWhite="1" fitToHeight="1" fitToWidth="1" horizontalDpi="120" verticalDpi="120" orientation="landscape" scale="79" r:id="rId1"/>
  <headerFooter alignWithMargins="0">
    <oddHeader>&amp;RState of Kansas
County
</oddHeader>
    <oddFooter>&amp;CPage No. 6</oddFooter>
  </headerFooter>
</worksheet>
</file>

<file path=xl/worksheets/sheet12.xml><?xml version="1.0" encoding="utf-8"?>
<worksheet xmlns="http://schemas.openxmlformats.org/spreadsheetml/2006/main" xmlns:r="http://schemas.openxmlformats.org/officeDocument/2006/relationships">
  <dimension ref="B1:J120"/>
  <sheetViews>
    <sheetView tabSelected="1" zoomScalePageLayoutView="0" workbookViewId="0" topLeftCell="A63">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6" width="7.3984375" style="77" customWidth="1"/>
    <col min="7" max="7" width="7.09765625" style="77" customWidth="1"/>
    <col min="8" max="8" width="8.8984375" style="77" customWidth="1"/>
    <col min="9" max="9" width="5" style="77" customWidth="1"/>
    <col min="10" max="10" width="7.796875" style="77" customWidth="1"/>
    <col min="11"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90"/>
      <c r="D3" s="90"/>
      <c r="E3" s="311"/>
    </row>
    <row r="4" spans="2:5" ht="15.75">
      <c r="B4" s="312" t="s">
        <v>123</v>
      </c>
      <c r="C4" s="481" t="s">
        <v>162</v>
      </c>
      <c r="D4" s="480" t="s">
        <v>297</v>
      </c>
      <c r="E4" s="482" t="s">
        <v>298</v>
      </c>
    </row>
    <row r="5" spans="2:5" ht="15.75">
      <c r="B5" s="516" t="str">
        <f>inputPrYr!B16</f>
        <v>General</v>
      </c>
      <c r="C5" s="461">
        <f>E1-2</f>
        <v>2010</v>
      </c>
      <c r="D5" s="461">
        <f>E1-1</f>
        <v>2011</v>
      </c>
      <c r="E5" s="313">
        <f>E1</f>
        <v>2012</v>
      </c>
    </row>
    <row r="6" spans="2:5" ht="15.75">
      <c r="B6" s="314" t="s">
        <v>253</v>
      </c>
      <c r="C6" s="458">
        <v>597377</v>
      </c>
      <c r="D6" s="462">
        <f>C101</f>
        <v>307886</v>
      </c>
      <c r="E6" s="276">
        <f>D101</f>
        <v>150117</v>
      </c>
    </row>
    <row r="7" spans="2:5" ht="15.75">
      <c r="B7" s="301" t="s">
        <v>255</v>
      </c>
      <c r="C7" s="316"/>
      <c r="D7" s="316"/>
      <c r="E7" s="132"/>
    </row>
    <row r="8" spans="2:5" ht="15.75">
      <c r="B8" s="314" t="s">
        <v>124</v>
      </c>
      <c r="C8" s="458">
        <v>1498557</v>
      </c>
      <c r="D8" s="462">
        <f>inputPrYr!E16</f>
        <v>1409173</v>
      </c>
      <c r="E8" s="233" t="s">
        <v>111</v>
      </c>
    </row>
    <row r="9" spans="2:5" ht="15.75">
      <c r="B9" s="314" t="s">
        <v>125</v>
      </c>
      <c r="C9" s="458">
        <v>8867</v>
      </c>
      <c r="D9" s="458">
        <v>0</v>
      </c>
      <c r="E9" s="317">
        <v>0</v>
      </c>
    </row>
    <row r="10" spans="2:5" ht="15.75">
      <c r="B10" s="314" t="s">
        <v>126</v>
      </c>
      <c r="C10" s="458">
        <v>98161</v>
      </c>
      <c r="D10" s="458">
        <v>177043</v>
      </c>
      <c r="E10" s="276">
        <f>mvalloc!D8</f>
        <v>164139</v>
      </c>
    </row>
    <row r="11" spans="2:5" ht="15.75">
      <c r="B11" s="314" t="s">
        <v>127</v>
      </c>
      <c r="C11" s="458">
        <v>1612</v>
      </c>
      <c r="D11" s="458">
        <v>2756</v>
      </c>
      <c r="E11" s="276">
        <f>mvalloc!E8</f>
        <v>2693</v>
      </c>
    </row>
    <row r="12" spans="2:5" ht="15.75">
      <c r="B12" s="316" t="s">
        <v>235</v>
      </c>
      <c r="C12" s="458">
        <v>10909</v>
      </c>
      <c r="D12" s="458">
        <v>16085</v>
      </c>
      <c r="E12" s="276">
        <f>mvalloc!F8</f>
        <v>14813</v>
      </c>
    </row>
    <row r="13" spans="2:5" ht="15.75">
      <c r="B13" s="314" t="s">
        <v>237</v>
      </c>
      <c r="C13" s="458">
        <v>53234</v>
      </c>
      <c r="D13" s="458">
        <v>35234</v>
      </c>
      <c r="E13" s="276">
        <f>inputOth!E11</f>
        <v>40083</v>
      </c>
    </row>
    <row r="14" spans="2:5" ht="15.75">
      <c r="B14" s="314" t="s">
        <v>302</v>
      </c>
      <c r="C14" s="458">
        <v>0</v>
      </c>
      <c r="D14" s="458">
        <v>0</v>
      </c>
      <c r="E14" s="276">
        <f>inputOth!E18</f>
        <v>0</v>
      </c>
    </row>
    <row r="15" spans="2:5" ht="15.75">
      <c r="B15" s="314" t="s">
        <v>303</v>
      </c>
      <c r="C15" s="458">
        <v>0</v>
      </c>
      <c r="D15" s="458">
        <v>0</v>
      </c>
      <c r="E15" s="276">
        <f>inputOth!E19</f>
        <v>0</v>
      </c>
    </row>
    <row r="16" spans="2:5" ht="15.75">
      <c r="B16" s="314" t="s">
        <v>304</v>
      </c>
      <c r="C16" s="458">
        <v>0</v>
      </c>
      <c r="D16" s="458">
        <v>0</v>
      </c>
      <c r="E16" s="276">
        <f>mvalloc!G8</f>
        <v>0</v>
      </c>
    </row>
    <row r="17" spans="2:5" ht="15.75">
      <c r="B17" s="318" t="s">
        <v>130</v>
      </c>
      <c r="C17" s="458">
        <v>0</v>
      </c>
      <c r="D17" s="458">
        <v>0</v>
      </c>
      <c r="E17" s="317">
        <v>0</v>
      </c>
    </row>
    <row r="18" spans="2:5" ht="15.75">
      <c r="B18" s="318" t="s">
        <v>128</v>
      </c>
      <c r="C18" s="458">
        <v>3394</v>
      </c>
      <c r="D18" s="458">
        <v>3000</v>
      </c>
      <c r="E18" s="317">
        <v>3000</v>
      </c>
    </row>
    <row r="19" spans="2:5" ht="15.75">
      <c r="B19" s="318" t="s">
        <v>719</v>
      </c>
      <c r="C19" s="458"/>
      <c r="D19" s="458"/>
      <c r="E19" s="317"/>
    </row>
    <row r="20" spans="2:5" ht="15.75">
      <c r="B20" s="319" t="s">
        <v>720</v>
      </c>
      <c r="C20" s="458">
        <v>261772</v>
      </c>
      <c r="D20" s="458">
        <v>240000</v>
      </c>
      <c r="E20" s="317">
        <v>240000</v>
      </c>
    </row>
    <row r="21" spans="2:5" ht="15.75">
      <c r="B21" s="669" t="s">
        <v>88</v>
      </c>
      <c r="C21" s="458">
        <v>2449</v>
      </c>
      <c r="D21" s="458">
        <v>2000</v>
      </c>
      <c r="E21" s="317">
        <v>2000</v>
      </c>
    </row>
    <row r="22" spans="2:5" ht="15.75">
      <c r="B22" s="669" t="s">
        <v>89</v>
      </c>
      <c r="C22" s="458">
        <v>68650</v>
      </c>
      <c r="D22" s="458">
        <v>80000</v>
      </c>
      <c r="E22" s="317">
        <v>70000</v>
      </c>
    </row>
    <row r="23" spans="2:5" ht="15.75">
      <c r="B23" s="669" t="s">
        <v>90</v>
      </c>
      <c r="C23" s="458">
        <v>29794</v>
      </c>
      <c r="D23" s="458">
        <v>28000</v>
      </c>
      <c r="E23" s="317">
        <v>28000</v>
      </c>
    </row>
    <row r="24" spans="2:5" ht="15.75">
      <c r="B24" s="669" t="s">
        <v>91</v>
      </c>
      <c r="C24" s="458">
        <v>2579</v>
      </c>
      <c r="D24" s="458">
        <v>2000</v>
      </c>
      <c r="E24" s="317">
        <v>2000</v>
      </c>
    </row>
    <row r="25" spans="2:5" ht="15.75">
      <c r="B25" s="669" t="s">
        <v>92</v>
      </c>
      <c r="C25" s="458">
        <v>5985</v>
      </c>
      <c r="D25" s="458">
        <v>5000</v>
      </c>
      <c r="E25" s="317">
        <v>5000</v>
      </c>
    </row>
    <row r="26" spans="2:5" ht="15.75">
      <c r="B26" s="669" t="s">
        <v>708</v>
      </c>
      <c r="C26" s="458">
        <v>75587</v>
      </c>
      <c r="D26" s="458">
        <v>75000</v>
      </c>
      <c r="E26" s="317">
        <v>75000</v>
      </c>
    </row>
    <row r="27" spans="2:5" ht="15.75">
      <c r="B27" s="669" t="s">
        <v>709</v>
      </c>
      <c r="C27" s="458">
        <v>44</v>
      </c>
      <c r="D27" s="458">
        <v>33</v>
      </c>
      <c r="E27" s="317">
        <v>79</v>
      </c>
    </row>
    <row r="28" spans="2:5" ht="15.75">
      <c r="B28" s="669" t="s">
        <v>710</v>
      </c>
      <c r="C28" s="458">
        <v>3300</v>
      </c>
      <c r="D28" s="458">
        <v>3300</v>
      </c>
      <c r="E28" s="317">
        <v>3300</v>
      </c>
    </row>
    <row r="29" spans="2:5" ht="15.75">
      <c r="B29" s="669" t="s">
        <v>711</v>
      </c>
      <c r="C29" s="458">
        <v>235525</v>
      </c>
      <c r="D29" s="458">
        <v>320000</v>
      </c>
      <c r="E29" s="317">
        <v>300000</v>
      </c>
    </row>
    <row r="30" spans="2:5" ht="15.75">
      <c r="B30" s="669" t="s">
        <v>712</v>
      </c>
      <c r="C30" s="458">
        <v>58752</v>
      </c>
      <c r="D30" s="458">
        <v>10000</v>
      </c>
      <c r="E30" s="317">
        <v>0</v>
      </c>
    </row>
    <row r="31" spans="2:5" ht="15.75">
      <c r="B31" s="669" t="s">
        <v>713</v>
      </c>
      <c r="C31" s="458">
        <v>0</v>
      </c>
      <c r="D31" s="458">
        <v>10000</v>
      </c>
      <c r="E31" s="317">
        <v>10000</v>
      </c>
    </row>
    <row r="32" spans="2:5" ht="15.75">
      <c r="B32" s="669" t="s">
        <v>714</v>
      </c>
      <c r="C32" s="458">
        <v>46445</v>
      </c>
      <c r="D32" s="458">
        <v>35000</v>
      </c>
      <c r="E32" s="317">
        <v>45000</v>
      </c>
    </row>
    <row r="33" spans="2:5" ht="15.75">
      <c r="B33" s="318" t="s">
        <v>671</v>
      </c>
      <c r="C33" s="458">
        <v>18288</v>
      </c>
      <c r="D33" s="458">
        <v>10000</v>
      </c>
      <c r="E33" s="317">
        <v>10000</v>
      </c>
    </row>
    <row r="34" spans="2:5" ht="15.75">
      <c r="B34" s="318" t="s">
        <v>707</v>
      </c>
      <c r="C34" s="458">
        <v>4379</v>
      </c>
      <c r="D34" s="458">
        <v>0</v>
      </c>
      <c r="E34" s="317">
        <v>0</v>
      </c>
    </row>
    <row r="35" spans="2:5" ht="15.75">
      <c r="B35" s="318" t="s">
        <v>678</v>
      </c>
      <c r="C35" s="458">
        <v>24547</v>
      </c>
      <c r="D35" s="458">
        <v>0</v>
      </c>
      <c r="E35" s="317">
        <v>0</v>
      </c>
    </row>
    <row r="36" spans="2:5" ht="15.75">
      <c r="B36" s="318"/>
      <c r="C36" s="458"/>
      <c r="D36" s="458"/>
      <c r="E36" s="317"/>
    </row>
    <row r="37" spans="2:5" ht="15.75">
      <c r="B37" s="318"/>
      <c r="C37" s="458"/>
      <c r="D37" s="458"/>
      <c r="E37" s="317"/>
    </row>
    <row r="38" spans="2:5" ht="15.75">
      <c r="B38" s="318"/>
      <c r="C38" s="458"/>
      <c r="D38" s="458"/>
      <c r="E38" s="317"/>
    </row>
    <row r="39" spans="2:5" ht="15.75">
      <c r="B39" s="318"/>
      <c r="C39" s="458"/>
      <c r="D39" s="458"/>
      <c r="E39" s="317"/>
    </row>
    <row r="40" spans="2:5" ht="15.75">
      <c r="B40" s="318"/>
      <c r="C40" s="458"/>
      <c r="D40" s="458"/>
      <c r="E40" s="317"/>
    </row>
    <row r="41" spans="2:5" ht="15.75">
      <c r="B41" s="318"/>
      <c r="C41" s="458"/>
      <c r="D41" s="458"/>
      <c r="E41" s="317"/>
    </row>
    <row r="42" spans="2:5" ht="15.75">
      <c r="B42" s="318"/>
      <c r="C42" s="458"/>
      <c r="D42" s="458"/>
      <c r="E42" s="317"/>
    </row>
    <row r="43" spans="2:5" ht="15.75">
      <c r="B43" s="318"/>
      <c r="C43" s="458"/>
      <c r="D43" s="458"/>
      <c r="E43" s="317"/>
    </row>
    <row r="44" spans="2:5" ht="15.75">
      <c r="B44" s="318"/>
      <c r="C44" s="458"/>
      <c r="D44" s="458"/>
      <c r="E44" s="317"/>
    </row>
    <row r="45" spans="2:5" ht="15.75">
      <c r="B45" s="318"/>
      <c r="C45" s="458"/>
      <c r="D45" s="458"/>
      <c r="E45" s="317"/>
    </row>
    <row r="46" spans="2:5" ht="15.75">
      <c r="B46" s="318"/>
      <c r="C46" s="458"/>
      <c r="D46" s="458"/>
      <c r="E46" s="317"/>
    </row>
    <row r="47" spans="2:5" ht="15.75">
      <c r="B47" s="318"/>
      <c r="C47" s="458"/>
      <c r="D47" s="458"/>
      <c r="E47" s="317"/>
    </row>
    <row r="48" spans="2:5" ht="15.75">
      <c r="B48" s="318"/>
      <c r="C48" s="458"/>
      <c r="D48" s="458"/>
      <c r="E48" s="317"/>
    </row>
    <row r="49" spans="2:5" ht="15.75">
      <c r="B49" s="318"/>
      <c r="C49" s="458"/>
      <c r="D49" s="458"/>
      <c r="E49" s="317"/>
    </row>
    <row r="50" spans="2:5" ht="15.75">
      <c r="B50" s="318" t="s">
        <v>129</v>
      </c>
      <c r="C50" s="458">
        <v>43002</v>
      </c>
      <c r="D50" s="458">
        <v>40000</v>
      </c>
      <c r="E50" s="317">
        <v>40000</v>
      </c>
    </row>
    <row r="51" spans="2:5" ht="15.75">
      <c r="B51" s="319" t="s">
        <v>131</v>
      </c>
      <c r="C51" s="458">
        <v>92087</v>
      </c>
      <c r="D51" s="458">
        <v>80000</v>
      </c>
      <c r="E51" s="317">
        <v>80000</v>
      </c>
    </row>
    <row r="52" spans="2:5" ht="15.75">
      <c r="B52" s="320" t="s">
        <v>870</v>
      </c>
      <c r="C52" s="458">
        <v>33894</v>
      </c>
      <c r="D52" s="458">
        <v>26500</v>
      </c>
      <c r="E52" s="317">
        <v>26500</v>
      </c>
    </row>
    <row r="53" spans="2:5" ht="15.75">
      <c r="B53" s="320" t="s">
        <v>722</v>
      </c>
      <c r="C53" s="459">
        <f>IF(C54*0.1&lt;C52,"Exceed 10% Rule","")</f>
      </c>
      <c r="D53" s="459">
        <f>IF(D54*0.1&lt;D52,"Exceed 10% Rule","")</f>
      </c>
      <c r="E53" s="355">
        <f>IF(E54*0.1+E107&lt;E52,"Exceed 10% Rule","")</f>
      </c>
    </row>
    <row r="54" spans="2:5" ht="15.75">
      <c r="B54" s="322" t="s">
        <v>132</v>
      </c>
      <c r="C54" s="460">
        <f>SUM(C8:C52)</f>
        <v>2681813</v>
      </c>
      <c r="D54" s="460">
        <f>SUM(D8:D52)</f>
        <v>2610124</v>
      </c>
      <c r="E54" s="363">
        <f>SUM(E9:E52)</f>
        <v>1161607</v>
      </c>
    </row>
    <row r="55" spans="2:5" ht="15.75">
      <c r="B55" s="322" t="s">
        <v>133</v>
      </c>
      <c r="C55" s="460">
        <f>C6+C54</f>
        <v>3279190</v>
      </c>
      <c r="D55" s="460">
        <f>D6+D54</f>
        <v>2918010</v>
      </c>
      <c r="E55" s="363">
        <f>E6+E54</f>
        <v>1311724</v>
      </c>
    </row>
    <row r="56" spans="2:5" ht="15.75">
      <c r="B56" s="90"/>
      <c r="C56" s="240"/>
      <c r="D56" s="240"/>
      <c r="E56" s="240"/>
    </row>
    <row r="57" spans="2:5" ht="15.75">
      <c r="B57" s="726" t="s">
        <v>263</v>
      </c>
      <c r="C57" s="726"/>
      <c r="D57" s="726"/>
      <c r="E57" s="726"/>
    </row>
    <row r="58" spans="2:5" ht="15.75">
      <c r="B58" s="240" t="str">
        <f>inputPrYr!C2</f>
        <v>Clay County</v>
      </c>
      <c r="C58" s="240"/>
      <c r="D58" s="240"/>
      <c r="E58" s="297">
        <f>inputPrYr!C4</f>
        <v>2012</v>
      </c>
    </row>
    <row r="59" spans="2:5" ht="15.75">
      <c r="B59" s="90"/>
      <c r="C59" s="240"/>
      <c r="D59" s="240"/>
      <c r="E59" s="252"/>
    </row>
    <row r="60" spans="2:5" ht="15.75">
      <c r="B60" s="324" t="s">
        <v>207</v>
      </c>
      <c r="C60" s="325"/>
      <c r="D60" s="325"/>
      <c r="E60" s="325"/>
    </row>
    <row r="61" spans="2:5" ht="15.75">
      <c r="B61" s="90" t="s">
        <v>123</v>
      </c>
      <c r="C61" s="481" t="s">
        <v>162</v>
      </c>
      <c r="D61" s="480" t="s">
        <v>297</v>
      </c>
      <c r="E61" s="482" t="str">
        <f>E4</f>
        <v>Proposed Budget Year</v>
      </c>
    </row>
    <row r="62" spans="2:5" ht="15.75">
      <c r="B62" s="119" t="s">
        <v>135</v>
      </c>
      <c r="C62" s="461">
        <f>E58-2</f>
        <v>2010</v>
      </c>
      <c r="D62" s="461">
        <f>E58-1</f>
        <v>2011</v>
      </c>
      <c r="E62" s="326">
        <f>E5</f>
        <v>2012</v>
      </c>
    </row>
    <row r="63" spans="2:5" ht="15.75">
      <c r="B63" s="322" t="s">
        <v>133</v>
      </c>
      <c r="C63" s="462">
        <f>C55</f>
        <v>3279190</v>
      </c>
      <c r="D63" s="462">
        <f>D55</f>
        <v>2918010</v>
      </c>
      <c r="E63" s="276">
        <f>E55</f>
        <v>1311724</v>
      </c>
    </row>
    <row r="64" spans="2:5" ht="15.75">
      <c r="B64" s="314" t="s">
        <v>136</v>
      </c>
      <c r="C64" s="462"/>
      <c r="D64" s="462"/>
      <c r="E64" s="276"/>
    </row>
    <row r="65" spans="2:5" ht="15.75">
      <c r="B65" s="316" t="str">
        <f>'gen-detail'!A7</f>
        <v>Courthouse General</v>
      </c>
      <c r="C65" s="462">
        <f>'gen-detail'!B13</f>
        <v>474324</v>
      </c>
      <c r="D65" s="462">
        <f>'gen-detail'!C13</f>
        <v>300000</v>
      </c>
      <c r="E65" s="276">
        <f>'gen-detail'!D13</f>
        <v>479260</v>
      </c>
    </row>
    <row r="66" spans="2:5" ht="15.75">
      <c r="B66" s="316" t="str">
        <f>'gen-detail'!A14</f>
        <v>Ambulance</v>
      </c>
      <c r="C66" s="462">
        <f>'gen-detail'!B19</f>
        <v>523359</v>
      </c>
      <c r="D66" s="462">
        <f>'gen-detail'!C19</f>
        <v>528000</v>
      </c>
      <c r="E66" s="276">
        <f>'gen-detail'!D19</f>
        <v>572790</v>
      </c>
    </row>
    <row r="67" spans="2:5" ht="15.75">
      <c r="B67" s="316" t="str">
        <f>'gen-detail'!A20</f>
        <v>Appraisal</v>
      </c>
      <c r="C67" s="462">
        <f>'gen-detail'!B25</f>
        <v>174795</v>
      </c>
      <c r="D67" s="462">
        <f>'gen-detail'!C25</f>
        <v>184929</v>
      </c>
      <c r="E67" s="276">
        <f>'gen-detail'!D25</f>
        <v>186129</v>
      </c>
    </row>
    <row r="68" spans="2:5" ht="15.75">
      <c r="B68" s="316" t="str">
        <f>'gen-detail'!A26</f>
        <v>Custodian</v>
      </c>
      <c r="C68" s="462">
        <f>'gen-detail'!B31</f>
        <v>31067</v>
      </c>
      <c r="D68" s="462">
        <f>'gen-detail'!C31</f>
        <v>36400</v>
      </c>
      <c r="E68" s="276">
        <f>'gen-detail'!D31</f>
        <v>33312</v>
      </c>
    </row>
    <row r="69" spans="2:5" ht="15.75">
      <c r="B69" s="316" t="str">
        <f>'gen-detail'!A32</f>
        <v>County Attorney</v>
      </c>
      <c r="C69" s="462">
        <f>'gen-detail'!B37</f>
        <v>101332</v>
      </c>
      <c r="D69" s="462">
        <f>'gen-detail'!C37</f>
        <v>86800</v>
      </c>
      <c r="E69" s="276">
        <f>'gen-detail'!D37</f>
        <v>99902</v>
      </c>
    </row>
    <row r="70" spans="2:5" ht="15.75">
      <c r="B70" s="316" t="str">
        <f>'gen-detail'!A38</f>
        <v>County Clerk</v>
      </c>
      <c r="C70" s="462">
        <f>'gen-detail'!B43</f>
        <v>93668</v>
      </c>
      <c r="D70" s="462">
        <f>'gen-detail'!C43</f>
        <v>97700</v>
      </c>
      <c r="E70" s="276">
        <f>'gen-detail'!D43</f>
        <v>101230</v>
      </c>
    </row>
    <row r="71" spans="2:5" ht="15.75">
      <c r="B71" s="316" t="str">
        <f>'gen-detail'!A44</f>
        <v>County Commission</v>
      </c>
      <c r="C71" s="462">
        <f>'gen-detail'!B49</f>
        <v>39565</v>
      </c>
      <c r="D71" s="462">
        <f>'gen-detail'!C49</f>
        <v>38800</v>
      </c>
      <c r="E71" s="276">
        <f>'gen-detail'!D49</f>
        <v>41120</v>
      </c>
    </row>
    <row r="72" spans="2:5" ht="15.75">
      <c r="B72" s="316" t="str">
        <f>'gen-detail'!A50</f>
        <v>County Treasurer</v>
      </c>
      <c r="C72" s="462">
        <f>'gen-detail'!B55</f>
        <v>110987</v>
      </c>
      <c r="D72" s="462">
        <f>'gen-detail'!C55</f>
        <v>99900</v>
      </c>
      <c r="E72" s="276">
        <f>'gen-detail'!D55</f>
        <v>102600</v>
      </c>
    </row>
    <row r="73" spans="2:5" ht="15.75">
      <c r="B73" s="316" t="str">
        <f>'gen-detail'!A66</f>
        <v>District Court</v>
      </c>
      <c r="C73" s="462">
        <f>'gen-detail'!B71</f>
        <v>104832</v>
      </c>
      <c r="D73" s="462">
        <f>'gen-detail'!C71</f>
        <v>105556</v>
      </c>
      <c r="E73" s="276">
        <f>'gen-detail'!D71</f>
        <v>105556</v>
      </c>
    </row>
    <row r="74" spans="2:5" ht="15.75">
      <c r="B74" s="316" t="str">
        <f>'gen-detail'!A72</f>
        <v>Election</v>
      </c>
      <c r="C74" s="462">
        <f>'gen-detail'!B77</f>
        <v>41170</v>
      </c>
      <c r="D74" s="462">
        <f>'gen-detail'!C77</f>
        <v>22000</v>
      </c>
      <c r="E74" s="276">
        <f>'gen-detail'!D77</f>
        <v>41800</v>
      </c>
    </row>
    <row r="75" spans="2:5" ht="15.75">
      <c r="B75" s="316" t="str">
        <f>'gen-detail'!A78</f>
        <v>Emergency Services</v>
      </c>
      <c r="C75" s="462">
        <f>'gen-detail'!B83</f>
        <v>8648</v>
      </c>
      <c r="D75" s="462">
        <f>'gen-detail'!C83</f>
        <v>39600</v>
      </c>
      <c r="E75" s="276">
        <f>'gen-detail'!D83</f>
        <v>40656</v>
      </c>
    </row>
    <row r="76" spans="2:5" ht="15.75">
      <c r="B76" s="316" t="str">
        <f>'gen-detail'!A84</f>
        <v>Fair Maintenance</v>
      </c>
      <c r="C76" s="462">
        <f>'gen-detail'!B89</f>
        <v>31716</v>
      </c>
      <c r="D76" s="462">
        <f>'gen-detail'!C89</f>
        <v>29400</v>
      </c>
      <c r="E76" s="276">
        <f>'gen-detail'!D89</f>
        <v>25000</v>
      </c>
    </row>
    <row r="77" spans="2:5" ht="15.75">
      <c r="B77" s="316" t="str">
        <f>'gen-detail'!A90</f>
        <v>Law Enforcement</v>
      </c>
      <c r="C77" s="462">
        <f>'gen-detail'!B95</f>
        <v>747267</v>
      </c>
      <c r="D77" s="462">
        <f>'gen-detail'!C95</f>
        <v>752250</v>
      </c>
      <c r="E77" s="276">
        <f>'gen-detail'!D95</f>
        <v>752250</v>
      </c>
    </row>
    <row r="78" spans="2:5" ht="15.75">
      <c r="B78" s="316" t="str">
        <f>'gen-detail'!A96</f>
        <v>Mowing</v>
      </c>
      <c r="C78" s="462">
        <f>'gen-detail'!B101</f>
        <v>39053</v>
      </c>
      <c r="D78" s="462">
        <f>'gen-detail'!C101</f>
        <v>0</v>
      </c>
      <c r="E78" s="276">
        <f>'gen-detail'!D101</f>
        <v>0</v>
      </c>
    </row>
    <row r="79" spans="2:5" ht="15.75">
      <c r="B79" s="316" t="str">
        <f>'gen-detail'!A102</f>
        <v>Register of Deeds</v>
      </c>
      <c r="C79" s="462">
        <f>'gen-detail'!B107</f>
        <v>84658</v>
      </c>
      <c r="D79" s="462">
        <f>'gen-detail'!C107</f>
        <v>72500</v>
      </c>
      <c r="E79" s="276">
        <f>'gen-detail'!D107</f>
        <v>66053</v>
      </c>
    </row>
    <row r="80" spans="2:5" ht="15.75">
      <c r="B80" s="316"/>
      <c r="C80" s="462"/>
      <c r="D80" s="462"/>
      <c r="E80" s="276"/>
    </row>
    <row r="81" spans="2:5" ht="15.75">
      <c r="B81" s="327" t="s">
        <v>602</v>
      </c>
      <c r="C81" s="517">
        <f>SUM(C65:C79)</f>
        <v>2606441</v>
      </c>
      <c r="D81" s="517">
        <f>SUM(D65:D79)</f>
        <v>2393835</v>
      </c>
      <c r="E81" s="359">
        <f>SUM(E65:E79)</f>
        <v>2647658</v>
      </c>
    </row>
    <row r="82" spans="2:5" ht="15.75">
      <c r="B82" s="329"/>
      <c r="C82" s="458"/>
      <c r="D82" s="458"/>
      <c r="E82" s="117"/>
    </row>
    <row r="83" spans="2:5" ht="15.75">
      <c r="B83" s="329" t="s">
        <v>674</v>
      </c>
      <c r="C83" s="458">
        <v>55984</v>
      </c>
      <c r="D83" s="458">
        <v>55984</v>
      </c>
      <c r="E83" s="117">
        <v>55984</v>
      </c>
    </row>
    <row r="84" spans="2:6" ht="15.75">
      <c r="B84" s="329" t="s">
        <v>673</v>
      </c>
      <c r="C84" s="458">
        <v>55984</v>
      </c>
      <c r="D84" s="458">
        <v>55984</v>
      </c>
      <c r="E84" s="117">
        <v>55984</v>
      </c>
      <c r="F84" s="77" t="s">
        <v>913</v>
      </c>
    </row>
    <row r="85" spans="2:5" ht="15.75">
      <c r="B85" s="329" t="s">
        <v>675</v>
      </c>
      <c r="C85" s="458">
        <v>14400</v>
      </c>
      <c r="D85" s="458">
        <v>14400</v>
      </c>
      <c r="E85" s="117">
        <v>14400</v>
      </c>
    </row>
    <row r="86" spans="2:5" ht="15.75">
      <c r="B86" s="329" t="s">
        <v>676</v>
      </c>
      <c r="C86" s="458">
        <v>64855</v>
      </c>
      <c r="D86" s="458">
        <v>74592</v>
      </c>
      <c r="E86" s="117">
        <v>77068</v>
      </c>
    </row>
    <row r="87" spans="2:6" ht="15.75">
      <c r="B87" s="329" t="s">
        <v>677</v>
      </c>
      <c r="C87" s="458">
        <v>31900</v>
      </c>
      <c r="D87" s="458">
        <v>31900</v>
      </c>
      <c r="E87" s="117">
        <v>31900</v>
      </c>
      <c r="F87" s="77" t="s">
        <v>913</v>
      </c>
    </row>
    <row r="88" spans="2:5" ht="15.75">
      <c r="B88" s="329" t="s">
        <v>418</v>
      </c>
      <c r="C88" s="458">
        <v>33364</v>
      </c>
      <c r="D88" s="458">
        <v>20000</v>
      </c>
      <c r="E88" s="117">
        <v>5000</v>
      </c>
    </row>
    <row r="89" spans="2:5" ht="15.75">
      <c r="B89" s="329" t="s">
        <v>419</v>
      </c>
      <c r="C89" s="458">
        <v>0</v>
      </c>
      <c r="D89" s="458">
        <v>8000</v>
      </c>
      <c r="E89" s="117">
        <v>8000</v>
      </c>
    </row>
    <row r="90" spans="2:5" ht="15.75">
      <c r="B90" s="329" t="s">
        <v>420</v>
      </c>
      <c r="C90" s="458">
        <v>25</v>
      </c>
      <c r="D90" s="458">
        <v>0</v>
      </c>
      <c r="E90" s="117">
        <v>0</v>
      </c>
    </row>
    <row r="91" spans="2:5" ht="15.75">
      <c r="B91" s="329" t="s">
        <v>421</v>
      </c>
      <c r="C91" s="458">
        <v>25000</v>
      </c>
      <c r="D91" s="458">
        <v>0</v>
      </c>
      <c r="E91" s="117">
        <v>0</v>
      </c>
    </row>
    <row r="92" spans="2:5" ht="15.75">
      <c r="B92" s="329" t="s">
        <v>976</v>
      </c>
      <c r="C92" s="458">
        <v>0</v>
      </c>
      <c r="D92" s="458">
        <v>0</v>
      </c>
      <c r="E92" s="117">
        <v>0</v>
      </c>
    </row>
    <row r="93" spans="2:6" ht="15.75">
      <c r="B93" s="329" t="s">
        <v>422</v>
      </c>
      <c r="C93" s="458">
        <v>0</v>
      </c>
      <c r="D93" s="458">
        <v>0</v>
      </c>
      <c r="E93" s="117">
        <v>0</v>
      </c>
      <c r="F93" s="77" t="s">
        <v>913</v>
      </c>
    </row>
    <row r="94" spans="2:5" ht="15.75">
      <c r="B94" s="329"/>
      <c r="C94" s="458"/>
      <c r="D94" s="458"/>
      <c r="E94" s="117"/>
    </row>
    <row r="95" spans="2:5" ht="15.75">
      <c r="B95" s="329"/>
      <c r="C95" s="458"/>
      <c r="D95" s="458"/>
      <c r="E95" s="117"/>
    </row>
    <row r="96" spans="2:5" ht="15.75">
      <c r="B96" s="329"/>
      <c r="C96" s="458"/>
      <c r="D96" s="458"/>
      <c r="E96" s="117"/>
    </row>
    <row r="97" spans="2:5" ht="15.75">
      <c r="B97" s="320" t="s">
        <v>872</v>
      </c>
      <c r="C97" s="458">
        <v>83290</v>
      </c>
      <c r="D97" s="458">
        <v>113198</v>
      </c>
      <c r="E97" s="125">
        <f>Nhood!$E6</f>
        <v>90519</v>
      </c>
    </row>
    <row r="98" spans="2:5" ht="15.75">
      <c r="B98" s="320" t="s">
        <v>870</v>
      </c>
      <c r="C98" s="458">
        <v>61</v>
      </c>
      <c r="D98" s="458">
        <v>0</v>
      </c>
      <c r="E98" s="117">
        <v>0</v>
      </c>
    </row>
    <row r="99" spans="2:10" ht="15.75">
      <c r="B99" s="320" t="s">
        <v>721</v>
      </c>
      <c r="C99" s="459">
        <f>IF(C100*0.1&lt;C98,"Exceed 10% Rule","")</f>
      </c>
      <c r="D99" s="459">
        <f>IF(D100*0.1&lt;D98,"Exceed 10% Rule","")</f>
      </c>
      <c r="E99" s="355">
        <f>IF(E100*0.1&lt;E98,"Exceed 10% Rule","")</f>
      </c>
      <c r="G99" s="722" t="str">
        <f>CONCATENATE("Projected Carryover Into ",E1+1,"")</f>
        <v>Projected Carryover Into 2013</v>
      </c>
      <c r="H99" s="723"/>
      <c r="I99" s="723"/>
      <c r="J99" s="724"/>
    </row>
    <row r="100" spans="2:10" ht="15.75">
      <c r="B100" s="322" t="s">
        <v>137</v>
      </c>
      <c r="C100" s="460">
        <f>SUM(C81:C98)</f>
        <v>2971304</v>
      </c>
      <c r="D100" s="460">
        <f>SUM(D81:D98)</f>
        <v>2767893</v>
      </c>
      <c r="E100" s="363">
        <f>SUM(E81:E98)</f>
        <v>2986513</v>
      </c>
      <c r="G100" s="549"/>
      <c r="H100" s="548"/>
      <c r="I100" s="548"/>
      <c r="J100" s="550"/>
    </row>
    <row r="101" spans="2:10" ht="15.75">
      <c r="B101" s="153" t="s">
        <v>254</v>
      </c>
      <c r="C101" s="463">
        <f>C55-C100</f>
        <v>307886</v>
      </c>
      <c r="D101" s="463">
        <f>D55-D100</f>
        <v>150117</v>
      </c>
      <c r="E101" s="233" t="s">
        <v>111</v>
      </c>
      <c r="G101" s="535">
        <f>D101</f>
        <v>150117</v>
      </c>
      <c r="H101" s="533" t="str">
        <f>CONCATENATE("",E1-1," Ending Cash Balance (est.)")</f>
        <v>2011 Ending Cash Balance (est.)</v>
      </c>
      <c r="I101" s="532"/>
      <c r="J101" s="550"/>
    </row>
    <row r="102" spans="2:10" ht="15.75">
      <c r="B102" s="298" t="str">
        <f>CONCATENATE("",E$1-2,"/",E$1-1," Budget Authority Amount:")</f>
        <v>2010/2011 Budget Authority Amount:</v>
      </c>
      <c r="C102" s="290">
        <f>inputOth!$B31</f>
        <v>3130245</v>
      </c>
      <c r="D102" s="290">
        <f>inputPrYr!$D16</f>
        <v>3062943</v>
      </c>
      <c r="E102" s="233" t="s">
        <v>111</v>
      </c>
      <c r="F102" s="331"/>
      <c r="G102" s="535">
        <f>E54</f>
        <v>1161607</v>
      </c>
      <c r="H102" s="531" t="str">
        <f>CONCATENATE("",E1," Non-AV Receipts (est.)")</f>
        <v>2012 Non-AV Receipts (est.)</v>
      </c>
      <c r="I102" s="532"/>
      <c r="J102" s="550"/>
    </row>
    <row r="103" spans="2:10" ht="15.75">
      <c r="B103" s="298"/>
      <c r="C103" s="729" t="s">
        <v>725</v>
      </c>
      <c r="D103" s="730"/>
      <c r="E103" s="117"/>
      <c r="F103" s="534">
        <f>IF(E100/0.95-E100&lt;E103,"Exceeds 5%","")</f>
      </c>
      <c r="G103" s="530">
        <f>E107</f>
        <v>1674789</v>
      </c>
      <c r="H103" s="531" t="str">
        <f>CONCATENATE("",E1," Ad Valorem Tax (est.)")</f>
        <v>2012 Ad Valorem Tax (est.)</v>
      </c>
      <c r="I103" s="532"/>
      <c r="J103" s="550"/>
    </row>
    <row r="104" spans="2:10" ht="15.75">
      <c r="B104" s="538" t="str">
        <f>CONCATENATE(C119,"     ",D119)</f>
        <v>     </v>
      </c>
      <c r="C104" s="731" t="s">
        <v>726</v>
      </c>
      <c r="D104" s="732"/>
      <c r="E104" s="276">
        <f>E100+E103</f>
        <v>2986513</v>
      </c>
      <c r="G104" s="535">
        <f>SUM(G101:G103)</f>
        <v>2986513</v>
      </c>
      <c r="H104" s="531" t="str">
        <f>CONCATENATE("Total ",E1," Resources Available")</f>
        <v>Total 2012 Resources Available</v>
      </c>
      <c r="I104" s="532"/>
      <c r="J104" s="550"/>
    </row>
    <row r="105" spans="2:10" ht="15.75">
      <c r="B105" s="538" t="str">
        <f>CONCATENATE(C120,"     ",D120)</f>
        <v>     </v>
      </c>
      <c r="C105" s="332"/>
      <c r="D105" s="252" t="s">
        <v>138</v>
      </c>
      <c r="E105" s="125">
        <f>IF(E104-E55&gt;0,E104-E55,0)</f>
        <v>1674789</v>
      </c>
      <c r="G105" s="529"/>
      <c r="H105" s="531"/>
      <c r="I105" s="531"/>
      <c r="J105" s="550"/>
    </row>
    <row r="106" spans="2:10" ht="15.75">
      <c r="B106" s="298"/>
      <c r="C106" s="536" t="s">
        <v>727</v>
      </c>
      <c r="D106" s="508">
        <f>inputOth!$E$24</f>
        <v>0</v>
      </c>
      <c r="E106" s="276">
        <f>IF(D106&gt;0,(E105*D106),0)</f>
        <v>0</v>
      </c>
      <c r="G106" s="530">
        <f>C100*0.05+C100</f>
        <v>3119869.2</v>
      </c>
      <c r="H106" s="531" t="str">
        <f>CONCATENATE("Less ",E1-2," Expenditures + 5%")</f>
        <v>Less 2010 Expenditures + 5%</v>
      </c>
      <c r="I106" s="532"/>
      <c r="J106" s="550"/>
    </row>
    <row r="107" spans="2:10" ht="15.75">
      <c r="B107" s="90"/>
      <c r="C107" s="727" t="str">
        <f>CONCATENATE("Amount of  ",$E$1-1," Ad Valorem Tax")</f>
        <v>Amount of  2011 Ad Valorem Tax</v>
      </c>
      <c r="D107" s="728"/>
      <c r="E107" s="359">
        <f>E105+E106</f>
        <v>1674789</v>
      </c>
      <c r="G107" s="528">
        <f>G104-G106</f>
        <v>-133356.2000000002</v>
      </c>
      <c r="H107" s="527" t="str">
        <f>CONCATENATE("Projected ",E1," Carryover (est.)")</f>
        <v>Projected 2012 Carryover (est.)</v>
      </c>
      <c r="I107" s="505"/>
      <c r="J107" s="504"/>
    </row>
    <row r="108" spans="2:10" ht="15.75">
      <c r="B108" s="90"/>
      <c r="C108" s="90"/>
      <c r="D108" s="90"/>
      <c r="E108" s="90"/>
      <c r="G108" s="545"/>
      <c r="H108" s="545"/>
      <c r="I108" s="545"/>
      <c r="J108" s="545"/>
    </row>
    <row r="109" spans="2:10" ht="15.75">
      <c r="B109" s="726" t="s">
        <v>264</v>
      </c>
      <c r="C109" s="726"/>
      <c r="D109" s="726"/>
      <c r="E109" s="726"/>
      <c r="G109" s="503">
        <f>IF(inputOth!E6=0,"",ROUND(general!E107/inputOth!E6*1000,3))</f>
        <v>21.731</v>
      </c>
      <c r="H109" s="502" t="str">
        <f>CONCATENATE("Projected ",E1-1," Mill Rate (est.)")</f>
        <v>Projected 2011 Mill Rate (est.)</v>
      </c>
      <c r="I109" s="501"/>
      <c r="J109" s="500"/>
    </row>
    <row r="110" spans="7:10" ht="15.75">
      <c r="G110" s="551"/>
      <c r="H110" s="551"/>
      <c r="I110" s="551"/>
      <c r="J110" s="551"/>
    </row>
    <row r="111" spans="7:10" ht="15.75">
      <c r="G111" s="722" t="str">
        <f>CONCATENATE("Desired Carryover Into ",E1+1,"")</f>
        <v>Desired Carryover Into 2013</v>
      </c>
      <c r="H111" s="725"/>
      <c r="I111" s="725"/>
      <c r="J111" s="724"/>
    </row>
    <row r="112" spans="7:10" ht="15.75">
      <c r="G112" s="499"/>
      <c r="H112" s="548"/>
      <c r="I112" s="531"/>
      <c r="J112" s="498"/>
    </row>
    <row r="113" spans="7:10" ht="15.75">
      <c r="G113" s="497" t="s">
        <v>728</v>
      </c>
      <c r="H113" s="531"/>
      <c r="I113" s="531"/>
      <c r="J113" s="496"/>
    </row>
    <row r="114" spans="7:10" ht="15.75">
      <c r="G114" s="499" t="s">
        <v>729</v>
      </c>
      <c r="H114" s="548"/>
      <c r="I114" s="548"/>
      <c r="J114" s="495">
        <f>IF(J113=0,"",ROUND((J113+E107-G107)/inputOth!E6*1000,3)-general!G109)</f>
      </c>
    </row>
    <row r="115" spans="7:10" ht="15.75">
      <c r="G115" s="494" t="str">
        <f>CONCATENATE("",E1," Total Expenditures Must Be:")</f>
        <v>2012 Total Expenditures Must Be:</v>
      </c>
      <c r="H115" s="493"/>
      <c r="I115" s="492"/>
      <c r="J115" s="491">
        <f>IF((J113&gt;0),(E100+J113-G107),0)</f>
        <v>0</v>
      </c>
    </row>
    <row r="119" spans="3:4" ht="15.75" hidden="1">
      <c r="C119" s="77">
        <f>IF(C100&gt;C102,"See Tab A","")</f>
      </c>
      <c r="D119" s="77">
        <f>IF(D100&gt;D102,"See Tab C","")</f>
      </c>
    </row>
    <row r="120" spans="3:4" ht="15.75" hidden="1">
      <c r="C120" s="77">
        <f>IF(C101&lt;0,"See Tab B","")</f>
      </c>
      <c r="D120" s="77">
        <f>IF(D101&lt;0,"See Tab D","")</f>
      </c>
    </row>
  </sheetData>
  <sheetProtection/>
  <mergeCells count="7">
    <mergeCell ref="G99:J99"/>
    <mergeCell ref="G111:J111"/>
    <mergeCell ref="B57:E57"/>
    <mergeCell ref="B109:E109"/>
    <mergeCell ref="C107:D107"/>
    <mergeCell ref="C103:D103"/>
    <mergeCell ref="C104:D104"/>
  </mergeCells>
  <conditionalFormatting sqref="E98">
    <cfRule type="cellIs" priority="2" dxfId="405" operator="greaterThan" stopIfTrue="1">
      <formula>$E$100*0.1</formula>
    </cfRule>
  </conditionalFormatting>
  <conditionalFormatting sqref="E103">
    <cfRule type="cellIs" priority="3" dxfId="405" operator="greaterThan" stopIfTrue="1">
      <formula>$E$100/0.95-$E$100</formula>
    </cfRule>
  </conditionalFormatting>
  <conditionalFormatting sqref="D98">
    <cfRule type="cellIs" priority="4" dxfId="2" operator="greaterThan" stopIfTrue="1">
      <formula>$D$100*0.1</formula>
    </cfRule>
  </conditionalFormatting>
  <conditionalFormatting sqref="C98">
    <cfRule type="cellIs" priority="5" dxfId="2" operator="greaterThan" stopIfTrue="1">
      <formula>$C$100*0.1</formula>
    </cfRule>
  </conditionalFormatting>
  <conditionalFormatting sqref="C101:D101">
    <cfRule type="cellIs" priority="6" dxfId="2" operator="lessThan" stopIfTrue="1">
      <formula>0</formula>
    </cfRule>
  </conditionalFormatting>
  <conditionalFormatting sqref="D100">
    <cfRule type="cellIs" priority="7" dxfId="2" operator="greaterThan" stopIfTrue="1">
      <formula>$D$102</formula>
    </cfRule>
  </conditionalFormatting>
  <conditionalFormatting sqref="C100">
    <cfRule type="cellIs" priority="8" dxfId="2" operator="greaterThan" stopIfTrue="1">
      <formula>$C$102</formula>
    </cfRule>
  </conditionalFormatting>
  <conditionalFormatting sqref="E52">
    <cfRule type="cellIs" priority="11" dxfId="405" operator="greaterThan" stopIfTrue="1">
      <formula>$E$54*0.1+E107</formula>
    </cfRule>
  </conditionalFormatting>
  <conditionalFormatting sqref="D52">
    <cfRule type="cellIs" priority="9" dxfId="2" operator="greaterThan" stopIfTrue="1">
      <formula>$D$54*0.1</formula>
    </cfRule>
  </conditionalFormatting>
  <conditionalFormatting sqref="C52">
    <cfRule type="cellIs" priority="10" dxfId="2" operator="greaterThan" stopIfTrue="1">
      <formula>$C$54*0.1</formula>
    </cfRule>
  </conditionalFormatting>
  <printOptions/>
  <pageMargins left="1" right="0.5" top="0.81" bottom="0.36" header="0.5" footer="0"/>
  <pageSetup blackAndWhite="1" fitToHeight="2" horizontalDpi="120" verticalDpi="120" orientation="portrait" scale="65" r:id="rId1"/>
  <headerFooter alignWithMargins="0">
    <oddHeader>&amp;RState of Kansas
County
</oddHeader>
  </headerFooter>
  <rowBreaks count="1" manualBreakCount="1">
    <brk id="57" max="255" man="1"/>
  </rowBreaks>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1:E218"/>
  <sheetViews>
    <sheetView tabSelected="1" zoomScalePageLayoutView="0" workbookViewId="0" topLeftCell="A1">
      <selection activeCell="F49" sqref="F49"/>
    </sheetView>
  </sheetViews>
  <sheetFormatPr defaultColWidth="8.796875" defaultRowHeight="15"/>
  <cols>
    <col min="1" max="1" width="30.796875" style="77" customWidth="1"/>
    <col min="2" max="3" width="15.796875" style="77" customWidth="1"/>
    <col min="4" max="4" width="16.09765625" style="77" customWidth="1"/>
    <col min="5" max="16384" width="8.8984375" style="77" customWidth="1"/>
  </cols>
  <sheetData>
    <row r="1" spans="1:4" ht="15.75">
      <c r="A1" s="240" t="str">
        <f>inputPrYr!C2</f>
        <v>Clay County</v>
      </c>
      <c r="B1" s="90"/>
      <c r="C1" s="312"/>
      <c r="D1" s="90">
        <f>inputPrYr!C4</f>
        <v>2012</v>
      </c>
    </row>
    <row r="2" spans="1:4" ht="15.75">
      <c r="A2" s="90"/>
      <c r="B2" s="90"/>
      <c r="C2" s="90"/>
      <c r="D2" s="312"/>
    </row>
    <row r="3" spans="1:4" ht="15.75">
      <c r="A3" s="157" t="s">
        <v>208</v>
      </c>
      <c r="B3" s="325"/>
      <c r="C3" s="325"/>
      <c r="D3" s="325"/>
    </row>
    <row r="4" spans="1:4" ht="15.75">
      <c r="A4" s="312" t="s">
        <v>123</v>
      </c>
      <c r="B4" s="577" t="str">
        <f>general!C4</f>
        <v>Prior Year Actual</v>
      </c>
      <c r="C4" s="482" t="str">
        <f>general!D4</f>
        <v>Current Year Estimate</v>
      </c>
      <c r="D4" s="482" t="str">
        <f>general!E4</f>
        <v>Proposed Budget Year</v>
      </c>
    </row>
    <row r="5" spans="1:4" ht="15.75">
      <c r="A5" s="513" t="s">
        <v>724</v>
      </c>
      <c r="B5" s="326">
        <f>general!C5</f>
        <v>2010</v>
      </c>
      <c r="C5" s="326">
        <f>general!D5</f>
        <v>2011</v>
      </c>
      <c r="D5" s="313">
        <f>general!E5</f>
        <v>2012</v>
      </c>
    </row>
    <row r="6" spans="1:4" ht="15.75">
      <c r="A6" s="273" t="s">
        <v>136</v>
      </c>
      <c r="B6" s="132"/>
      <c r="C6" s="132"/>
      <c r="D6" s="132"/>
    </row>
    <row r="7" spans="1:4" ht="15.75">
      <c r="A7" s="335" t="s">
        <v>953</v>
      </c>
      <c r="B7" s="132"/>
      <c r="C7" s="132"/>
      <c r="D7" s="132"/>
    </row>
    <row r="8" spans="1:5" ht="15.75">
      <c r="A8" s="115" t="s">
        <v>141</v>
      </c>
      <c r="B8" s="317">
        <v>46538</v>
      </c>
      <c r="C8" s="317">
        <v>35050</v>
      </c>
      <c r="D8" s="317">
        <v>45397</v>
      </c>
      <c r="E8" s="77" t="s">
        <v>913</v>
      </c>
    </row>
    <row r="9" spans="1:4" ht="15.75">
      <c r="A9" s="115" t="s">
        <v>142</v>
      </c>
      <c r="B9" s="317">
        <v>369597</v>
      </c>
      <c r="C9" s="317">
        <v>220000</v>
      </c>
      <c r="D9" s="317">
        <v>260000</v>
      </c>
    </row>
    <row r="10" spans="1:4" ht="15.75">
      <c r="A10" s="115" t="s">
        <v>143</v>
      </c>
      <c r="B10" s="317">
        <v>24014</v>
      </c>
      <c r="C10" s="317">
        <v>20000</v>
      </c>
      <c r="D10" s="317">
        <v>20000</v>
      </c>
    </row>
    <row r="11" spans="1:4" ht="15.75">
      <c r="A11" s="115" t="s">
        <v>144</v>
      </c>
      <c r="B11" s="317">
        <v>34175</v>
      </c>
      <c r="C11" s="317">
        <v>24950</v>
      </c>
      <c r="D11" s="317">
        <v>153863</v>
      </c>
    </row>
    <row r="12" spans="1:4" ht="15.75">
      <c r="A12" s="304"/>
      <c r="B12" s="317"/>
      <c r="C12" s="317"/>
      <c r="D12" s="317"/>
    </row>
    <row r="13" spans="1:4" ht="15.75">
      <c r="A13" s="312" t="s">
        <v>441</v>
      </c>
      <c r="B13" s="336">
        <f>SUM(B8:B12)</f>
        <v>474324</v>
      </c>
      <c r="C13" s="336">
        <f>SUM(C8:C12)</f>
        <v>300000</v>
      </c>
      <c r="D13" s="336">
        <f>SUM(D8:D12)</f>
        <v>479260</v>
      </c>
    </row>
    <row r="14" spans="1:4" ht="15.75">
      <c r="A14" s="335" t="s">
        <v>145</v>
      </c>
      <c r="B14" s="132"/>
      <c r="C14" s="132"/>
      <c r="D14" s="132"/>
    </row>
    <row r="15" spans="1:4" ht="15.75">
      <c r="A15" s="115" t="s">
        <v>141</v>
      </c>
      <c r="B15" s="317">
        <v>424212</v>
      </c>
      <c r="C15" s="317">
        <v>415000</v>
      </c>
      <c r="D15" s="317">
        <v>456790</v>
      </c>
    </row>
    <row r="16" spans="1:5" ht="15.75">
      <c r="A16" s="115" t="s">
        <v>142</v>
      </c>
      <c r="B16" s="317">
        <v>58797</v>
      </c>
      <c r="C16" s="317">
        <v>55000</v>
      </c>
      <c r="D16" s="317">
        <v>56000</v>
      </c>
      <c r="E16" s="77" t="s">
        <v>913</v>
      </c>
    </row>
    <row r="17" spans="1:5" ht="15.75">
      <c r="A17" s="115" t="s">
        <v>143</v>
      </c>
      <c r="B17" s="317">
        <v>38820</v>
      </c>
      <c r="C17" s="317">
        <v>38000</v>
      </c>
      <c r="D17" s="317">
        <v>40000</v>
      </c>
      <c r="E17" s="77" t="s">
        <v>913</v>
      </c>
    </row>
    <row r="18" spans="1:4" ht="15.75">
      <c r="A18" s="115" t="s">
        <v>144</v>
      </c>
      <c r="B18" s="317">
        <v>1530</v>
      </c>
      <c r="C18" s="317">
        <v>20000</v>
      </c>
      <c r="D18" s="317">
        <v>20000</v>
      </c>
    </row>
    <row r="19" spans="1:4" ht="15.75">
      <c r="A19" s="312" t="s">
        <v>441</v>
      </c>
      <c r="B19" s="336">
        <f>SUM(B15:B18)</f>
        <v>523359</v>
      </c>
      <c r="C19" s="336">
        <f>SUM(C15:C18)</f>
        <v>528000</v>
      </c>
      <c r="D19" s="336">
        <f>SUM(D15:D18)</f>
        <v>572790</v>
      </c>
    </row>
    <row r="20" spans="1:4" ht="15.75">
      <c r="A20" s="335" t="s">
        <v>146</v>
      </c>
      <c r="B20" s="132"/>
      <c r="C20" s="132"/>
      <c r="D20" s="132"/>
    </row>
    <row r="21" spans="1:5" ht="15.75">
      <c r="A21" s="115" t="s">
        <v>141</v>
      </c>
      <c r="B21" s="317">
        <v>142892</v>
      </c>
      <c r="C21" s="317">
        <v>148629</v>
      </c>
      <c r="D21" s="317">
        <v>148629</v>
      </c>
      <c r="E21" s="77" t="s">
        <v>913</v>
      </c>
    </row>
    <row r="22" spans="1:5" ht="15.75">
      <c r="A22" s="115" t="s">
        <v>142</v>
      </c>
      <c r="B22" s="317">
        <v>24414</v>
      </c>
      <c r="C22" s="317">
        <v>27000</v>
      </c>
      <c r="D22" s="317">
        <v>27000</v>
      </c>
      <c r="E22" s="77" t="s">
        <v>913</v>
      </c>
    </row>
    <row r="23" spans="1:5" ht="15.75">
      <c r="A23" s="115" t="s">
        <v>143</v>
      </c>
      <c r="B23" s="317">
        <v>7489</v>
      </c>
      <c r="C23" s="317">
        <v>9300</v>
      </c>
      <c r="D23" s="317">
        <v>9500</v>
      </c>
      <c r="E23" s="77" t="s">
        <v>913</v>
      </c>
    </row>
    <row r="24" spans="1:4" ht="15.75">
      <c r="A24" s="115" t="s">
        <v>144</v>
      </c>
      <c r="B24" s="317">
        <v>0</v>
      </c>
      <c r="C24" s="317">
        <v>0</v>
      </c>
      <c r="D24" s="317">
        <v>1000</v>
      </c>
    </row>
    <row r="25" spans="1:4" ht="15.75">
      <c r="A25" s="312" t="s">
        <v>441</v>
      </c>
      <c r="B25" s="336">
        <f>SUM(B21:B24)</f>
        <v>174795</v>
      </c>
      <c r="C25" s="336">
        <f>SUM(C21:C24)</f>
        <v>184929</v>
      </c>
      <c r="D25" s="336">
        <f>SUM(D21:D24)</f>
        <v>186129</v>
      </c>
    </row>
    <row r="26" spans="1:4" ht="15.75">
      <c r="A26" s="335" t="s">
        <v>954</v>
      </c>
      <c r="B26" s="132"/>
      <c r="C26" s="132"/>
      <c r="D26" s="132"/>
    </row>
    <row r="27" spans="1:5" ht="15.75">
      <c r="A27" s="115" t="s">
        <v>141</v>
      </c>
      <c r="B27" s="317">
        <v>29515</v>
      </c>
      <c r="C27" s="317">
        <v>32000</v>
      </c>
      <c r="D27" s="317">
        <v>29812</v>
      </c>
      <c r="E27" s="77" t="s">
        <v>913</v>
      </c>
    </row>
    <row r="28" spans="1:4" ht="15.75">
      <c r="A28" s="115" t="s">
        <v>142</v>
      </c>
      <c r="B28" s="317">
        <v>1122</v>
      </c>
      <c r="C28" s="317">
        <v>2500</v>
      </c>
      <c r="D28" s="317">
        <v>2000</v>
      </c>
    </row>
    <row r="29" spans="1:4" ht="15.75">
      <c r="A29" s="115" t="s">
        <v>143</v>
      </c>
      <c r="B29" s="317">
        <v>430</v>
      </c>
      <c r="C29" s="317">
        <v>1900</v>
      </c>
      <c r="D29" s="317">
        <v>1500</v>
      </c>
    </row>
    <row r="30" spans="1:4" ht="15.75">
      <c r="A30" s="115" t="s">
        <v>144</v>
      </c>
      <c r="B30" s="317">
        <v>0</v>
      </c>
      <c r="C30" s="317">
        <v>0</v>
      </c>
      <c r="D30" s="317">
        <v>0</v>
      </c>
    </row>
    <row r="31" spans="1:4" ht="15.75">
      <c r="A31" s="312" t="s">
        <v>441</v>
      </c>
      <c r="B31" s="336">
        <f>SUM(B27:B30)</f>
        <v>31067</v>
      </c>
      <c r="C31" s="336">
        <f>SUM(C27:C30)</f>
        <v>36400</v>
      </c>
      <c r="D31" s="336">
        <f>SUM(D27:D30)</f>
        <v>33312</v>
      </c>
    </row>
    <row r="32" spans="1:4" ht="15.75">
      <c r="A32" s="335" t="s">
        <v>955</v>
      </c>
      <c r="B32" s="132"/>
      <c r="C32" s="132"/>
      <c r="D32" s="132"/>
    </row>
    <row r="33" spans="1:5" ht="15.75">
      <c r="A33" s="115" t="s">
        <v>141</v>
      </c>
      <c r="B33" s="317">
        <v>88201</v>
      </c>
      <c r="C33" s="317">
        <v>76000</v>
      </c>
      <c r="D33" s="317">
        <v>89102</v>
      </c>
      <c r="E33" s="77" t="s">
        <v>913</v>
      </c>
    </row>
    <row r="34" spans="1:4" ht="15.75">
      <c r="A34" s="115" t="s">
        <v>142</v>
      </c>
      <c r="B34" s="317">
        <v>9284</v>
      </c>
      <c r="C34" s="317">
        <v>9700</v>
      </c>
      <c r="D34" s="317">
        <v>9700</v>
      </c>
    </row>
    <row r="35" spans="1:4" ht="15.75">
      <c r="A35" s="115" t="s">
        <v>143</v>
      </c>
      <c r="B35" s="317">
        <v>3847</v>
      </c>
      <c r="C35" s="317">
        <v>1100</v>
      </c>
      <c r="D35" s="317">
        <v>1100</v>
      </c>
    </row>
    <row r="36" spans="1:4" ht="15.75">
      <c r="A36" s="319" t="s">
        <v>144</v>
      </c>
      <c r="B36" s="317">
        <v>0</v>
      </c>
      <c r="C36" s="317">
        <v>0</v>
      </c>
      <c r="D36" s="317">
        <v>0</v>
      </c>
    </row>
    <row r="37" spans="1:4" ht="15.75">
      <c r="A37" s="312" t="s">
        <v>441</v>
      </c>
      <c r="B37" s="336">
        <f>SUM(B33:B36)</f>
        <v>101332</v>
      </c>
      <c r="C37" s="336">
        <f>SUM(C33:C36)</f>
        <v>86800</v>
      </c>
      <c r="D37" s="336">
        <f>SUM(D33:D36)</f>
        <v>99902</v>
      </c>
    </row>
    <row r="38" spans="1:4" ht="15.75">
      <c r="A38" s="335" t="s">
        <v>114</v>
      </c>
      <c r="B38" s="132"/>
      <c r="C38" s="132"/>
      <c r="D38" s="132"/>
    </row>
    <row r="39" spans="1:5" ht="15.75">
      <c r="A39" s="115" t="s">
        <v>141</v>
      </c>
      <c r="B39" s="317">
        <v>89930</v>
      </c>
      <c r="C39" s="317">
        <v>95000</v>
      </c>
      <c r="D39" s="317">
        <v>97430</v>
      </c>
      <c r="E39" s="77" t="s">
        <v>913</v>
      </c>
    </row>
    <row r="40" spans="1:5" ht="15.75">
      <c r="A40" s="115" t="s">
        <v>142</v>
      </c>
      <c r="B40" s="317">
        <v>1079</v>
      </c>
      <c r="C40" s="317">
        <v>2200</v>
      </c>
      <c r="D40" s="317">
        <v>2300</v>
      </c>
      <c r="E40" s="77" t="s">
        <v>913</v>
      </c>
    </row>
    <row r="41" spans="1:5" ht="15.75">
      <c r="A41" s="115" t="s">
        <v>143</v>
      </c>
      <c r="B41" s="317">
        <v>2659</v>
      </c>
      <c r="C41" s="317">
        <v>500</v>
      </c>
      <c r="D41" s="317">
        <v>500</v>
      </c>
      <c r="E41" s="77" t="s">
        <v>913</v>
      </c>
    </row>
    <row r="42" spans="1:4" ht="15.75">
      <c r="A42" s="115" t="s">
        <v>144</v>
      </c>
      <c r="B42" s="317">
        <v>0</v>
      </c>
      <c r="C42" s="317"/>
      <c r="D42" s="317">
        <v>1000</v>
      </c>
    </row>
    <row r="43" spans="1:4" ht="15.75">
      <c r="A43" s="312" t="s">
        <v>441</v>
      </c>
      <c r="B43" s="336">
        <f>SUM(B39:B42)</f>
        <v>93668</v>
      </c>
      <c r="C43" s="336">
        <f>SUM(C39:C42)</f>
        <v>97700</v>
      </c>
      <c r="D43" s="336">
        <f>SUM(D39:D42)</f>
        <v>101230</v>
      </c>
    </row>
    <row r="44" spans="1:4" ht="15.75">
      <c r="A44" s="335" t="s">
        <v>147</v>
      </c>
      <c r="B44" s="132"/>
      <c r="C44" s="132"/>
      <c r="D44" s="132"/>
    </row>
    <row r="45" spans="1:5" ht="15.75">
      <c r="A45" s="115" t="s">
        <v>141</v>
      </c>
      <c r="B45" s="317">
        <v>39000</v>
      </c>
      <c r="C45" s="317">
        <v>37400</v>
      </c>
      <c r="D45" s="317">
        <v>39720</v>
      </c>
      <c r="E45" s="77" t="s">
        <v>913</v>
      </c>
    </row>
    <row r="46" spans="1:4" ht="15.75">
      <c r="A46" s="115" t="s">
        <v>142</v>
      </c>
      <c r="B46" s="317">
        <v>374</v>
      </c>
      <c r="C46" s="317">
        <v>1200</v>
      </c>
      <c r="D46" s="317">
        <v>1200</v>
      </c>
    </row>
    <row r="47" spans="1:4" ht="15.75">
      <c r="A47" s="115" t="s">
        <v>143</v>
      </c>
      <c r="B47" s="317">
        <v>191</v>
      </c>
      <c r="C47" s="317">
        <v>200</v>
      </c>
      <c r="D47" s="317">
        <v>200</v>
      </c>
    </row>
    <row r="48" spans="1:4" ht="15.75">
      <c r="A48" s="115" t="s">
        <v>144</v>
      </c>
      <c r="B48" s="317">
        <v>0</v>
      </c>
      <c r="C48" s="317">
        <v>0</v>
      </c>
      <c r="D48" s="317">
        <v>0</v>
      </c>
    </row>
    <row r="49" spans="1:4" ht="15.75">
      <c r="A49" s="312" t="s">
        <v>441</v>
      </c>
      <c r="B49" s="336">
        <f>SUM(B45:B48)</f>
        <v>39565</v>
      </c>
      <c r="C49" s="336">
        <f>SUM(C45:C48)</f>
        <v>38800</v>
      </c>
      <c r="D49" s="336">
        <f>SUM(D45:D48)</f>
        <v>41120</v>
      </c>
    </row>
    <row r="50" spans="1:4" ht="15.75">
      <c r="A50" s="335" t="s">
        <v>148</v>
      </c>
      <c r="B50" s="132"/>
      <c r="C50" s="132"/>
      <c r="D50" s="132"/>
    </row>
    <row r="51" spans="1:5" ht="15.75">
      <c r="A51" s="115" t="s">
        <v>141</v>
      </c>
      <c r="B51" s="317">
        <v>108196</v>
      </c>
      <c r="C51" s="317">
        <v>97500</v>
      </c>
      <c r="D51" s="317">
        <v>100400</v>
      </c>
      <c r="E51" s="77" t="s">
        <v>913</v>
      </c>
    </row>
    <row r="52" spans="1:4" ht="15.75">
      <c r="A52" s="115" t="s">
        <v>142</v>
      </c>
      <c r="B52" s="317">
        <v>291</v>
      </c>
      <c r="C52" s="317">
        <v>1000</v>
      </c>
      <c r="D52" s="317">
        <v>700</v>
      </c>
    </row>
    <row r="53" spans="1:4" ht="15.75">
      <c r="A53" s="115" t="s">
        <v>143</v>
      </c>
      <c r="B53" s="317">
        <v>0</v>
      </c>
      <c r="C53" s="317">
        <v>1400</v>
      </c>
      <c r="D53" s="317">
        <v>500</v>
      </c>
    </row>
    <row r="54" spans="1:4" ht="15.75">
      <c r="A54" s="115" t="s">
        <v>77</v>
      </c>
      <c r="B54" s="317">
        <v>2500</v>
      </c>
      <c r="C54" s="317">
        <v>0</v>
      </c>
      <c r="D54" s="317">
        <v>1000</v>
      </c>
    </row>
    <row r="55" spans="1:4" ht="15.75">
      <c r="A55" s="312" t="s">
        <v>441</v>
      </c>
      <c r="B55" s="330">
        <f>SUM(B51:B54)</f>
        <v>110987</v>
      </c>
      <c r="C55" s="330">
        <f>SUM(C51:C54)</f>
        <v>99900</v>
      </c>
      <c r="D55" s="330">
        <f>SUM(D51:D54)</f>
        <v>102600</v>
      </c>
    </row>
    <row r="56" spans="1:4" ht="15.75">
      <c r="A56" s="90"/>
      <c r="B56" s="132"/>
      <c r="C56" s="132"/>
      <c r="D56" s="132"/>
    </row>
    <row r="57" spans="1:4" ht="15.75">
      <c r="A57" s="312" t="s">
        <v>281</v>
      </c>
      <c r="B57" s="323">
        <f>B13+B19+B25+B31+B37+B43+B49+B55</f>
        <v>1549097</v>
      </c>
      <c r="C57" s="323">
        <f>C13+C19+C25+C31+C37+C43+C49+C55</f>
        <v>1372529</v>
      </c>
      <c r="D57" s="323">
        <f>D13+D19+D25+D31+D37+D43+D49+D55</f>
        <v>1616343</v>
      </c>
    </row>
    <row r="58" spans="1:4" ht="15.75">
      <c r="A58" s="90"/>
      <c r="B58" s="240"/>
      <c r="C58" s="240"/>
      <c r="D58" s="240"/>
    </row>
    <row r="59" spans="1:4" ht="15.75">
      <c r="A59" s="733" t="s">
        <v>265</v>
      </c>
      <c r="B59" s="733"/>
      <c r="C59" s="733"/>
      <c r="D59" s="733"/>
    </row>
    <row r="60" spans="1:4" ht="15.75">
      <c r="A60" s="240" t="str">
        <f>inputPrYr!C2</f>
        <v>Clay County</v>
      </c>
      <c r="B60" s="240"/>
      <c r="C60" s="89"/>
      <c r="D60" s="337">
        <f>D1</f>
        <v>2012</v>
      </c>
    </row>
    <row r="61" spans="1:4" ht="15.75">
      <c r="A61" s="90"/>
      <c r="B61" s="240"/>
      <c r="C61" s="240"/>
      <c r="D61" s="89"/>
    </row>
    <row r="62" spans="1:4" ht="15.75">
      <c r="A62" s="324" t="s">
        <v>207</v>
      </c>
      <c r="B62" s="338"/>
      <c r="C62" s="338"/>
      <c r="D62" s="338"/>
    </row>
    <row r="63" spans="1:4" ht="15.75">
      <c r="A63" s="90" t="s">
        <v>123</v>
      </c>
      <c r="B63" s="334" t="str">
        <f aca="true" t="shared" si="0" ref="B63:D64">B4</f>
        <v>Prior Year Actual</v>
      </c>
      <c r="C63" s="227" t="str">
        <f t="shared" si="0"/>
        <v>Current Year Estimate</v>
      </c>
      <c r="D63" s="227" t="str">
        <f t="shared" si="0"/>
        <v>Proposed Budget Year</v>
      </c>
    </row>
    <row r="64" spans="1:4" ht="15.75">
      <c r="A64" s="119" t="s">
        <v>140</v>
      </c>
      <c r="B64" s="326">
        <f t="shared" si="0"/>
        <v>2010</v>
      </c>
      <c r="C64" s="326">
        <f t="shared" si="0"/>
        <v>2011</v>
      </c>
      <c r="D64" s="326">
        <f t="shared" si="0"/>
        <v>2012</v>
      </c>
    </row>
    <row r="65" spans="1:4" ht="15.75">
      <c r="A65" s="273" t="s">
        <v>136</v>
      </c>
      <c r="B65" s="132"/>
      <c r="C65" s="132"/>
      <c r="D65" s="132"/>
    </row>
    <row r="66" spans="1:4" ht="15.75">
      <c r="A66" s="335" t="s">
        <v>122</v>
      </c>
      <c r="B66" s="132"/>
      <c r="C66" s="132"/>
      <c r="D66" s="132"/>
    </row>
    <row r="67" spans="1:4" ht="15.75">
      <c r="A67" s="115" t="s">
        <v>141</v>
      </c>
      <c r="B67" s="317">
        <v>0</v>
      </c>
      <c r="C67" s="317">
        <v>0</v>
      </c>
      <c r="D67" s="317">
        <v>0</v>
      </c>
    </row>
    <row r="68" spans="1:5" ht="15.75">
      <c r="A68" s="115" t="s">
        <v>142</v>
      </c>
      <c r="B68" s="317">
        <v>96434</v>
      </c>
      <c r="C68" s="317">
        <v>105556</v>
      </c>
      <c r="D68" s="317">
        <v>105556</v>
      </c>
      <c r="E68" s="77" t="s">
        <v>913</v>
      </c>
    </row>
    <row r="69" spans="1:4" ht="15.75">
      <c r="A69" s="115" t="s">
        <v>143</v>
      </c>
      <c r="B69" s="317">
        <v>8398</v>
      </c>
      <c r="C69" s="317">
        <v>0</v>
      </c>
      <c r="D69" s="317">
        <v>0</v>
      </c>
    </row>
    <row r="70" spans="1:4" ht="15.75">
      <c r="A70" s="115" t="s">
        <v>144</v>
      </c>
      <c r="B70" s="317">
        <v>0</v>
      </c>
      <c r="C70" s="317">
        <v>0</v>
      </c>
      <c r="D70" s="317">
        <v>0</v>
      </c>
    </row>
    <row r="71" spans="1:4" ht="15.75">
      <c r="A71" s="339" t="s">
        <v>441</v>
      </c>
      <c r="B71" s="336">
        <f>SUM(B67:B70)</f>
        <v>104832</v>
      </c>
      <c r="C71" s="336">
        <f>SUM(C67:C70)</f>
        <v>105556</v>
      </c>
      <c r="D71" s="336">
        <f>SUM(D67:D70)</f>
        <v>105556</v>
      </c>
    </row>
    <row r="72" spans="1:4" ht="15.75">
      <c r="A72" s="335" t="s">
        <v>150</v>
      </c>
      <c r="B72" s="132"/>
      <c r="C72" s="132"/>
      <c r="D72" s="132"/>
    </row>
    <row r="73" spans="1:5" ht="15.75">
      <c r="A73" s="115" t="s">
        <v>141</v>
      </c>
      <c r="B73" s="317">
        <v>14194</v>
      </c>
      <c r="C73" s="317">
        <v>10000</v>
      </c>
      <c r="D73" s="317">
        <v>10300</v>
      </c>
      <c r="E73" s="77" t="s">
        <v>913</v>
      </c>
    </row>
    <row r="74" spans="1:4" ht="15.75">
      <c r="A74" s="115" t="s">
        <v>142</v>
      </c>
      <c r="B74" s="317">
        <v>9612</v>
      </c>
      <c r="C74" s="317">
        <v>12000</v>
      </c>
      <c r="D74" s="317">
        <v>29500</v>
      </c>
    </row>
    <row r="75" spans="1:4" ht="15.75">
      <c r="A75" s="115" t="s">
        <v>143</v>
      </c>
      <c r="B75" s="317">
        <v>14364</v>
      </c>
      <c r="C75" s="317">
        <v>0</v>
      </c>
      <c r="D75" s="317">
        <v>0</v>
      </c>
    </row>
    <row r="76" spans="1:4" ht="15.75">
      <c r="A76" s="115" t="s">
        <v>77</v>
      </c>
      <c r="B76" s="317">
        <v>3000</v>
      </c>
      <c r="C76" s="317">
        <v>0</v>
      </c>
      <c r="D76" s="317">
        <v>2000</v>
      </c>
    </row>
    <row r="77" spans="1:4" ht="15.75">
      <c r="A77" s="312" t="s">
        <v>441</v>
      </c>
      <c r="B77" s="330">
        <f>SUM(B73:B76)</f>
        <v>41170</v>
      </c>
      <c r="C77" s="330">
        <f>SUM(C73:C76)</f>
        <v>22000</v>
      </c>
      <c r="D77" s="330">
        <f>SUM(D73:D76)</f>
        <v>41800</v>
      </c>
    </row>
    <row r="78" spans="1:4" ht="15.75">
      <c r="A78" s="335" t="s">
        <v>151</v>
      </c>
      <c r="B78" s="132"/>
      <c r="C78" s="132"/>
      <c r="D78" s="132"/>
    </row>
    <row r="79" spans="1:5" ht="15.75">
      <c r="A79" s="115" t="s">
        <v>141</v>
      </c>
      <c r="B79" s="317">
        <v>5000</v>
      </c>
      <c r="C79" s="317">
        <v>37500</v>
      </c>
      <c r="D79" s="317">
        <v>38556</v>
      </c>
      <c r="E79" s="77" t="s">
        <v>913</v>
      </c>
    </row>
    <row r="80" spans="1:5" ht="15.75">
      <c r="A80" s="115" t="s">
        <v>142</v>
      </c>
      <c r="B80" s="317">
        <v>41</v>
      </c>
      <c r="C80" s="317">
        <v>600</v>
      </c>
      <c r="D80" s="317">
        <v>600</v>
      </c>
      <c r="E80" s="77" t="s">
        <v>913</v>
      </c>
    </row>
    <row r="81" spans="1:5" ht="15.75">
      <c r="A81" s="115" t="s">
        <v>143</v>
      </c>
      <c r="B81" s="317">
        <v>3607</v>
      </c>
      <c r="C81" s="317">
        <v>1500</v>
      </c>
      <c r="D81" s="317">
        <v>1500</v>
      </c>
      <c r="E81" s="77" t="s">
        <v>913</v>
      </c>
    </row>
    <row r="82" spans="1:4" ht="15.75">
      <c r="A82" s="115" t="s">
        <v>144</v>
      </c>
      <c r="B82" s="317">
        <v>0</v>
      </c>
      <c r="C82" s="317">
        <v>0</v>
      </c>
      <c r="D82" s="317">
        <v>0</v>
      </c>
    </row>
    <row r="83" spans="1:4" ht="15.75">
      <c r="A83" s="312" t="s">
        <v>441</v>
      </c>
      <c r="B83" s="330">
        <f>SUM(B79:B82)</f>
        <v>8648</v>
      </c>
      <c r="C83" s="330">
        <f>SUM(C79:C82)</f>
        <v>39600</v>
      </c>
      <c r="D83" s="330">
        <f>SUM(D79:D82)</f>
        <v>40656</v>
      </c>
    </row>
    <row r="84" spans="1:4" ht="15.75">
      <c r="A84" s="335" t="s">
        <v>956</v>
      </c>
      <c r="B84" s="132"/>
      <c r="C84" s="132"/>
      <c r="D84" s="132"/>
    </row>
    <row r="85" spans="1:5" ht="15.75">
      <c r="A85" s="115" t="s">
        <v>141</v>
      </c>
      <c r="B85" s="317">
        <v>3316</v>
      </c>
      <c r="C85" s="317">
        <v>5000</v>
      </c>
      <c r="D85" s="317">
        <v>5100</v>
      </c>
      <c r="E85" s="77" t="s">
        <v>913</v>
      </c>
    </row>
    <row r="86" spans="1:5" ht="15.75">
      <c r="A86" s="115" t="s">
        <v>142</v>
      </c>
      <c r="B86" s="317">
        <v>20565</v>
      </c>
      <c r="C86" s="317">
        <v>19400</v>
      </c>
      <c r="D86" s="317">
        <v>17000</v>
      </c>
      <c r="E86" s="77" t="s">
        <v>913</v>
      </c>
    </row>
    <row r="87" spans="1:4" ht="15.75">
      <c r="A87" s="115" t="s">
        <v>143</v>
      </c>
      <c r="B87" s="317">
        <v>2913</v>
      </c>
      <c r="C87" s="317">
        <v>5000</v>
      </c>
      <c r="D87" s="317">
        <v>2900</v>
      </c>
    </row>
    <row r="88" spans="1:4" ht="15.75">
      <c r="A88" s="115" t="s">
        <v>77</v>
      </c>
      <c r="B88" s="317">
        <v>4922</v>
      </c>
      <c r="C88" s="317">
        <v>0</v>
      </c>
      <c r="D88" s="317">
        <v>0</v>
      </c>
    </row>
    <row r="89" spans="1:4" ht="15.75">
      <c r="A89" s="312" t="s">
        <v>441</v>
      </c>
      <c r="B89" s="330">
        <f>SUM(B85:B88)</f>
        <v>31716</v>
      </c>
      <c r="C89" s="330">
        <f>SUM(C85:C88)</f>
        <v>29400</v>
      </c>
      <c r="D89" s="330">
        <f>SUM(D85:D88)</f>
        <v>25000</v>
      </c>
    </row>
    <row r="90" spans="1:4" ht="15.75">
      <c r="A90" s="335" t="s">
        <v>155</v>
      </c>
      <c r="B90" s="132"/>
      <c r="C90" s="132"/>
      <c r="D90" s="132"/>
    </row>
    <row r="91" spans="1:5" ht="15.75">
      <c r="A91" s="115" t="s">
        <v>141</v>
      </c>
      <c r="B91" s="317">
        <v>565853</v>
      </c>
      <c r="C91" s="317">
        <v>592250</v>
      </c>
      <c r="D91" s="317">
        <v>592250</v>
      </c>
      <c r="E91" s="77" t="s">
        <v>913</v>
      </c>
    </row>
    <row r="92" spans="1:4" ht="15.75">
      <c r="A92" s="115" t="s">
        <v>142</v>
      </c>
      <c r="B92" s="317">
        <v>93276</v>
      </c>
      <c r="C92" s="317">
        <v>57000</v>
      </c>
      <c r="D92" s="317">
        <v>57000</v>
      </c>
    </row>
    <row r="93" spans="1:4" ht="15.75">
      <c r="A93" s="115" t="s">
        <v>143</v>
      </c>
      <c r="B93" s="317">
        <v>84694</v>
      </c>
      <c r="C93" s="317">
        <v>85000</v>
      </c>
      <c r="D93" s="317">
        <v>85000</v>
      </c>
    </row>
    <row r="94" spans="1:4" ht="15.75">
      <c r="A94" s="115" t="s">
        <v>144</v>
      </c>
      <c r="B94" s="317">
        <v>3444</v>
      </c>
      <c r="C94" s="317">
        <v>18000</v>
      </c>
      <c r="D94" s="317">
        <v>18000</v>
      </c>
    </row>
    <row r="95" spans="1:4" ht="15.75">
      <c r="A95" s="312" t="s">
        <v>441</v>
      </c>
      <c r="B95" s="330">
        <f>SUM(B91:B94)</f>
        <v>747267</v>
      </c>
      <c r="C95" s="330">
        <f>SUM(C91:C94)</f>
        <v>752250</v>
      </c>
      <c r="D95" s="330">
        <f>SUM(D91:D94)</f>
        <v>752250</v>
      </c>
    </row>
    <row r="96" spans="1:4" ht="15.75">
      <c r="A96" s="335" t="s">
        <v>957</v>
      </c>
      <c r="B96" s="132"/>
      <c r="C96" s="132"/>
      <c r="D96" s="132"/>
    </row>
    <row r="97" spans="1:4" ht="15.75">
      <c r="A97" s="115" t="s">
        <v>141</v>
      </c>
      <c r="B97" s="317">
        <v>9689</v>
      </c>
      <c r="C97" s="317">
        <v>0</v>
      </c>
      <c r="D97" s="317">
        <v>0</v>
      </c>
    </row>
    <row r="98" spans="1:4" ht="15.75">
      <c r="A98" s="115" t="s">
        <v>142</v>
      </c>
      <c r="B98" s="317">
        <v>14734</v>
      </c>
      <c r="C98" s="317">
        <v>0</v>
      </c>
      <c r="D98" s="317">
        <v>0</v>
      </c>
    </row>
    <row r="99" spans="1:4" ht="15.75">
      <c r="A99" s="115" t="s">
        <v>143</v>
      </c>
      <c r="B99" s="317">
        <v>14630</v>
      </c>
      <c r="C99" s="317">
        <v>0</v>
      </c>
      <c r="D99" s="317">
        <v>0</v>
      </c>
    </row>
    <row r="100" spans="1:4" ht="15.75">
      <c r="A100" s="115" t="s">
        <v>144</v>
      </c>
      <c r="B100" s="317">
        <v>0</v>
      </c>
      <c r="C100" s="317">
        <v>0</v>
      </c>
      <c r="D100" s="317">
        <v>0</v>
      </c>
    </row>
    <row r="101" spans="1:4" ht="15.75">
      <c r="A101" s="312" t="s">
        <v>441</v>
      </c>
      <c r="B101" s="330">
        <f>SUM(B97:B100)</f>
        <v>39053</v>
      </c>
      <c r="C101" s="330">
        <f>SUM(C97:C100)</f>
        <v>0</v>
      </c>
      <c r="D101" s="330">
        <f>SUM(D97:D100)</f>
        <v>0</v>
      </c>
    </row>
    <row r="102" spans="1:4" ht="15.75">
      <c r="A102" s="335" t="s">
        <v>156</v>
      </c>
      <c r="B102" s="132"/>
      <c r="C102" s="132"/>
      <c r="D102" s="132"/>
    </row>
    <row r="103" spans="1:5" ht="15.75">
      <c r="A103" s="115" t="s">
        <v>141</v>
      </c>
      <c r="B103" s="317">
        <v>64571</v>
      </c>
      <c r="C103" s="317">
        <v>67500</v>
      </c>
      <c r="D103" s="317">
        <v>60053</v>
      </c>
      <c r="E103" s="77" t="s">
        <v>913</v>
      </c>
    </row>
    <row r="104" spans="1:5" ht="15.75">
      <c r="A104" s="115" t="s">
        <v>142</v>
      </c>
      <c r="B104" s="317">
        <v>14554</v>
      </c>
      <c r="C104" s="317">
        <v>2000</v>
      </c>
      <c r="D104" s="317">
        <v>2000</v>
      </c>
      <c r="E104" s="77" t="s">
        <v>913</v>
      </c>
    </row>
    <row r="105" spans="1:5" ht="15.75">
      <c r="A105" s="115" t="s">
        <v>143</v>
      </c>
      <c r="B105" s="317">
        <v>4873</v>
      </c>
      <c r="C105" s="317">
        <v>3000</v>
      </c>
      <c r="D105" s="317">
        <v>3000</v>
      </c>
      <c r="E105" s="77" t="s">
        <v>913</v>
      </c>
    </row>
    <row r="106" spans="1:4" ht="15.75">
      <c r="A106" s="115" t="s">
        <v>144</v>
      </c>
      <c r="B106" s="317">
        <v>660</v>
      </c>
      <c r="C106" s="317">
        <v>0</v>
      </c>
      <c r="D106" s="317">
        <v>1000</v>
      </c>
    </row>
    <row r="107" spans="1:4" ht="15.75">
      <c r="A107" s="312" t="s">
        <v>441</v>
      </c>
      <c r="B107" s="330">
        <f>SUM(B103:B106)</f>
        <v>84658</v>
      </c>
      <c r="C107" s="330">
        <f>SUM(C103:C106)</f>
        <v>72500</v>
      </c>
      <c r="D107" s="330">
        <f>SUM(D103:D106)</f>
        <v>66053</v>
      </c>
    </row>
    <row r="108" spans="1:4" ht="15.75">
      <c r="A108" s="312"/>
      <c r="B108" s="132"/>
      <c r="C108" s="132"/>
      <c r="D108" s="132"/>
    </row>
    <row r="109" spans="1:4" ht="15.75">
      <c r="A109" s="312" t="s">
        <v>399</v>
      </c>
      <c r="B109" s="330">
        <f>B71+B77+B83+B89+B95+B101+B107</f>
        <v>1057344</v>
      </c>
      <c r="C109" s="330">
        <f>C71+C77+C83+C89+C95+C101+C107</f>
        <v>1021306</v>
      </c>
      <c r="D109" s="330">
        <f>D71+D77+D83+D89+D95+D101+D107</f>
        <v>1031315</v>
      </c>
    </row>
    <row r="110" spans="1:4" ht="15.75">
      <c r="A110" s="312"/>
      <c r="B110" s="132"/>
      <c r="C110" s="132"/>
      <c r="D110" s="132"/>
    </row>
    <row r="111" spans="1:4" ht="15.75">
      <c r="A111" s="312" t="s">
        <v>282</v>
      </c>
      <c r="B111" s="330">
        <f>B57</f>
        <v>1549097</v>
      </c>
      <c r="C111" s="330">
        <f>C57</f>
        <v>1372529</v>
      </c>
      <c r="D111" s="330">
        <f>D57</f>
        <v>1616343</v>
      </c>
    </row>
    <row r="112" spans="1:4" ht="15.75">
      <c r="A112" s="90"/>
      <c r="B112" s="132"/>
      <c r="C112" s="132"/>
      <c r="D112" s="132"/>
    </row>
    <row r="113" spans="1:4" ht="16.5" thickBot="1">
      <c r="A113" s="273" t="s">
        <v>603</v>
      </c>
      <c r="B113" s="340">
        <f>SUM(B109:B112)</f>
        <v>2606441</v>
      </c>
      <c r="C113" s="340">
        <f>SUM(C109:C112)</f>
        <v>2393835</v>
      </c>
      <c r="D113" s="340">
        <f>SUM(D109:D112)</f>
        <v>2647658</v>
      </c>
    </row>
    <row r="114" spans="1:4" ht="16.5" thickTop="1">
      <c r="A114" s="341" t="s">
        <v>604</v>
      </c>
      <c r="B114" s="342"/>
      <c r="C114" s="342"/>
      <c r="D114" s="342"/>
    </row>
    <row r="115" spans="1:4" ht="15.75">
      <c r="A115" s="733" t="s">
        <v>266</v>
      </c>
      <c r="B115" s="733"/>
      <c r="C115" s="733"/>
      <c r="D115" s="733"/>
    </row>
    <row r="116" spans="2:4" ht="15.75">
      <c r="B116" s="343"/>
      <c r="C116" s="343"/>
      <c r="D116" s="343"/>
    </row>
    <row r="117" spans="2:4" ht="15.75">
      <c r="B117" s="343"/>
      <c r="C117" s="343"/>
      <c r="D117" s="343"/>
    </row>
    <row r="118" spans="2:4" ht="15.75">
      <c r="B118" s="343"/>
      <c r="C118" s="343"/>
      <c r="D118" s="343"/>
    </row>
    <row r="119" spans="2:4" ht="15.75">
      <c r="B119" s="343"/>
      <c r="C119" s="343"/>
      <c r="D119" s="343"/>
    </row>
    <row r="120" spans="2:4" ht="15.75">
      <c r="B120" s="343"/>
      <c r="C120" s="343"/>
      <c r="D120" s="343"/>
    </row>
    <row r="121" spans="2:4" ht="15.75">
      <c r="B121" s="343"/>
      <c r="C121" s="343"/>
      <c r="D121" s="343"/>
    </row>
    <row r="122" spans="2:4" ht="15.75">
      <c r="B122" s="343"/>
      <c r="C122" s="343"/>
      <c r="D122" s="343"/>
    </row>
    <row r="123" spans="2:4" ht="15.75">
      <c r="B123" s="343"/>
      <c r="C123" s="343"/>
      <c r="D123" s="343"/>
    </row>
    <row r="124" spans="2:4" ht="15.75">
      <c r="B124" s="343"/>
      <c r="C124" s="343"/>
      <c r="D124" s="343"/>
    </row>
    <row r="125" spans="2:4" ht="15.75">
      <c r="B125" s="343"/>
      <c r="C125" s="343"/>
      <c r="D125" s="343"/>
    </row>
    <row r="126" spans="2:4" ht="15.75">
      <c r="B126" s="343"/>
      <c r="C126" s="343"/>
      <c r="D126" s="343"/>
    </row>
    <row r="127" spans="2:4" ht="15.75">
      <c r="B127" s="343"/>
      <c r="C127" s="343"/>
      <c r="D127" s="343"/>
    </row>
    <row r="128" spans="2:4" ht="15.75">
      <c r="B128" s="343"/>
      <c r="C128" s="343"/>
      <c r="D128" s="343"/>
    </row>
    <row r="129" spans="2:4" ht="15.75">
      <c r="B129" s="343"/>
      <c r="C129" s="343"/>
      <c r="D129" s="343"/>
    </row>
    <row r="130" spans="2:4" ht="15.75">
      <c r="B130" s="343"/>
      <c r="C130" s="343"/>
      <c r="D130" s="343"/>
    </row>
    <row r="131" spans="2:4" ht="15.75">
      <c r="B131" s="343"/>
      <c r="C131" s="343"/>
      <c r="D131" s="343"/>
    </row>
    <row r="132" spans="2:4" ht="15.75">
      <c r="B132" s="343"/>
      <c r="C132" s="343"/>
      <c r="D132" s="343"/>
    </row>
    <row r="133" spans="2:4" ht="15.75">
      <c r="B133" s="343"/>
      <c r="C133" s="343"/>
      <c r="D133" s="343"/>
    </row>
    <row r="134" spans="2:4" ht="15.75">
      <c r="B134" s="343"/>
      <c r="C134" s="343"/>
      <c r="D134" s="343"/>
    </row>
    <row r="135" spans="2:4" ht="15.75">
      <c r="B135" s="343"/>
      <c r="C135" s="343"/>
      <c r="D135" s="343"/>
    </row>
    <row r="136" spans="2:4" ht="15.75">
      <c r="B136" s="343"/>
      <c r="C136" s="343"/>
      <c r="D136" s="343"/>
    </row>
    <row r="137" spans="2:4" ht="15.75">
      <c r="B137" s="343"/>
      <c r="C137" s="343"/>
      <c r="D137" s="343"/>
    </row>
    <row r="138" spans="2:4" ht="15.75">
      <c r="B138" s="343"/>
      <c r="C138" s="343"/>
      <c r="D138" s="343"/>
    </row>
    <row r="139" spans="2:4" ht="15.75">
      <c r="B139" s="343"/>
      <c r="C139" s="343"/>
      <c r="D139" s="343"/>
    </row>
    <row r="140" spans="2:4" ht="15.75">
      <c r="B140" s="343"/>
      <c r="C140" s="343"/>
      <c r="D140" s="343"/>
    </row>
    <row r="141" spans="2:4" ht="15.75">
      <c r="B141" s="343"/>
      <c r="C141" s="343"/>
      <c r="D141" s="343"/>
    </row>
    <row r="142" spans="2:4" ht="15.75">
      <c r="B142" s="343"/>
      <c r="C142" s="343"/>
      <c r="D142" s="343"/>
    </row>
    <row r="143" spans="2:4" ht="15.75">
      <c r="B143" s="343"/>
      <c r="C143" s="343"/>
      <c r="D143" s="343"/>
    </row>
    <row r="144" spans="2:4" ht="15.75">
      <c r="B144" s="343"/>
      <c r="C144" s="343"/>
      <c r="D144" s="343"/>
    </row>
    <row r="145" spans="2:4" ht="15.75">
      <c r="B145" s="343"/>
      <c r="C145" s="343"/>
      <c r="D145" s="343"/>
    </row>
    <row r="146" spans="2:4" ht="15.75">
      <c r="B146" s="343"/>
      <c r="C146" s="343"/>
      <c r="D146" s="343"/>
    </row>
    <row r="147" spans="2:4" ht="15.75">
      <c r="B147" s="343"/>
      <c r="C147" s="343"/>
      <c r="D147" s="343"/>
    </row>
    <row r="148" spans="2:4" ht="15.75">
      <c r="B148" s="343"/>
      <c r="C148" s="343"/>
      <c r="D148" s="343"/>
    </row>
    <row r="149" spans="2:4" ht="15.75">
      <c r="B149" s="343"/>
      <c r="C149" s="343"/>
      <c r="D149" s="343"/>
    </row>
    <row r="150" spans="2:4" ht="15.75">
      <c r="B150" s="343"/>
      <c r="C150" s="343"/>
      <c r="D150" s="343"/>
    </row>
    <row r="151" spans="2:4" ht="15.75">
      <c r="B151" s="343"/>
      <c r="C151" s="343"/>
      <c r="D151" s="343"/>
    </row>
    <row r="152" spans="2:4" ht="15.75">
      <c r="B152" s="343"/>
      <c r="C152" s="343"/>
      <c r="D152" s="343"/>
    </row>
    <row r="153" spans="2:4" ht="15.75">
      <c r="B153" s="343"/>
      <c r="C153" s="343"/>
      <c r="D153" s="343"/>
    </row>
    <row r="154" spans="2:4" ht="15.75">
      <c r="B154" s="343"/>
      <c r="C154" s="343"/>
      <c r="D154" s="343"/>
    </row>
    <row r="155" spans="2:4" ht="15.75">
      <c r="B155" s="343"/>
      <c r="C155" s="343"/>
      <c r="D155" s="343"/>
    </row>
    <row r="156" spans="2:4" ht="15.75">
      <c r="B156" s="343"/>
      <c r="C156" s="343"/>
      <c r="D156" s="343"/>
    </row>
    <row r="157" spans="2:4" ht="15.75">
      <c r="B157" s="343"/>
      <c r="C157" s="343"/>
      <c r="D157" s="343"/>
    </row>
    <row r="158" spans="2:4" ht="15.75">
      <c r="B158" s="343"/>
      <c r="C158" s="343"/>
      <c r="D158" s="343"/>
    </row>
    <row r="159" spans="2:4" ht="15.75">
      <c r="B159" s="343"/>
      <c r="C159" s="343"/>
      <c r="D159" s="343"/>
    </row>
    <row r="160" spans="2:4" ht="15.75">
      <c r="B160" s="343"/>
      <c r="C160" s="343"/>
      <c r="D160" s="343"/>
    </row>
    <row r="161" spans="2:4" ht="15.75">
      <c r="B161" s="343"/>
      <c r="C161" s="343"/>
      <c r="D161" s="343"/>
    </row>
    <row r="162" spans="2:4" ht="15.75">
      <c r="B162" s="343"/>
      <c r="C162" s="343"/>
      <c r="D162" s="343"/>
    </row>
    <row r="163" spans="2:4" ht="15.75">
      <c r="B163" s="343"/>
      <c r="C163" s="343"/>
      <c r="D163" s="343"/>
    </row>
    <row r="164" spans="2:4" ht="15.75">
      <c r="B164" s="343"/>
      <c r="C164" s="343"/>
      <c r="D164" s="343"/>
    </row>
    <row r="165" spans="2:4" ht="15.75">
      <c r="B165" s="343"/>
      <c r="C165" s="343"/>
      <c r="D165" s="343"/>
    </row>
    <row r="166" spans="2:4" ht="15.75">
      <c r="B166" s="343"/>
      <c r="C166" s="343"/>
      <c r="D166" s="343"/>
    </row>
    <row r="167" spans="2:4" ht="15.75">
      <c r="B167" s="343"/>
      <c r="C167" s="343"/>
      <c r="D167" s="343"/>
    </row>
    <row r="168" spans="2:4" ht="15.75">
      <c r="B168" s="343"/>
      <c r="C168" s="343"/>
      <c r="D168" s="343"/>
    </row>
    <row r="169" spans="2:4" ht="15.75">
      <c r="B169" s="343"/>
      <c r="C169" s="343"/>
      <c r="D169" s="343"/>
    </row>
    <row r="170" spans="2:4" ht="15.75">
      <c r="B170" s="343"/>
      <c r="C170" s="343"/>
      <c r="D170" s="343"/>
    </row>
    <row r="171" spans="2:4" ht="15.75">
      <c r="B171" s="343"/>
      <c r="C171" s="343"/>
      <c r="D171" s="343"/>
    </row>
    <row r="172" spans="2:4" ht="15.75">
      <c r="B172" s="343"/>
      <c r="C172" s="343"/>
      <c r="D172" s="343"/>
    </row>
    <row r="173" spans="2:4" ht="15.75">
      <c r="B173" s="343"/>
      <c r="C173" s="343"/>
      <c r="D173" s="343"/>
    </row>
    <row r="174" spans="2:4" ht="15.75">
      <c r="B174" s="343"/>
      <c r="C174" s="343"/>
      <c r="D174" s="343"/>
    </row>
    <row r="175" spans="2:4" ht="15.75">
      <c r="B175" s="343"/>
      <c r="C175" s="343"/>
      <c r="D175" s="343"/>
    </row>
    <row r="176" spans="2:4" ht="15.75">
      <c r="B176" s="343"/>
      <c r="C176" s="343"/>
      <c r="D176" s="343"/>
    </row>
    <row r="177" spans="2:4" ht="15.75">
      <c r="B177" s="343"/>
      <c r="C177" s="343"/>
      <c r="D177" s="343"/>
    </row>
    <row r="178" spans="2:4" ht="15.75">
      <c r="B178" s="343"/>
      <c r="C178" s="343"/>
      <c r="D178" s="343"/>
    </row>
    <row r="179" spans="2:4" ht="15.75">
      <c r="B179" s="343"/>
      <c r="C179" s="343"/>
      <c r="D179" s="343"/>
    </row>
    <row r="180" spans="2:4" ht="15.75">
      <c r="B180" s="343"/>
      <c r="C180" s="343"/>
      <c r="D180" s="343"/>
    </row>
    <row r="181" spans="2:4" ht="15.75">
      <c r="B181" s="343"/>
      <c r="C181" s="343"/>
      <c r="D181" s="343"/>
    </row>
    <row r="182" spans="2:4" ht="15.75">
      <c r="B182" s="343"/>
      <c r="C182" s="343"/>
      <c r="D182" s="343"/>
    </row>
    <row r="183" spans="2:4" ht="15.75">
      <c r="B183" s="343"/>
      <c r="C183" s="343"/>
      <c r="D183" s="343"/>
    </row>
    <row r="184" spans="2:4" ht="15.75">
      <c r="B184" s="343"/>
      <c r="C184" s="343"/>
      <c r="D184" s="343"/>
    </row>
    <row r="185" spans="2:4" ht="15.75">
      <c r="B185" s="343"/>
      <c r="C185" s="343"/>
      <c r="D185" s="343"/>
    </row>
    <row r="186" spans="2:4" ht="15.75">
      <c r="B186" s="343"/>
      <c r="C186" s="343"/>
      <c r="D186" s="343"/>
    </row>
    <row r="187" spans="2:4" ht="15.75">
      <c r="B187" s="343"/>
      <c r="C187" s="343"/>
      <c r="D187" s="343"/>
    </row>
    <row r="188" spans="2:4" ht="15.75">
      <c r="B188" s="343"/>
      <c r="C188" s="343"/>
      <c r="D188" s="343"/>
    </row>
    <row r="189" spans="2:4" ht="15.75">
      <c r="B189" s="343"/>
      <c r="C189" s="343"/>
      <c r="D189" s="343"/>
    </row>
    <row r="190" spans="2:4" ht="15.75">
      <c r="B190" s="343"/>
      <c r="C190" s="343"/>
      <c r="D190" s="343"/>
    </row>
    <row r="191" spans="2:4" ht="15.75">
      <c r="B191" s="343"/>
      <c r="C191" s="343"/>
      <c r="D191" s="343"/>
    </row>
    <row r="192" spans="2:4" ht="15.75">
      <c r="B192" s="343"/>
      <c r="C192" s="343"/>
      <c r="D192" s="343"/>
    </row>
    <row r="193" spans="2:4" ht="15.75">
      <c r="B193" s="343"/>
      <c r="C193" s="343"/>
      <c r="D193" s="343"/>
    </row>
    <row r="194" spans="2:4" ht="15.75">
      <c r="B194" s="343"/>
      <c r="C194" s="343"/>
      <c r="D194" s="343"/>
    </row>
    <row r="195" spans="2:4" ht="15.75">
      <c r="B195" s="343"/>
      <c r="C195" s="343"/>
      <c r="D195" s="343"/>
    </row>
    <row r="196" spans="2:4" ht="15.75">
      <c r="B196" s="343"/>
      <c r="C196" s="343"/>
      <c r="D196" s="343"/>
    </row>
    <row r="197" spans="2:4" ht="15.75">
      <c r="B197" s="343"/>
      <c r="C197" s="343"/>
      <c r="D197" s="343"/>
    </row>
    <row r="198" spans="2:4" ht="15.75">
      <c r="B198" s="343"/>
      <c r="C198" s="343"/>
      <c r="D198" s="343"/>
    </row>
    <row r="199" spans="2:4" ht="15.75">
      <c r="B199" s="343"/>
      <c r="C199" s="343"/>
      <c r="D199" s="343"/>
    </row>
    <row r="200" spans="2:4" ht="15.75">
      <c r="B200" s="343"/>
      <c r="C200" s="343"/>
      <c r="D200" s="343"/>
    </row>
    <row r="201" spans="2:4" ht="15.75">
      <c r="B201" s="343"/>
      <c r="C201" s="343"/>
      <c r="D201" s="343"/>
    </row>
    <row r="202" spans="2:4" ht="15.75">
      <c r="B202" s="343"/>
      <c r="C202" s="343"/>
      <c r="D202" s="343"/>
    </row>
    <row r="203" spans="2:4" ht="15.75">
      <c r="B203" s="343"/>
      <c r="C203" s="343"/>
      <c r="D203" s="343"/>
    </row>
    <row r="204" spans="2:4" ht="15.75">
      <c r="B204" s="343"/>
      <c r="C204" s="343"/>
      <c r="D204" s="343"/>
    </row>
    <row r="205" spans="2:4" ht="15.75">
      <c r="B205" s="343"/>
      <c r="C205" s="343"/>
      <c r="D205" s="343"/>
    </row>
    <row r="206" spans="2:4" ht="15.75">
      <c r="B206" s="343"/>
      <c r="C206" s="343"/>
      <c r="D206" s="343"/>
    </row>
    <row r="207" spans="2:4" ht="15.75">
      <c r="B207" s="343"/>
      <c r="C207" s="343"/>
      <c r="D207" s="343"/>
    </row>
    <row r="208" spans="2:4" ht="15.75">
      <c r="B208" s="343"/>
      <c r="C208" s="343"/>
      <c r="D208" s="343"/>
    </row>
    <row r="209" spans="2:4" ht="15.75">
      <c r="B209" s="343"/>
      <c r="C209" s="343"/>
      <c r="D209" s="343"/>
    </row>
    <row r="210" spans="2:4" ht="15.75">
      <c r="B210" s="343"/>
      <c r="C210" s="343"/>
      <c r="D210" s="343"/>
    </row>
    <row r="211" spans="2:4" ht="15.75">
      <c r="B211" s="343"/>
      <c r="C211" s="343"/>
      <c r="D211" s="343"/>
    </row>
    <row r="212" spans="2:4" ht="15.75">
      <c r="B212" s="343"/>
      <c r="C212" s="343"/>
      <c r="D212" s="343"/>
    </row>
    <row r="213" spans="2:4" ht="15.75">
      <c r="B213" s="343"/>
      <c r="C213" s="343"/>
      <c r="D213" s="343"/>
    </row>
    <row r="214" spans="2:4" ht="15.75">
      <c r="B214" s="343"/>
      <c r="C214" s="343"/>
      <c r="D214" s="343"/>
    </row>
    <row r="215" spans="2:4" ht="15.75">
      <c r="B215" s="343"/>
      <c r="C215" s="343"/>
      <c r="D215" s="343"/>
    </row>
    <row r="216" spans="2:4" ht="15.75">
      <c r="B216" s="343"/>
      <c r="C216" s="343"/>
      <c r="D216" s="343"/>
    </row>
    <row r="217" spans="2:4" ht="15.75">
      <c r="B217" s="343"/>
      <c r="C217" s="343"/>
      <c r="D217" s="343"/>
    </row>
    <row r="218" spans="2:4" ht="15.75">
      <c r="B218" s="343"/>
      <c r="C218" s="343"/>
      <c r="D218" s="343"/>
    </row>
  </sheetData>
  <sheetProtection/>
  <mergeCells count="2">
    <mergeCell ref="A115:D115"/>
    <mergeCell ref="A59:D59"/>
  </mergeCells>
  <printOptions/>
  <pageMargins left="1.12" right="0.5" top="0.74" bottom="0.34" header="0.5" footer="0"/>
  <pageSetup blackAndWhite="1" horizontalDpi="120" verticalDpi="120" orientation="portrait" scale="71" r:id="rId1"/>
  <headerFooter alignWithMargins="0">
    <oddHeader>&amp;RState of Kansas
County
</oddHeader>
  </headerFooter>
  <rowBreaks count="1" manualBreakCount="1">
    <brk id="59" max="255" man="1"/>
  </rowBreaks>
</worksheet>
</file>

<file path=xl/worksheets/sheet14.xml><?xml version="1.0" encoding="utf-8"?>
<worksheet xmlns="http://schemas.openxmlformats.org/spreadsheetml/2006/main" xmlns:r="http://schemas.openxmlformats.org/officeDocument/2006/relationships">
  <sheetPr>
    <pageSetUpPr fitToPage="1"/>
  </sheetPr>
  <dimension ref="B1:I75"/>
  <sheetViews>
    <sheetView tabSelected="1" zoomScalePageLayoutView="0" workbookViewId="0" topLeftCell="B30">
      <selection activeCell="F49" sqref="F49"/>
    </sheetView>
  </sheetViews>
  <sheetFormatPr defaultColWidth="8.796875" defaultRowHeight="15"/>
  <cols>
    <col min="1" max="1" width="2.3984375" style="148" customWidth="1"/>
    <col min="2" max="2" width="31.09765625" style="148" customWidth="1"/>
    <col min="3" max="4" width="16.19921875" style="148" customWidth="1"/>
    <col min="5" max="5" width="16.296875" style="148" customWidth="1"/>
    <col min="6" max="6" width="7.3984375" style="148" customWidth="1"/>
    <col min="7" max="7" width="9.09765625" style="148" customWidth="1"/>
    <col min="8" max="16384" width="8.8984375" style="148" customWidth="1"/>
  </cols>
  <sheetData>
    <row r="1" spans="2:5" ht="15.75">
      <c r="B1" s="240" t="str">
        <f>inputPrYr!C2</f>
        <v>Clay County</v>
      </c>
      <c r="C1" s="90"/>
      <c r="D1" s="90"/>
      <c r="E1" s="265">
        <f>inputPrYr!$C$4</f>
        <v>2012</v>
      </c>
    </row>
    <row r="2" spans="2:5" ht="15.75">
      <c r="B2" s="90"/>
      <c r="C2" s="90"/>
      <c r="D2" s="90"/>
      <c r="E2" s="252"/>
    </row>
    <row r="3" spans="2:5" ht="15.75">
      <c r="B3" s="157" t="s">
        <v>211</v>
      </c>
      <c r="C3" s="344"/>
      <c r="D3" s="344"/>
      <c r="E3" s="345"/>
    </row>
    <row r="4" spans="2:5" ht="15.75">
      <c r="B4" s="90"/>
      <c r="C4" s="338"/>
      <c r="D4" s="338"/>
      <c r="E4" s="338"/>
    </row>
    <row r="5" spans="2:5" ht="15.75">
      <c r="B5" s="89" t="s">
        <v>123</v>
      </c>
      <c r="C5" s="481" t="s">
        <v>162</v>
      </c>
      <c r="D5" s="480" t="s">
        <v>297</v>
      </c>
      <c r="E5" s="482" t="s">
        <v>298</v>
      </c>
    </row>
    <row r="6" spans="2:5" ht="15.75">
      <c r="B6" s="516" t="str">
        <f>inputPrYr!B17</f>
        <v>County Bond &amp; Interest</v>
      </c>
      <c r="C6" s="272">
        <f>E1-2</f>
        <v>2010</v>
      </c>
      <c r="D6" s="272">
        <f>E1-1</f>
        <v>2011</v>
      </c>
      <c r="E6" s="313">
        <f>E1</f>
        <v>2012</v>
      </c>
    </row>
    <row r="7" spans="2:5" ht="15.75">
      <c r="B7" s="153" t="s">
        <v>253</v>
      </c>
      <c r="C7" s="465">
        <v>56298</v>
      </c>
      <c r="D7" s="467">
        <f>C55</f>
        <v>55737</v>
      </c>
      <c r="E7" s="346">
        <f>D55</f>
        <v>48191</v>
      </c>
    </row>
    <row r="8" spans="2:5" ht="15.75">
      <c r="B8" s="347" t="s">
        <v>255</v>
      </c>
      <c r="C8" s="466"/>
      <c r="D8" s="467"/>
      <c r="E8" s="346"/>
    </row>
    <row r="9" spans="2:5" ht="15.75">
      <c r="B9" s="153" t="s">
        <v>124</v>
      </c>
      <c r="C9" s="458">
        <v>159923</v>
      </c>
      <c r="D9" s="464">
        <f>inputPrYr!E17</f>
        <v>161973</v>
      </c>
      <c r="E9" s="348" t="s">
        <v>111</v>
      </c>
    </row>
    <row r="10" spans="2:5" ht="15.75">
      <c r="B10" s="153" t="s">
        <v>125</v>
      </c>
      <c r="C10" s="458">
        <v>1402</v>
      </c>
      <c r="D10" s="458">
        <v>0</v>
      </c>
      <c r="E10" s="349">
        <v>0</v>
      </c>
    </row>
    <row r="11" spans="2:5" ht="15.75">
      <c r="B11" s="153" t="s">
        <v>126</v>
      </c>
      <c r="C11" s="458">
        <v>20427</v>
      </c>
      <c r="D11" s="458">
        <v>18893</v>
      </c>
      <c r="E11" s="350">
        <f>mvalloc!D9</f>
        <v>18866</v>
      </c>
    </row>
    <row r="12" spans="2:5" ht="15.75">
      <c r="B12" s="153" t="s">
        <v>127</v>
      </c>
      <c r="C12" s="458">
        <v>334</v>
      </c>
      <c r="D12" s="458">
        <v>294</v>
      </c>
      <c r="E12" s="350">
        <f>mvalloc!E9</f>
        <v>309</v>
      </c>
    </row>
    <row r="13" spans="2:5" ht="15.75">
      <c r="B13" s="351" t="s">
        <v>235</v>
      </c>
      <c r="C13" s="458">
        <v>1799</v>
      </c>
      <c r="D13" s="458">
        <v>1716</v>
      </c>
      <c r="E13" s="350">
        <f>mvalloc!F9</f>
        <v>1703</v>
      </c>
    </row>
    <row r="14" spans="2:5" ht="15.75">
      <c r="B14" s="351" t="s">
        <v>304</v>
      </c>
      <c r="C14" s="458">
        <v>0</v>
      </c>
      <c r="D14" s="458">
        <v>0</v>
      </c>
      <c r="E14" s="350">
        <f>mvalloc!G9</f>
        <v>0</v>
      </c>
    </row>
    <row r="15" spans="2:5" ht="15.75">
      <c r="B15" s="351" t="s">
        <v>414</v>
      </c>
      <c r="C15" s="458">
        <v>9</v>
      </c>
      <c r="D15" s="458">
        <v>4</v>
      </c>
      <c r="E15" s="350">
        <v>9</v>
      </c>
    </row>
    <row r="16" spans="2:5" ht="15.75">
      <c r="B16" s="351"/>
      <c r="C16" s="458"/>
      <c r="D16" s="458"/>
      <c r="E16" s="350"/>
    </row>
    <row r="17" spans="2:5" ht="15.75">
      <c r="B17" s="352"/>
      <c r="C17" s="458"/>
      <c r="D17" s="458"/>
      <c r="E17" s="349"/>
    </row>
    <row r="18" spans="2:5" ht="15.75">
      <c r="B18" s="352"/>
      <c r="C18" s="458"/>
      <c r="D18" s="458"/>
      <c r="E18" s="353"/>
    </row>
    <row r="19" spans="2:5" ht="15.75">
      <c r="B19" s="352"/>
      <c r="C19" s="458"/>
      <c r="D19" s="458"/>
      <c r="E19" s="349"/>
    </row>
    <row r="20" spans="2:5" ht="15.75">
      <c r="B20" s="352"/>
      <c r="C20" s="458"/>
      <c r="D20" s="458"/>
      <c r="E20" s="349"/>
    </row>
    <row r="21" spans="2:5" ht="15.75">
      <c r="B21" s="352"/>
      <c r="C21" s="458"/>
      <c r="D21" s="458"/>
      <c r="E21" s="349"/>
    </row>
    <row r="22" spans="2:5" ht="15.75">
      <c r="B22" s="352"/>
      <c r="C22" s="458"/>
      <c r="D22" s="458"/>
      <c r="E22" s="349"/>
    </row>
    <row r="23" spans="2:5" ht="15.75">
      <c r="B23" s="352"/>
      <c r="C23" s="458"/>
      <c r="D23" s="458"/>
      <c r="E23" s="349"/>
    </row>
    <row r="24" spans="2:5" ht="15.75">
      <c r="B24" s="352"/>
      <c r="C24" s="458"/>
      <c r="D24" s="458"/>
      <c r="E24" s="349"/>
    </row>
    <row r="25" spans="2:5" ht="15.75">
      <c r="B25" s="352"/>
      <c r="C25" s="458"/>
      <c r="D25" s="458"/>
      <c r="E25" s="349"/>
    </row>
    <row r="26" spans="2:5" ht="15.75">
      <c r="B26" s="352" t="s">
        <v>299</v>
      </c>
      <c r="C26" s="458"/>
      <c r="D26" s="458"/>
      <c r="E26" s="349"/>
    </row>
    <row r="27" spans="2:5" ht="15.75">
      <c r="B27" s="354" t="s">
        <v>131</v>
      </c>
      <c r="C27" s="458"/>
      <c r="D27" s="458"/>
      <c r="E27" s="349"/>
    </row>
    <row r="28" spans="2:5" ht="15.75">
      <c r="B28" s="320" t="s">
        <v>870</v>
      </c>
      <c r="C28" s="458"/>
      <c r="D28" s="458"/>
      <c r="E28" s="349"/>
    </row>
    <row r="29" spans="2:5" ht="15.75">
      <c r="B29" s="320" t="s">
        <v>871</v>
      </c>
      <c r="C29" s="459">
        <f>IF(C30*0.1&lt;C28,"Exceed 10% Rule","")</f>
      </c>
      <c r="D29" s="459">
        <f>IF(D30*0.1&lt;D28,"Exceed 10% Rule","")</f>
      </c>
      <c r="E29" s="355">
        <f>IF(E30*0.1+E61&lt;E28,"Exceed 10% Rule","")</f>
      </c>
    </row>
    <row r="30" spans="2:5" ht="15.75">
      <c r="B30" s="322" t="s">
        <v>132</v>
      </c>
      <c r="C30" s="468">
        <f>SUM(C9:C28)</f>
        <v>183894</v>
      </c>
      <c r="D30" s="469">
        <f>SUM(D9:D28)</f>
        <v>182880</v>
      </c>
      <c r="E30" s="356">
        <f>SUM(E9:E28)</f>
        <v>20887</v>
      </c>
    </row>
    <row r="31" spans="2:5" ht="15.75">
      <c r="B31" s="322" t="s">
        <v>133</v>
      </c>
      <c r="C31" s="469">
        <f>C7+C30</f>
        <v>240192</v>
      </c>
      <c r="D31" s="469">
        <f>D7+D30</f>
        <v>238617</v>
      </c>
      <c r="E31" s="357">
        <f>E7+E30</f>
        <v>69078</v>
      </c>
    </row>
    <row r="32" spans="2:5" ht="15.75">
      <c r="B32" s="347" t="s">
        <v>136</v>
      </c>
      <c r="C32" s="466"/>
      <c r="D32" s="466"/>
      <c r="E32" s="350"/>
    </row>
    <row r="33" spans="2:5" ht="15.75">
      <c r="B33" s="329" t="s">
        <v>415</v>
      </c>
      <c r="C33" s="458">
        <v>148750</v>
      </c>
      <c r="D33" s="458">
        <v>145250</v>
      </c>
      <c r="E33" s="349">
        <f>245000*0.15+120000</f>
        <v>156750</v>
      </c>
    </row>
    <row r="34" spans="2:5" ht="15.75">
      <c r="B34" s="329" t="s">
        <v>416</v>
      </c>
      <c r="C34" s="458">
        <v>26817</v>
      </c>
      <c r="D34" s="458">
        <v>32155</v>
      </c>
      <c r="E34" s="349">
        <f>10413*0.15+23795</f>
        <v>25356.95</v>
      </c>
    </row>
    <row r="35" spans="2:5" ht="15.75">
      <c r="B35" s="329" t="s">
        <v>423</v>
      </c>
      <c r="C35" s="458">
        <v>0</v>
      </c>
      <c r="D35" s="458">
        <v>10</v>
      </c>
      <c r="E35" s="349">
        <v>10</v>
      </c>
    </row>
    <row r="36" spans="2:5" ht="15.75">
      <c r="B36" s="329" t="s">
        <v>424</v>
      </c>
      <c r="C36" s="458">
        <v>0</v>
      </c>
      <c r="D36" s="458">
        <v>0</v>
      </c>
      <c r="E36" s="349">
        <v>50000</v>
      </c>
    </row>
    <row r="37" spans="2:5" ht="15.75">
      <c r="B37" s="329"/>
      <c r="C37" s="458"/>
      <c r="D37" s="458"/>
      <c r="E37" s="349"/>
    </row>
    <row r="38" spans="2:5" ht="15.75">
      <c r="B38" s="329"/>
      <c r="C38" s="458"/>
      <c r="D38" s="458"/>
      <c r="E38" s="349"/>
    </row>
    <row r="39" spans="2:5" ht="15.75">
      <c r="B39" s="329"/>
      <c r="C39" s="458"/>
      <c r="D39" s="458"/>
      <c r="E39" s="349"/>
    </row>
    <row r="40" spans="2:5" ht="15.75">
      <c r="B40" s="329"/>
      <c r="C40" s="458"/>
      <c r="D40" s="458"/>
      <c r="E40" s="349"/>
    </row>
    <row r="41" spans="2:5" ht="15.75">
      <c r="B41" s="329"/>
      <c r="C41" s="458"/>
      <c r="D41" s="458"/>
      <c r="E41" s="349"/>
    </row>
    <row r="42" spans="2:5" ht="15.75">
      <c r="B42" s="329"/>
      <c r="C42" s="458"/>
      <c r="D42" s="458"/>
      <c r="E42" s="349"/>
    </row>
    <row r="43" spans="2:5" ht="15.75">
      <c r="B43" s="329"/>
      <c r="C43" s="458"/>
      <c r="D43" s="458"/>
      <c r="E43" s="349"/>
    </row>
    <row r="44" spans="2:5" ht="15.75">
      <c r="B44" s="329"/>
      <c r="C44" s="458"/>
      <c r="D44" s="458"/>
      <c r="E44" s="349"/>
    </row>
    <row r="45" spans="2:5" ht="15.75">
      <c r="B45" s="329"/>
      <c r="C45" s="458"/>
      <c r="D45" s="458"/>
      <c r="E45" s="349"/>
    </row>
    <row r="46" spans="2:5" ht="15.75">
      <c r="B46" s="329"/>
      <c r="C46" s="458"/>
      <c r="D46" s="458"/>
      <c r="E46" s="349"/>
    </row>
    <row r="47" spans="2:5" ht="15.75">
      <c r="B47" s="329"/>
      <c r="C47" s="458"/>
      <c r="D47" s="458"/>
      <c r="E47" s="349"/>
    </row>
    <row r="48" spans="2:5" ht="15.75">
      <c r="B48" s="329"/>
      <c r="C48" s="458"/>
      <c r="D48" s="458"/>
      <c r="E48" s="349"/>
    </row>
    <row r="49" spans="2:5" ht="15.75">
      <c r="B49" s="329"/>
      <c r="C49" s="458"/>
      <c r="D49" s="458"/>
      <c r="E49" s="349"/>
    </row>
    <row r="50" spans="2:5" ht="15.75">
      <c r="B50" s="329"/>
      <c r="C50" s="458"/>
      <c r="D50" s="458"/>
      <c r="E50" s="349"/>
    </row>
    <row r="51" spans="2:5" ht="15.75">
      <c r="B51" s="320" t="s">
        <v>872</v>
      </c>
      <c r="C51" s="458">
        <v>8888</v>
      </c>
      <c r="D51" s="458">
        <v>13011</v>
      </c>
      <c r="E51" s="330">
        <f>Nhood!E7</f>
        <v>9315</v>
      </c>
    </row>
    <row r="52" spans="2:5" ht="15.75">
      <c r="B52" s="320" t="s">
        <v>870</v>
      </c>
      <c r="C52" s="458"/>
      <c r="D52" s="458"/>
      <c r="E52" s="349"/>
    </row>
    <row r="53" spans="2:9" ht="15.75">
      <c r="B53" s="320" t="s">
        <v>873</v>
      </c>
      <c r="C53" s="459">
        <f>IF(C54*0.1&lt;C52,"Exceed 10% Rule","")</f>
      </c>
      <c r="D53" s="459">
        <f>IF(D54*0.1&lt;D52,"Exceed 10% Rule","")</f>
      </c>
      <c r="E53" s="355">
        <f>IF(E54*0.1&lt;E52,"Exceed 10% Rule","")</f>
      </c>
      <c r="G53" s="734" t="str">
        <f>CONCATENATE("Projected Carryover Into ",E1+1,"")</f>
        <v>Projected Carryover Into 2013</v>
      </c>
      <c r="H53" s="735"/>
      <c r="I53" s="736"/>
    </row>
    <row r="54" spans="2:9" ht="15.75">
      <c r="B54" s="322" t="s">
        <v>137</v>
      </c>
      <c r="C54" s="468">
        <f>SUM(C33:C52)</f>
        <v>184455</v>
      </c>
      <c r="D54" s="469">
        <f>SUM(D33:D52)</f>
        <v>190426</v>
      </c>
      <c r="E54" s="356">
        <f>SUM(E33:E52)</f>
        <v>241431.95</v>
      </c>
      <c r="G54" s="549"/>
      <c r="H54" s="548"/>
      <c r="I54" s="550"/>
    </row>
    <row r="55" spans="2:9" ht="15.75">
      <c r="B55" s="153" t="s">
        <v>254</v>
      </c>
      <c r="C55" s="470">
        <f>C31-C54</f>
        <v>55737</v>
      </c>
      <c r="D55" s="470">
        <f>D31-D54</f>
        <v>48191</v>
      </c>
      <c r="E55" s="348" t="s">
        <v>111</v>
      </c>
      <c r="G55" s="489">
        <f>D55</f>
        <v>48191</v>
      </c>
      <c r="H55" s="488" t="str">
        <f>CONCATENATE("",E1-1," Ending Cash Balance (est.)")</f>
        <v>2011 Ending Cash Balance (est.)</v>
      </c>
      <c r="I55" s="550"/>
    </row>
    <row r="56" spans="2:9" ht="15.75">
      <c r="B56" s="298" t="str">
        <f>CONCATENATE("",E$1-2,"/",E$1-1," Budget Authority Amount:")</f>
        <v>2010/2011 Budget Authority Amount:</v>
      </c>
      <c r="C56" s="290">
        <f>inputOth!B32</f>
        <v>235144</v>
      </c>
      <c r="D56" s="290">
        <f>inputPrYr!D17</f>
        <v>240426</v>
      </c>
      <c r="E56" s="348" t="s">
        <v>111</v>
      </c>
      <c r="F56" s="358"/>
      <c r="G56" s="489">
        <f>E30</f>
        <v>20887</v>
      </c>
      <c r="H56" s="487" t="str">
        <f>CONCATENATE("",E1," Non-AV Receipts (est.)")</f>
        <v>2012 Non-AV Receipts (est.)</v>
      </c>
      <c r="I56" s="550"/>
    </row>
    <row r="57" spans="2:9" ht="15.75">
      <c r="B57" s="298"/>
      <c r="C57" s="729" t="s">
        <v>725</v>
      </c>
      <c r="D57" s="730"/>
      <c r="E57" s="117"/>
      <c r="F57" s="490">
        <f>IF(E54/0.95-E54&lt;E57,"Exceeds 5%","")</f>
      </c>
      <c r="G57" s="486">
        <f>E61</f>
        <v>172353.95</v>
      </c>
      <c r="H57" s="487" t="str">
        <f>CONCATENATE("",E1," Ad Valorem Tax (est.)")</f>
        <v>2012 Ad Valorem Tax (est.)</v>
      </c>
      <c r="I57" s="550"/>
    </row>
    <row r="58" spans="2:9" ht="15.75">
      <c r="B58" s="538" t="str">
        <f>CONCATENATE(C74,"     ",D74)</f>
        <v>     </v>
      </c>
      <c r="C58" s="731" t="s">
        <v>726</v>
      </c>
      <c r="D58" s="732"/>
      <c r="E58" s="276">
        <f>E54+E57</f>
        <v>241431.95</v>
      </c>
      <c r="G58" s="489">
        <f>SUM(G55:G57)</f>
        <v>241431.95</v>
      </c>
      <c r="H58" s="487" t="str">
        <f>CONCATENATE("Total ",E1," Resources Available")</f>
        <v>Total 2012 Resources Available</v>
      </c>
      <c r="I58" s="550"/>
    </row>
    <row r="59" spans="2:9" ht="15.75">
      <c r="B59" s="538" t="str">
        <f>CONCATENATE(C75,"     ",D75)</f>
        <v>     </v>
      </c>
      <c r="C59" s="332"/>
      <c r="D59" s="252" t="s">
        <v>138</v>
      </c>
      <c r="E59" s="125">
        <f>IF(E58-E31&gt;0,E58-E31,0)</f>
        <v>172353.95</v>
      </c>
      <c r="G59" s="485"/>
      <c r="H59" s="487"/>
      <c r="I59" s="550"/>
    </row>
    <row r="60" spans="2:9" ht="15.75">
      <c r="B60" s="252"/>
      <c r="C60" s="536" t="s">
        <v>727</v>
      </c>
      <c r="D60" s="508">
        <f>inputOth!$E$24</f>
        <v>0</v>
      </c>
      <c r="E60" s="276">
        <f>ROUND(IF(D60&gt;0,(E59*D60),0),0)</f>
        <v>0</v>
      </c>
      <c r="G60" s="486">
        <f>C54</f>
        <v>184455</v>
      </c>
      <c r="H60" s="487" t="str">
        <f>CONCATENATE("Less ",E1-2," Expenditures")</f>
        <v>Less 2010 Expenditures</v>
      </c>
      <c r="I60" s="550"/>
    </row>
    <row r="61" spans="2:9" ht="15.75">
      <c r="B61" s="90"/>
      <c r="C61" s="727" t="str">
        <f>CONCATENATE("Amount of  ",$E$1-1," Ad Valorem Tax")</f>
        <v>Amount of  2011 Ad Valorem Tax</v>
      </c>
      <c r="D61" s="728"/>
      <c r="E61" s="359">
        <f>E59+E60</f>
        <v>172353.95</v>
      </c>
      <c r="G61" s="484">
        <f>G58-G60</f>
        <v>56976.95000000001</v>
      </c>
      <c r="H61" s="483" t="str">
        <f>CONCATENATE("Projected ",E1+1," carryover (est.)")</f>
        <v>Projected 2013 carryover (est.)</v>
      </c>
      <c r="I61" s="504"/>
    </row>
    <row r="62" spans="2:5" ht="15.75">
      <c r="B62" s="252"/>
      <c r="C62" s="90"/>
      <c r="D62" s="90"/>
      <c r="E62" s="90"/>
    </row>
    <row r="63" spans="2:5" ht="15.75">
      <c r="B63" s="298" t="s">
        <v>160</v>
      </c>
      <c r="C63" s="360">
        <v>8</v>
      </c>
      <c r="D63" s="90"/>
      <c r="E63" s="90"/>
    </row>
    <row r="74" spans="3:4" ht="15.75" hidden="1">
      <c r="C74" s="148">
        <f>IF(C54&gt;C56,"SeeTab A","")</f>
      </c>
      <c r="D74" s="148">
        <f>IF(D54&gt;D56,"See Tab C","")</f>
      </c>
    </row>
    <row r="75" spans="3:4" ht="15.75" hidden="1">
      <c r="C75" s="148">
        <f>IF(C55&lt;0,"See Tab B","")</f>
      </c>
      <c r="D75" s="148">
        <f>IF(D55&lt;0,"See Tab D","")</f>
      </c>
    </row>
  </sheetData>
  <sheetProtection/>
  <mergeCells count="4">
    <mergeCell ref="C57:D57"/>
    <mergeCell ref="C58:D58"/>
    <mergeCell ref="G53:I53"/>
    <mergeCell ref="C61:D61"/>
  </mergeCells>
  <conditionalFormatting sqref="E52">
    <cfRule type="cellIs" priority="2" dxfId="405" operator="greaterThan" stopIfTrue="1">
      <formula>$E$54*0.1</formula>
    </cfRule>
  </conditionalFormatting>
  <conditionalFormatting sqref="E57">
    <cfRule type="cellIs" priority="3" dxfId="405" operator="greaterThan" stopIfTrue="1">
      <formula>$E$54/0.95-$E$54</formula>
    </cfRule>
  </conditionalFormatting>
  <conditionalFormatting sqref="C55">
    <cfRule type="cellIs" priority="4" dxfId="2" operator="lessThan" stopIfTrue="1">
      <formula>0</formula>
    </cfRule>
  </conditionalFormatting>
  <conditionalFormatting sqref="C54">
    <cfRule type="cellIs" priority="5" dxfId="2" operator="greaterThan" stopIfTrue="1">
      <formula>$C$56</formula>
    </cfRule>
  </conditionalFormatting>
  <conditionalFormatting sqref="D54">
    <cfRule type="cellIs" priority="6" dxfId="2" operator="greaterThan" stopIfTrue="1">
      <formula>$D$56</formula>
    </cfRule>
  </conditionalFormatting>
  <conditionalFormatting sqref="C28">
    <cfRule type="cellIs" priority="7" dxfId="2" operator="greaterThan" stopIfTrue="1">
      <formula>$C$30*0.1</formula>
    </cfRule>
  </conditionalFormatting>
  <conditionalFormatting sqref="D28">
    <cfRule type="cellIs" priority="8" dxfId="2" operator="greaterThan" stopIfTrue="1">
      <formula>$D$30*0.1</formula>
    </cfRule>
  </conditionalFormatting>
  <conditionalFormatting sqref="E28">
    <cfRule type="cellIs" priority="9" dxfId="405" operator="greaterThan" stopIfTrue="1">
      <formula>$E$30*0.1+E61</formula>
    </cfRule>
  </conditionalFormatting>
  <conditionalFormatting sqref="C52">
    <cfRule type="cellIs" priority="10" dxfId="2" operator="greaterThan" stopIfTrue="1">
      <formula>$C$54*0.1</formula>
    </cfRule>
  </conditionalFormatting>
  <conditionalFormatting sqref="D52">
    <cfRule type="cellIs" priority="11" dxfId="2" operator="greaterThan" stopIfTrue="1">
      <formula>$D$54*0.1</formula>
    </cfRule>
  </conditionalFormatting>
  <conditionalFormatting sqref="D55">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62" r:id="rId1"/>
  <headerFooter alignWithMargins="0">
    <oddHeader>&amp;RState of Kansas
County</oddHeader>
  </headerFooter>
</worksheet>
</file>

<file path=xl/worksheets/sheet15.xml><?xml version="1.0" encoding="utf-8"?>
<worksheet xmlns="http://schemas.openxmlformats.org/spreadsheetml/2006/main" xmlns:r="http://schemas.openxmlformats.org/officeDocument/2006/relationships">
  <dimension ref="B1:J129"/>
  <sheetViews>
    <sheetView tabSelected="1" zoomScalePageLayoutView="0" workbookViewId="0" topLeftCell="A64">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6" width="7.59765625" style="77" customWidth="1"/>
    <col min="7" max="7" width="7.09765625" style="77" customWidth="1"/>
    <col min="8" max="8" width="8.8984375" style="77" customWidth="1"/>
    <col min="9" max="9" width="5" style="77" customWidth="1"/>
    <col min="10" max="10" width="7.796875" style="77" customWidth="1"/>
    <col min="11"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90"/>
      <c r="D3" s="90"/>
      <c r="E3" s="311"/>
    </row>
    <row r="4" spans="2:5" ht="15.75">
      <c r="B4" s="312" t="s">
        <v>123</v>
      </c>
      <c r="C4" s="481" t="s">
        <v>162</v>
      </c>
      <c r="D4" s="480" t="s">
        <v>297</v>
      </c>
      <c r="E4" s="482" t="str">
        <f>general!E4</f>
        <v>Proposed Budget Year</v>
      </c>
    </row>
    <row r="5" spans="2:5" ht="15.75">
      <c r="B5" s="516" t="str">
        <f>inputPrYr!B18</f>
        <v>Road &amp; Bridge</v>
      </c>
      <c r="C5" s="272">
        <f>E1-2</f>
        <v>2010</v>
      </c>
      <c r="D5" s="272">
        <f>E1-1</f>
        <v>2011</v>
      </c>
      <c r="E5" s="313">
        <f>E1</f>
        <v>2012</v>
      </c>
    </row>
    <row r="6" spans="2:5" ht="15.75">
      <c r="B6" s="314" t="s">
        <v>253</v>
      </c>
      <c r="C6" s="458">
        <v>221401</v>
      </c>
      <c r="D6" s="462">
        <f>C111</f>
        <v>27329</v>
      </c>
      <c r="E6" s="276">
        <f>D111</f>
        <v>340193</v>
      </c>
    </row>
    <row r="7" spans="2:5" ht="15.75">
      <c r="B7" s="301" t="s">
        <v>255</v>
      </c>
      <c r="C7" s="316"/>
      <c r="D7" s="316"/>
      <c r="E7" s="132"/>
    </row>
    <row r="8" spans="2:5" ht="15.75">
      <c r="B8" s="314" t="s">
        <v>124</v>
      </c>
      <c r="C8" s="458">
        <v>781919</v>
      </c>
      <c r="D8" s="462">
        <f>inputPrYr!E18</f>
        <v>1149335</v>
      </c>
      <c r="E8" s="233" t="s">
        <v>111</v>
      </c>
    </row>
    <row r="9" spans="2:5" ht="15.75">
      <c r="B9" s="314" t="s">
        <v>125</v>
      </c>
      <c r="C9" s="458">
        <v>10290</v>
      </c>
      <c r="D9" s="458">
        <v>0</v>
      </c>
      <c r="E9" s="317">
        <v>0</v>
      </c>
    </row>
    <row r="10" spans="2:5" ht="15.75">
      <c r="B10" s="314" t="s">
        <v>126</v>
      </c>
      <c r="C10" s="458">
        <v>176934</v>
      </c>
      <c r="D10" s="458">
        <v>92376</v>
      </c>
      <c r="E10" s="132">
        <f>mvalloc!D10</f>
        <v>133874</v>
      </c>
    </row>
    <row r="11" spans="2:5" ht="15.75">
      <c r="B11" s="314" t="s">
        <v>127</v>
      </c>
      <c r="C11" s="458">
        <v>2882</v>
      </c>
      <c r="D11" s="458">
        <v>1438</v>
      </c>
      <c r="E11" s="132">
        <f>mvalloc!E10</f>
        <v>2195</v>
      </c>
    </row>
    <row r="12" spans="2:5" ht="15.75">
      <c r="B12" s="316" t="s">
        <v>235</v>
      </c>
      <c r="C12" s="458">
        <v>13382</v>
      </c>
      <c r="D12" s="458">
        <v>8392</v>
      </c>
      <c r="E12" s="132">
        <f>mvalloc!F10</f>
        <v>12081</v>
      </c>
    </row>
    <row r="13" spans="2:5" ht="15.75">
      <c r="B13" s="316" t="s">
        <v>304</v>
      </c>
      <c r="C13" s="458">
        <v>0</v>
      </c>
      <c r="D13" s="458">
        <v>0</v>
      </c>
      <c r="E13" s="132">
        <f>mvalloc!G10</f>
        <v>0</v>
      </c>
    </row>
    <row r="14" spans="2:5" ht="15.75">
      <c r="B14" s="314"/>
      <c r="C14" s="458"/>
      <c r="D14" s="458"/>
      <c r="E14" s="132"/>
    </row>
    <row r="15" spans="2:5" ht="15.75">
      <c r="B15" s="361" t="s">
        <v>579</v>
      </c>
      <c r="C15" s="458">
        <v>359141</v>
      </c>
      <c r="D15" s="458">
        <v>341632</v>
      </c>
      <c r="E15" s="152">
        <f>373405*0.9</f>
        <v>336064.5</v>
      </c>
    </row>
    <row r="16" spans="2:5" ht="15.75">
      <c r="B16" s="361" t="s">
        <v>580</v>
      </c>
      <c r="C16" s="458"/>
      <c r="D16" s="458"/>
      <c r="E16" s="152"/>
    </row>
    <row r="17" spans="2:5" ht="15.75">
      <c r="B17" s="362" t="s">
        <v>715</v>
      </c>
      <c r="C17" s="458">
        <v>367827</v>
      </c>
      <c r="D17" s="458">
        <v>350000</v>
      </c>
      <c r="E17" s="152">
        <v>10000</v>
      </c>
    </row>
    <row r="18" spans="2:5" ht="15.75">
      <c r="B18" s="318" t="s">
        <v>716</v>
      </c>
      <c r="C18" s="458">
        <v>0</v>
      </c>
      <c r="D18" s="458">
        <v>0</v>
      </c>
      <c r="E18" s="317">
        <v>0</v>
      </c>
    </row>
    <row r="19" spans="2:5" ht="15.75">
      <c r="B19" s="318" t="s">
        <v>709</v>
      </c>
      <c r="C19" s="458">
        <v>75</v>
      </c>
      <c r="D19" s="458">
        <v>17</v>
      </c>
      <c r="E19" s="317">
        <v>64</v>
      </c>
    </row>
    <row r="20" spans="2:5" ht="15.75">
      <c r="B20" s="318"/>
      <c r="C20" s="458"/>
      <c r="D20" s="458"/>
      <c r="E20" s="317"/>
    </row>
    <row r="21" spans="2:5" ht="15.75">
      <c r="B21" s="319"/>
      <c r="C21" s="458"/>
      <c r="D21" s="458"/>
      <c r="E21" s="317"/>
    </row>
    <row r="22" spans="2:5" ht="15.75">
      <c r="B22" s="319"/>
      <c r="C22" s="458"/>
      <c r="D22" s="458"/>
      <c r="E22" s="317"/>
    </row>
    <row r="23" spans="2:5" ht="15.75">
      <c r="B23" s="318"/>
      <c r="C23" s="458"/>
      <c r="D23" s="458"/>
      <c r="E23" s="317"/>
    </row>
    <row r="24" spans="2:5" ht="15.75">
      <c r="B24" s="318"/>
      <c r="C24" s="458"/>
      <c r="D24" s="458"/>
      <c r="E24" s="317"/>
    </row>
    <row r="25" spans="2:5" ht="15.75">
      <c r="B25" s="318"/>
      <c r="C25" s="458"/>
      <c r="D25" s="458"/>
      <c r="E25" s="317"/>
    </row>
    <row r="26" spans="2:5" ht="15.75">
      <c r="B26" s="318"/>
      <c r="C26" s="458"/>
      <c r="D26" s="458"/>
      <c r="E26" s="317"/>
    </row>
    <row r="27" spans="2:5" ht="15.75">
      <c r="B27" s="318"/>
      <c r="C27" s="458"/>
      <c r="D27" s="458"/>
      <c r="E27" s="317"/>
    </row>
    <row r="28" spans="2:5" ht="15.75">
      <c r="B28" s="318"/>
      <c r="C28" s="458"/>
      <c r="D28" s="458"/>
      <c r="E28" s="317"/>
    </row>
    <row r="29" spans="2:5" ht="15.75">
      <c r="B29" s="318"/>
      <c r="C29" s="458"/>
      <c r="D29" s="458"/>
      <c r="E29" s="317"/>
    </row>
    <row r="30" spans="2:5" ht="15.75">
      <c r="B30" s="318"/>
      <c r="C30" s="458"/>
      <c r="D30" s="458"/>
      <c r="E30" s="317"/>
    </row>
    <row r="31" spans="2:5" ht="15.75">
      <c r="B31" s="318"/>
      <c r="C31" s="458"/>
      <c r="D31" s="458"/>
      <c r="E31" s="317"/>
    </row>
    <row r="32" spans="2:5" ht="15.75">
      <c r="B32" s="318"/>
      <c r="C32" s="458"/>
      <c r="D32" s="458"/>
      <c r="E32" s="317"/>
    </row>
    <row r="33" spans="2:5" ht="15.75">
      <c r="B33" s="318"/>
      <c r="C33" s="458"/>
      <c r="D33" s="458"/>
      <c r="E33" s="317"/>
    </row>
    <row r="34" spans="2:5" ht="15.75">
      <c r="B34" s="318"/>
      <c r="C34" s="458"/>
      <c r="D34" s="458"/>
      <c r="E34" s="317"/>
    </row>
    <row r="35" spans="2:5" ht="15.75">
      <c r="B35" s="318"/>
      <c r="C35" s="458"/>
      <c r="D35" s="458"/>
      <c r="E35" s="317"/>
    </row>
    <row r="36" spans="2:5" ht="15.75">
      <c r="B36" s="318"/>
      <c r="C36" s="458"/>
      <c r="D36" s="458"/>
      <c r="E36" s="317"/>
    </row>
    <row r="37" spans="2:5" ht="15.75">
      <c r="B37" s="318"/>
      <c r="C37" s="458"/>
      <c r="D37" s="458"/>
      <c r="E37" s="317"/>
    </row>
    <row r="38" spans="2:5" ht="15.75">
      <c r="B38" s="318"/>
      <c r="C38" s="458"/>
      <c r="D38" s="458"/>
      <c r="E38" s="317"/>
    </row>
    <row r="39" spans="2:5" ht="15.75">
      <c r="B39" s="318"/>
      <c r="C39" s="458"/>
      <c r="D39" s="458"/>
      <c r="E39" s="317"/>
    </row>
    <row r="40" spans="2:5" ht="15.75">
      <c r="B40" s="318"/>
      <c r="C40" s="458"/>
      <c r="D40" s="458"/>
      <c r="E40" s="317"/>
    </row>
    <row r="41" spans="2:5" ht="15.75">
      <c r="B41" s="318"/>
      <c r="C41" s="458"/>
      <c r="D41" s="458"/>
      <c r="E41" s="317"/>
    </row>
    <row r="42" spans="2:5" ht="15.75">
      <c r="B42" s="318"/>
      <c r="C42" s="458"/>
      <c r="D42" s="458"/>
      <c r="E42" s="317"/>
    </row>
    <row r="43" spans="2:5" ht="15.75">
      <c r="B43" s="318"/>
      <c r="C43" s="458"/>
      <c r="D43" s="458"/>
      <c r="E43" s="317"/>
    </row>
    <row r="44" spans="2:5" ht="15.75">
      <c r="B44" s="318"/>
      <c r="C44" s="458"/>
      <c r="D44" s="458"/>
      <c r="E44" s="317"/>
    </row>
    <row r="45" spans="2:5" ht="15.75">
      <c r="B45" s="318"/>
      <c r="C45" s="458"/>
      <c r="D45" s="458"/>
      <c r="E45" s="317"/>
    </row>
    <row r="46" spans="2:5" ht="15.75">
      <c r="B46" s="318"/>
      <c r="C46" s="458"/>
      <c r="D46" s="458"/>
      <c r="E46" s="317"/>
    </row>
    <row r="47" spans="2:5" ht="15.75">
      <c r="B47" s="318"/>
      <c r="C47" s="458"/>
      <c r="D47" s="458"/>
      <c r="E47" s="317"/>
    </row>
    <row r="48" spans="2:5" ht="15.75">
      <c r="B48" s="318"/>
      <c r="C48" s="458"/>
      <c r="D48" s="458"/>
      <c r="E48" s="317"/>
    </row>
    <row r="49" spans="2:5" ht="15.75">
      <c r="B49" s="318"/>
      <c r="C49" s="458"/>
      <c r="D49" s="458"/>
      <c r="E49" s="317"/>
    </row>
    <row r="50" spans="2:5" ht="15.75">
      <c r="B50" s="318"/>
      <c r="C50" s="458"/>
      <c r="D50" s="458"/>
      <c r="E50" s="317"/>
    </row>
    <row r="51" spans="2:5" ht="15.75">
      <c r="B51" s="318"/>
      <c r="C51" s="458"/>
      <c r="D51" s="458"/>
      <c r="E51" s="317"/>
    </row>
    <row r="52" spans="2:5" ht="15.75">
      <c r="B52" s="319" t="s">
        <v>131</v>
      </c>
      <c r="C52" s="458"/>
      <c r="D52" s="458"/>
      <c r="E52" s="317"/>
    </row>
    <row r="53" spans="2:5" ht="15.75">
      <c r="B53" s="320" t="s">
        <v>870</v>
      </c>
      <c r="C53" s="458">
        <v>322</v>
      </c>
      <c r="D53" s="458">
        <v>0</v>
      </c>
      <c r="E53" s="317">
        <v>0</v>
      </c>
    </row>
    <row r="54" spans="2:5" ht="15.75">
      <c r="B54" s="320" t="s">
        <v>722</v>
      </c>
      <c r="C54" s="459">
        <f>IF(C55*0.1&lt;C53,"Exceed 10% Rule","")</f>
      </c>
      <c r="D54" s="459">
        <f>IF(D55*0.1&lt;D53,"Exceed 10% Rule","")</f>
      </c>
      <c r="E54" s="355">
        <f>IF(E55*0.1+E117&lt;E53,"Exceed 10% Rule","")</f>
      </c>
    </row>
    <row r="55" spans="2:5" ht="15.75">
      <c r="B55" s="322" t="s">
        <v>132</v>
      </c>
      <c r="C55" s="460">
        <f>SUM(C8:C53)</f>
        <v>1712772</v>
      </c>
      <c r="D55" s="460">
        <f>SUM(D8:D53)</f>
        <v>1943190</v>
      </c>
      <c r="E55" s="363">
        <f>SUM(E9:E53)</f>
        <v>494278.5</v>
      </c>
    </row>
    <row r="56" spans="2:5" ht="15.75">
      <c r="B56" s="322" t="s">
        <v>133</v>
      </c>
      <c r="C56" s="460">
        <f>C6+C55</f>
        <v>1934173</v>
      </c>
      <c r="D56" s="460">
        <f>D6+D55</f>
        <v>1970519</v>
      </c>
      <c r="E56" s="363">
        <f>E6+E55</f>
        <v>834471.5</v>
      </c>
    </row>
    <row r="57" spans="2:5" ht="15.75">
      <c r="B57" s="90"/>
      <c r="C57" s="240"/>
      <c r="D57" s="240"/>
      <c r="E57" s="240"/>
    </row>
    <row r="58" spans="2:5" ht="15.75">
      <c r="B58" s="298" t="s">
        <v>160</v>
      </c>
      <c r="C58" s="360">
        <v>9</v>
      </c>
      <c r="D58" s="102"/>
      <c r="E58" s="102"/>
    </row>
    <row r="59" spans="2:5" ht="15.75">
      <c r="B59" s="102"/>
      <c r="C59" s="102"/>
      <c r="D59" s="102"/>
      <c r="E59" s="102"/>
    </row>
    <row r="60" spans="2:5" ht="15.75">
      <c r="B60" s="240" t="str">
        <f>inputPrYr!C2</f>
        <v>Clay County</v>
      </c>
      <c r="C60" s="240"/>
      <c r="D60" s="240"/>
      <c r="E60" s="297">
        <f>inputPrYr!C4</f>
        <v>2012</v>
      </c>
    </row>
    <row r="61" spans="2:5" ht="15.75">
      <c r="B61" s="90"/>
      <c r="C61" s="240"/>
      <c r="D61" s="240"/>
      <c r="E61" s="252"/>
    </row>
    <row r="62" spans="2:5" ht="15.75">
      <c r="B62" s="324" t="s">
        <v>209</v>
      </c>
      <c r="C62" s="325"/>
      <c r="D62" s="325"/>
      <c r="E62" s="325"/>
    </row>
    <row r="63" spans="2:5" ht="15.75">
      <c r="B63" s="90" t="s">
        <v>123</v>
      </c>
      <c r="C63" s="481" t="s">
        <v>162</v>
      </c>
      <c r="D63" s="480" t="s">
        <v>297</v>
      </c>
      <c r="E63" s="482" t="str">
        <f>E4</f>
        <v>Proposed Budget Year</v>
      </c>
    </row>
    <row r="64" spans="2:5" ht="15.75">
      <c r="B64" s="158" t="str">
        <f>B5</f>
        <v>Road &amp; Bridge</v>
      </c>
      <c r="C64" s="272">
        <f>E1-2</f>
        <v>2010</v>
      </c>
      <c r="D64" s="272">
        <f>E1-1</f>
        <v>2011</v>
      </c>
      <c r="E64" s="326">
        <f>E5</f>
        <v>2012</v>
      </c>
    </row>
    <row r="65" spans="2:5" ht="15.75">
      <c r="B65" s="322" t="s">
        <v>133</v>
      </c>
      <c r="C65" s="462">
        <f>C56</f>
        <v>1934173</v>
      </c>
      <c r="D65" s="462">
        <f>D56</f>
        <v>1970519</v>
      </c>
      <c r="E65" s="276">
        <f>E56</f>
        <v>834471.5</v>
      </c>
    </row>
    <row r="66" spans="2:5" ht="15.75">
      <c r="B66" s="314" t="s">
        <v>581</v>
      </c>
      <c r="C66" s="316"/>
      <c r="D66" s="316"/>
      <c r="E66" s="132"/>
    </row>
    <row r="67" spans="2:5" ht="15.75">
      <c r="B67" s="316" t="str">
        <f>IF((RoadDetail!$A7&gt;" "),(RoadDetail!$A7)," ")</f>
        <v> </v>
      </c>
      <c r="C67" s="462">
        <f>RoadDetail!$B12</f>
        <v>0</v>
      </c>
      <c r="D67" s="462">
        <f>RoadDetail!$C12</f>
        <v>0</v>
      </c>
      <c r="E67" s="276">
        <f>RoadDetail!$D12</f>
        <v>0</v>
      </c>
    </row>
    <row r="68" spans="2:5" ht="15.75">
      <c r="B68" s="316" t="str">
        <f>IF((RoadDetail!$A13&gt;" "),(RoadDetail!$A13)," ")</f>
        <v> </v>
      </c>
      <c r="C68" s="462">
        <f>RoadDetail!$B18</f>
        <v>0</v>
      </c>
      <c r="D68" s="462">
        <f>RoadDetail!$C18</f>
        <v>0</v>
      </c>
      <c r="E68" s="276">
        <f>RoadDetail!$D18</f>
        <v>0</v>
      </c>
    </row>
    <row r="69" spans="2:5" ht="15.75">
      <c r="B69" s="316" t="str">
        <f>IF((RoadDetail!$A19&gt;" "),(RoadDetail!$A19)," ")</f>
        <v> </v>
      </c>
      <c r="C69" s="462">
        <f>RoadDetail!$B24</f>
        <v>0</v>
      </c>
      <c r="D69" s="462">
        <f>RoadDetail!$C24</f>
        <v>0</v>
      </c>
      <c r="E69" s="276">
        <f>RoadDetail!$D24</f>
        <v>0</v>
      </c>
    </row>
    <row r="70" spans="2:5" ht="15.75">
      <c r="B70" s="316" t="str">
        <f>IF((RoadDetail!$A25&gt;" "),(RoadDetail!$A25)," ")</f>
        <v> </v>
      </c>
      <c r="C70" s="462">
        <f>RoadDetail!$B30</f>
        <v>0</v>
      </c>
      <c r="D70" s="462">
        <f>RoadDetail!$C30</f>
        <v>0</v>
      </c>
      <c r="E70" s="276">
        <f>RoadDetail!$D30</f>
        <v>0</v>
      </c>
    </row>
    <row r="71" spans="2:5" ht="15.75">
      <c r="B71" s="316" t="str">
        <f>IF((RoadDetail!$A31&gt;" "),(RoadDetail!$A31)," ")</f>
        <v> </v>
      </c>
      <c r="C71" s="462">
        <f>RoadDetail!$B36</f>
        <v>0</v>
      </c>
      <c r="D71" s="462">
        <f>RoadDetail!$C36</f>
        <v>0</v>
      </c>
      <c r="E71" s="276">
        <f>RoadDetail!$D36</f>
        <v>0</v>
      </c>
    </row>
    <row r="72" spans="2:5" ht="15.75">
      <c r="B72" s="316" t="str">
        <f>IF((RoadDetail!$A37&gt;" "),(RoadDetail!$A37)," ")</f>
        <v> </v>
      </c>
      <c r="C72" s="462">
        <f>RoadDetail!$B42</f>
        <v>0</v>
      </c>
      <c r="D72" s="462">
        <f>RoadDetail!$C42</f>
        <v>0</v>
      </c>
      <c r="E72" s="276">
        <f>RoadDetail!$D42</f>
        <v>0</v>
      </c>
    </row>
    <row r="73" spans="2:5" ht="15.75">
      <c r="B73" s="327" t="s">
        <v>602</v>
      </c>
      <c r="C73" s="517">
        <f>SUM(C67:C72)</f>
        <v>0</v>
      </c>
      <c r="D73" s="517">
        <f>SUM(D67:D72)</f>
        <v>0</v>
      </c>
      <c r="E73" s="359">
        <f>SUM(E67:E72)</f>
        <v>0</v>
      </c>
    </row>
    <row r="74" spans="2:5" ht="15.75">
      <c r="B74" s="365"/>
      <c r="C74" s="458"/>
      <c r="D74" s="458"/>
      <c r="E74" s="152"/>
    </row>
    <row r="75" spans="2:6" ht="15.75">
      <c r="B75" s="115" t="s">
        <v>401</v>
      </c>
      <c r="C75" s="458">
        <v>568216</v>
      </c>
      <c r="D75" s="458">
        <v>721650</v>
      </c>
      <c r="E75" s="152">
        <v>721717</v>
      </c>
      <c r="F75" s="77" t="s">
        <v>913</v>
      </c>
    </row>
    <row r="76" spans="2:6" ht="15.75">
      <c r="B76" s="115" t="s">
        <v>402</v>
      </c>
      <c r="C76" s="458">
        <v>114670</v>
      </c>
      <c r="D76" s="458">
        <v>65200</v>
      </c>
      <c r="E76" s="152">
        <v>67000</v>
      </c>
      <c r="F76" s="77" t="s">
        <v>913</v>
      </c>
    </row>
    <row r="77" spans="2:6" ht="15.75">
      <c r="B77" s="115" t="s">
        <v>403</v>
      </c>
      <c r="C77" s="458">
        <v>897405</v>
      </c>
      <c r="D77" s="458">
        <v>546150</v>
      </c>
      <c r="E77" s="152">
        <v>600000</v>
      </c>
      <c r="F77" s="77" t="s">
        <v>913</v>
      </c>
    </row>
    <row r="78" spans="2:6" ht="15.75">
      <c r="B78" s="115" t="s">
        <v>404</v>
      </c>
      <c r="C78" s="458">
        <v>75561</v>
      </c>
      <c r="D78" s="458">
        <v>205000</v>
      </c>
      <c r="E78" s="152">
        <v>150000</v>
      </c>
      <c r="F78" s="77" t="s">
        <v>913</v>
      </c>
    </row>
    <row r="79" spans="2:5" ht="15.75">
      <c r="B79" s="365"/>
      <c r="C79" s="458"/>
      <c r="D79" s="458"/>
      <c r="E79" s="152"/>
    </row>
    <row r="80" spans="2:5" ht="15.75">
      <c r="B80" s="365" t="s">
        <v>929</v>
      </c>
      <c r="C80" s="458">
        <v>207533</v>
      </c>
      <c r="D80" s="458">
        <v>0</v>
      </c>
      <c r="E80" s="152">
        <v>0</v>
      </c>
    </row>
    <row r="81" spans="2:5" ht="15.75">
      <c r="B81" s="365"/>
      <c r="C81" s="458"/>
      <c r="D81" s="458"/>
      <c r="E81" s="152"/>
    </row>
    <row r="82" spans="2:5" ht="15.75">
      <c r="B82" s="365"/>
      <c r="C82" s="458"/>
      <c r="D82" s="458"/>
      <c r="E82" s="152"/>
    </row>
    <row r="83" spans="2:5" ht="15.75">
      <c r="B83" s="365"/>
      <c r="C83" s="458"/>
      <c r="D83" s="458"/>
      <c r="E83" s="152"/>
    </row>
    <row r="84" spans="2:5" ht="15.75">
      <c r="B84" s="365"/>
      <c r="C84" s="458"/>
      <c r="D84" s="458"/>
      <c r="E84" s="152"/>
    </row>
    <row r="85" spans="2:5" ht="15.75">
      <c r="B85" s="365"/>
      <c r="C85" s="458"/>
      <c r="D85" s="458"/>
      <c r="E85" s="152"/>
    </row>
    <row r="86" spans="2:5" ht="15.75">
      <c r="B86" s="365"/>
      <c r="C86" s="458"/>
      <c r="D86" s="458"/>
      <c r="E86" s="152"/>
    </row>
    <row r="87" spans="2:5" ht="15.75">
      <c r="B87" s="365"/>
      <c r="C87" s="458"/>
      <c r="D87" s="458"/>
      <c r="E87" s="152"/>
    </row>
    <row r="88" spans="2:5" ht="15.75">
      <c r="B88" s="365"/>
      <c r="C88" s="458"/>
      <c r="D88" s="458"/>
      <c r="E88" s="152"/>
    </row>
    <row r="89" spans="2:5" ht="15.75">
      <c r="B89" s="365"/>
      <c r="C89" s="458"/>
      <c r="D89" s="458"/>
      <c r="E89" s="152"/>
    </row>
    <row r="90" spans="2:5" ht="15.75">
      <c r="B90" s="365"/>
      <c r="C90" s="458"/>
      <c r="D90" s="458"/>
      <c r="E90" s="152"/>
    </row>
    <row r="91" spans="2:5" ht="15.75">
      <c r="B91" s="365"/>
      <c r="C91" s="458"/>
      <c r="D91" s="458"/>
      <c r="E91" s="152"/>
    </row>
    <row r="92" spans="2:5" ht="15.75">
      <c r="B92" s="365"/>
      <c r="C92" s="458"/>
      <c r="D92" s="458"/>
      <c r="E92" s="152"/>
    </row>
    <row r="93" spans="2:5" ht="15.75">
      <c r="B93" s="365"/>
      <c r="C93" s="458"/>
      <c r="D93" s="458"/>
      <c r="E93" s="152"/>
    </row>
    <row r="94" spans="2:5" ht="15.75">
      <c r="B94" s="365"/>
      <c r="C94" s="458"/>
      <c r="D94" s="458"/>
      <c r="E94" s="152"/>
    </row>
    <row r="95" spans="2:5" ht="15.75">
      <c r="B95" s="365"/>
      <c r="C95" s="458"/>
      <c r="D95" s="458"/>
      <c r="E95" s="152"/>
    </row>
    <row r="96" spans="2:5" ht="15.75">
      <c r="B96" s="365"/>
      <c r="C96" s="458"/>
      <c r="D96" s="458"/>
      <c r="E96" s="152"/>
    </row>
    <row r="97" spans="2:5" ht="15.75">
      <c r="B97" s="365"/>
      <c r="C97" s="458"/>
      <c r="D97" s="458"/>
      <c r="E97" s="152"/>
    </row>
    <row r="98" spans="2:5" ht="15.75">
      <c r="B98" s="365"/>
      <c r="C98" s="458"/>
      <c r="D98" s="458"/>
      <c r="E98" s="152"/>
    </row>
    <row r="99" spans="2:5" ht="15.75">
      <c r="B99" s="365"/>
      <c r="C99" s="458"/>
      <c r="D99" s="458"/>
      <c r="E99" s="152"/>
    </row>
    <row r="100" spans="2:5" ht="15.75">
      <c r="B100" s="365"/>
      <c r="C100" s="458"/>
      <c r="D100" s="458"/>
      <c r="E100" s="152"/>
    </row>
    <row r="101" spans="2:5" ht="15.75">
      <c r="B101" s="365"/>
      <c r="C101" s="458"/>
      <c r="D101" s="458"/>
      <c r="E101" s="152"/>
    </row>
    <row r="102" spans="2:5" ht="15.75">
      <c r="B102" s="365"/>
      <c r="C102" s="458"/>
      <c r="D102" s="458"/>
      <c r="E102" s="152"/>
    </row>
    <row r="103" spans="2:5" ht="15.75">
      <c r="B103" s="365"/>
      <c r="C103" s="458"/>
      <c r="D103" s="458"/>
      <c r="E103" s="152"/>
    </row>
    <row r="104" spans="2:5" ht="15.75">
      <c r="B104" s="365"/>
      <c r="C104" s="458"/>
      <c r="D104" s="458"/>
      <c r="E104" s="152"/>
    </row>
    <row r="105" spans="2:5" ht="15.75">
      <c r="B105" s="365"/>
      <c r="C105" s="458"/>
      <c r="D105" s="458"/>
      <c r="E105" s="152"/>
    </row>
    <row r="106" spans="2:5" ht="15.75">
      <c r="B106" s="329"/>
      <c r="C106" s="458"/>
      <c r="D106" s="458"/>
      <c r="E106" s="317"/>
    </row>
    <row r="107" spans="2:5" ht="15.75">
      <c r="B107" s="320" t="s">
        <v>872</v>
      </c>
      <c r="C107" s="458">
        <v>43459</v>
      </c>
      <c r="D107" s="458">
        <v>92326</v>
      </c>
      <c r="E107" s="330">
        <f>Nhood!E8</f>
        <v>40238</v>
      </c>
    </row>
    <row r="108" spans="2:5" ht="15.75">
      <c r="B108" s="320" t="s">
        <v>870</v>
      </c>
      <c r="C108" s="458"/>
      <c r="D108" s="458"/>
      <c r="E108" s="317"/>
    </row>
    <row r="109" spans="2:10" ht="15.75">
      <c r="B109" s="320" t="s">
        <v>721</v>
      </c>
      <c r="C109" s="459">
        <f>IF(C110*0.1&lt;C108,"Exceed 10% Rule","")</f>
      </c>
      <c r="D109" s="459">
        <f>IF(D110*0.1&lt;D108,"Exceed 10% Rule","")</f>
      </c>
      <c r="E109" s="355">
        <f>IF(E110*0.1&lt;E108,"Exceed 10% Rule","")</f>
      </c>
      <c r="G109" s="722" t="str">
        <f>CONCATENATE("Projected Carryover Into ",E1+1,"")</f>
        <v>Projected Carryover Into 2013</v>
      </c>
      <c r="H109" s="723"/>
      <c r="I109" s="723"/>
      <c r="J109" s="724"/>
    </row>
    <row r="110" spans="2:10" ht="15.75">
      <c r="B110" s="322" t="s">
        <v>137</v>
      </c>
      <c r="C110" s="460">
        <f>SUM(C73:C108)</f>
        <v>1906844</v>
      </c>
      <c r="D110" s="460">
        <f>SUM(D73:D108)</f>
        <v>1630326</v>
      </c>
      <c r="E110" s="363">
        <f>SUM(E73:E108)</f>
        <v>1578955</v>
      </c>
      <c r="G110" s="549"/>
      <c r="H110" s="548"/>
      <c r="I110" s="548"/>
      <c r="J110" s="550"/>
    </row>
    <row r="111" spans="2:10" ht="15.75">
      <c r="B111" s="153" t="s">
        <v>254</v>
      </c>
      <c r="C111" s="463">
        <f>C56-C110</f>
        <v>27329</v>
      </c>
      <c r="D111" s="463">
        <f>D56-D110</f>
        <v>340193</v>
      </c>
      <c r="E111" s="233" t="s">
        <v>111</v>
      </c>
      <c r="G111" s="535">
        <f>D111</f>
        <v>340193</v>
      </c>
      <c r="H111" s="533" t="str">
        <f>CONCATENATE("",E1-1," Ending Cash Balance (est.)")</f>
        <v>2011 Ending Cash Balance (est.)</v>
      </c>
      <c r="I111" s="532"/>
      <c r="J111" s="550"/>
    </row>
    <row r="112" spans="2:10" ht="15.75">
      <c r="B112" s="298" t="str">
        <f>CONCATENATE("",E$1-2,"/",E$1-1," Budget Authority Amount:")</f>
        <v>2010/2011 Budget Authority Amount:</v>
      </c>
      <c r="C112" s="290">
        <f>inputOth!$B33</f>
        <v>1538244</v>
      </c>
      <c r="D112" s="290">
        <f>inputPrYr!D18</f>
        <v>1630326</v>
      </c>
      <c r="E112" s="233" t="s">
        <v>111</v>
      </c>
      <c r="F112" s="331"/>
      <c r="G112" s="535">
        <f>E53</f>
        <v>0</v>
      </c>
      <c r="H112" s="531" t="str">
        <f>CONCATENATE("",E1," Non-AV Receipts (est.)")</f>
        <v>2012 Non-AV Receipts (est.)</v>
      </c>
      <c r="I112" s="532"/>
      <c r="J112" s="550"/>
    </row>
    <row r="113" spans="2:10" ht="15.75">
      <c r="B113" s="298"/>
      <c r="C113" s="729" t="s">
        <v>725</v>
      </c>
      <c r="D113" s="730"/>
      <c r="E113" s="117"/>
      <c r="F113" s="534">
        <f>IF(E110/0.95-E110&lt;E113,"Exceeds 5%","")</f>
      </c>
      <c r="G113" s="530">
        <f>E117</f>
        <v>744483.5</v>
      </c>
      <c r="H113" s="531" t="str">
        <f>CONCATENATE("",E1," Ad Valorem Tax (est.)")</f>
        <v>2012 Ad Valorem Tax (est.)</v>
      </c>
      <c r="I113" s="532"/>
      <c r="J113" s="550"/>
    </row>
    <row r="114" spans="2:10" ht="15.75">
      <c r="B114" s="538" t="str">
        <f>CONCATENATE(C128,"     ",D128)</f>
        <v>See Tab A     </v>
      </c>
      <c r="C114" s="731" t="s">
        <v>726</v>
      </c>
      <c r="D114" s="732"/>
      <c r="E114" s="276">
        <f>E110+E113</f>
        <v>1578955</v>
      </c>
      <c r="G114" s="535">
        <f>SUM(G111:G113)</f>
        <v>1084676.5</v>
      </c>
      <c r="H114" s="531" t="str">
        <f>CONCATENATE("Total ",E1," Resources Available")</f>
        <v>Total 2012 Resources Available</v>
      </c>
      <c r="I114" s="532"/>
      <c r="J114" s="550"/>
    </row>
    <row r="115" spans="2:10" ht="15.75">
      <c r="B115" s="538" t="str">
        <f>CONCATENATE(C129,"     ",D129)</f>
        <v>     </v>
      </c>
      <c r="C115" s="332"/>
      <c r="D115" s="252" t="s">
        <v>138</v>
      </c>
      <c r="E115" s="125">
        <f>IF(E114-E56&gt;0,E114-E56,0)</f>
        <v>744483.5</v>
      </c>
      <c r="G115" s="529"/>
      <c r="H115" s="531"/>
      <c r="I115" s="531"/>
      <c r="J115" s="550"/>
    </row>
    <row r="116" spans="2:10" ht="15.75">
      <c r="B116" s="298"/>
      <c r="C116" s="536" t="s">
        <v>727</v>
      </c>
      <c r="D116" s="508">
        <f>inputOth!$E$24</f>
        <v>0</v>
      </c>
      <c r="E116" s="276">
        <f>IF(D116&gt;0,(E115*D116),0)</f>
        <v>0</v>
      </c>
      <c r="G116" s="530">
        <f>C110*0.05+C110</f>
        <v>2002186.2</v>
      </c>
      <c r="H116" s="531" t="str">
        <f>CONCATENATE("Less ",E1-2," Expenditures + 5%")</f>
        <v>Less 2010 Expenditures + 5%</v>
      </c>
      <c r="I116" s="532"/>
      <c r="J116" s="550"/>
    </row>
    <row r="117" spans="2:10" ht="15.75">
      <c r="B117" s="90"/>
      <c r="C117" s="727" t="str">
        <f>CONCATENATE("Amount of  ",$E$1-1," Ad Valorem Tax")</f>
        <v>Amount of  2011 Ad Valorem Tax</v>
      </c>
      <c r="D117" s="728"/>
      <c r="E117" s="359">
        <f>E115+E116</f>
        <v>744483.5</v>
      </c>
      <c r="G117" s="528">
        <f>G114-G116</f>
        <v>-917509.7</v>
      </c>
      <c r="H117" s="527" t="str">
        <f>CONCATENATE("Projected ",E1," Carryover (est.)")</f>
        <v>Projected 2012 Carryover (est.)</v>
      </c>
      <c r="I117" s="505"/>
      <c r="J117" s="504"/>
    </row>
    <row r="118" spans="2:5" ht="15.75">
      <c r="B118" s="90"/>
      <c r="C118" s="90"/>
      <c r="D118" s="90"/>
      <c r="E118" s="90"/>
    </row>
    <row r="119" spans="2:5" ht="15.75">
      <c r="B119" s="102"/>
      <c r="C119" s="102" t="str">
        <f>CONCATENATE("Page No. ",C58,"a")</f>
        <v>Page No. 9a</v>
      </c>
      <c r="D119" s="364"/>
      <c r="E119" s="364"/>
    </row>
    <row r="128" spans="3:4" ht="15.75" hidden="1">
      <c r="C128" s="77" t="str">
        <f>IF(C110&gt;C112,"See Tab A","")</f>
        <v>See Tab A</v>
      </c>
      <c r="D128" s="77">
        <f>IF(D110&gt;D112,"See Tab C","")</f>
      </c>
    </row>
    <row r="129" spans="3:4" ht="15.75" hidden="1">
      <c r="C129" s="77">
        <f>IF(C111&lt;0,"See Tab B","")</f>
      </c>
      <c r="D129" s="77">
        <f>IF(D111&lt;0,"See Tab D","")</f>
      </c>
    </row>
  </sheetData>
  <sheetProtection/>
  <mergeCells count="4">
    <mergeCell ref="C113:D113"/>
    <mergeCell ref="C114:D114"/>
    <mergeCell ref="G109:J109"/>
    <mergeCell ref="C117:D117"/>
  </mergeCells>
  <conditionalFormatting sqref="E108">
    <cfRule type="cellIs" priority="2" dxfId="405" operator="greaterThan" stopIfTrue="1">
      <formula>$E$110*0.1</formula>
    </cfRule>
  </conditionalFormatting>
  <conditionalFormatting sqref="E113">
    <cfRule type="cellIs" priority="3" dxfId="405" operator="greaterThan" stopIfTrue="1">
      <formula>$E$110/0.95-$E$110</formula>
    </cfRule>
  </conditionalFormatting>
  <conditionalFormatting sqref="C53">
    <cfRule type="cellIs" priority="4" dxfId="2" operator="greaterThan" stopIfTrue="1">
      <formula>$C$55*0.1</formula>
    </cfRule>
  </conditionalFormatting>
  <conditionalFormatting sqref="D53">
    <cfRule type="cellIs" priority="5" dxfId="2" operator="greaterThan" stopIfTrue="1">
      <formula>$D$55*0.1</formula>
    </cfRule>
  </conditionalFormatting>
  <conditionalFormatting sqref="E53">
    <cfRule type="cellIs" priority="6" dxfId="405" operator="greaterThan" stopIfTrue="1">
      <formula>$E$55*0.1+E117</formula>
    </cfRule>
  </conditionalFormatting>
  <conditionalFormatting sqref="C108">
    <cfRule type="cellIs" priority="7" dxfId="2" operator="greaterThan" stopIfTrue="1">
      <formula>$C$110*0.1</formula>
    </cfRule>
  </conditionalFormatting>
  <conditionalFormatting sqref="D108">
    <cfRule type="cellIs" priority="8" dxfId="2" operator="greaterThan" stopIfTrue="1">
      <formula>$D$110*0.1</formula>
    </cfRule>
  </conditionalFormatting>
  <conditionalFormatting sqref="C110">
    <cfRule type="cellIs" priority="9" dxfId="2" operator="greaterThan" stopIfTrue="1">
      <formula>$C$112</formula>
    </cfRule>
  </conditionalFormatting>
  <conditionalFormatting sqref="C111">
    <cfRule type="cellIs" priority="10" dxfId="2" operator="lessThan" stopIfTrue="1">
      <formula>0</formula>
    </cfRule>
  </conditionalFormatting>
  <conditionalFormatting sqref="D110">
    <cfRule type="cellIs" priority="11" dxfId="2" operator="greaterThan" stopIfTrue="1">
      <formula>$D$112</formula>
    </cfRule>
  </conditionalFormatting>
  <conditionalFormatting sqref="D111">
    <cfRule type="cellIs" priority="1" dxfId="0" operator="lessThan" stopIfTrue="1">
      <formula>0</formula>
    </cfRule>
  </conditionalFormatting>
  <printOptions/>
  <pageMargins left="0.75" right="0.75" top="1" bottom="0.5" header="0.5" footer="0.5"/>
  <pageSetup blackAndWhite="1" fitToHeight="2" horizontalDpi="600" verticalDpi="600" orientation="portrait" scale="73" r:id="rId1"/>
  <headerFooter alignWithMargins="0">
    <oddHeader>&amp;RState of Kansas
County</oddHeader>
  </headerFooter>
  <rowBreaks count="1" manualBreakCount="1">
    <brk id="59" min="1" max="4" man="1"/>
  </rowBreaks>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tabSelected="1" zoomScalePageLayoutView="0" workbookViewId="0" topLeftCell="A40">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344"/>
      <c r="D3" s="344"/>
      <c r="E3" s="345"/>
    </row>
    <row r="4" spans="2:5" ht="15.75">
      <c r="B4" s="90"/>
      <c r="C4" s="338"/>
      <c r="D4" s="338"/>
      <c r="E4" s="338"/>
    </row>
    <row r="5" spans="2:5" ht="15.75">
      <c r="B5" s="89" t="s">
        <v>123</v>
      </c>
      <c r="C5" s="481" t="str">
        <f>general!C4</f>
        <v>Prior Year Actual</v>
      </c>
      <c r="D5" s="480" t="str">
        <f>general!D4</f>
        <v>Current Year Estimate</v>
      </c>
      <c r="E5" s="482" t="str">
        <f>general!E4</f>
        <v>Proposed Budget Year</v>
      </c>
    </row>
    <row r="6" spans="2:5" ht="15.75">
      <c r="B6" s="516" t="str">
        <f>inputPrYr!B19</f>
        <v>Health</v>
      </c>
      <c r="C6" s="461">
        <f>general!$C$5</f>
        <v>2010</v>
      </c>
      <c r="D6" s="461">
        <f>general!D5</f>
        <v>2011</v>
      </c>
      <c r="E6" s="313">
        <f>general!E5</f>
        <v>2012</v>
      </c>
    </row>
    <row r="7" spans="2:5" ht="15.75">
      <c r="B7" s="153" t="s">
        <v>253</v>
      </c>
      <c r="C7" s="458">
        <v>-12856</v>
      </c>
      <c r="D7" s="462">
        <f>C34</f>
        <v>20288</v>
      </c>
      <c r="E7" s="276">
        <f>D34</f>
        <v>43408</v>
      </c>
    </row>
    <row r="8" spans="2:5" ht="15.75">
      <c r="B8" s="301" t="s">
        <v>255</v>
      </c>
      <c r="C8" s="316"/>
      <c r="D8" s="316"/>
      <c r="E8" s="132"/>
    </row>
    <row r="9" spans="2:5" ht="15.75">
      <c r="B9" s="153" t="s">
        <v>124</v>
      </c>
      <c r="C9" s="458">
        <v>66084</v>
      </c>
      <c r="D9" s="462">
        <f>inputPrYr!E19</f>
        <v>70114</v>
      </c>
      <c r="E9" s="348" t="s">
        <v>111</v>
      </c>
    </row>
    <row r="10" spans="2:5" ht="15.75">
      <c r="B10" s="153" t="s">
        <v>125</v>
      </c>
      <c r="C10" s="458">
        <v>559</v>
      </c>
      <c r="D10" s="458">
        <v>0</v>
      </c>
      <c r="E10" s="117">
        <v>0</v>
      </c>
    </row>
    <row r="11" spans="2:5" ht="15.75">
      <c r="B11" s="153" t="s">
        <v>126</v>
      </c>
      <c r="C11" s="458">
        <v>7939</v>
      </c>
      <c r="D11" s="458">
        <v>7806</v>
      </c>
      <c r="E11" s="276">
        <f>mvalloc!D11</f>
        <v>8167</v>
      </c>
    </row>
    <row r="12" spans="2:5" ht="15.75">
      <c r="B12" s="153" t="s">
        <v>127</v>
      </c>
      <c r="C12" s="458">
        <v>130</v>
      </c>
      <c r="D12" s="458">
        <v>122</v>
      </c>
      <c r="E12" s="276">
        <f>mvalloc!E11</f>
        <v>134</v>
      </c>
    </row>
    <row r="13" spans="2:5" ht="15.75">
      <c r="B13" s="316" t="s">
        <v>202</v>
      </c>
      <c r="C13" s="458">
        <v>736</v>
      </c>
      <c r="D13" s="458">
        <v>709</v>
      </c>
      <c r="E13" s="276">
        <f>mvalloc!F11</f>
        <v>737</v>
      </c>
    </row>
    <row r="14" spans="2:5" ht="15.75">
      <c r="B14" s="316" t="s">
        <v>304</v>
      </c>
      <c r="C14" s="458">
        <v>0</v>
      </c>
      <c r="D14" s="458">
        <v>0</v>
      </c>
      <c r="E14" s="276">
        <f>mvalloc!G11</f>
        <v>0</v>
      </c>
    </row>
    <row r="15" spans="2:5" ht="15.75">
      <c r="B15" s="329" t="s">
        <v>400</v>
      </c>
      <c r="C15" s="458">
        <v>617798</v>
      </c>
      <c r="D15" s="458">
        <v>560000</v>
      </c>
      <c r="E15" s="117">
        <v>534000</v>
      </c>
    </row>
    <row r="16" spans="2:5" ht="15.75">
      <c r="B16" s="329" t="s">
        <v>709</v>
      </c>
      <c r="C16" s="458">
        <v>3</v>
      </c>
      <c r="D16" s="458">
        <v>1</v>
      </c>
      <c r="E16" s="117">
        <v>4</v>
      </c>
    </row>
    <row r="17" spans="2:5" ht="15.75">
      <c r="B17" s="329" t="s">
        <v>920</v>
      </c>
      <c r="C17" s="458">
        <v>25000</v>
      </c>
      <c r="D17" s="458">
        <v>45000</v>
      </c>
      <c r="E17" s="117">
        <v>45000</v>
      </c>
    </row>
    <row r="18" spans="2:5" ht="15.75">
      <c r="B18" s="319" t="s">
        <v>131</v>
      </c>
      <c r="C18" s="458"/>
      <c r="D18" s="458"/>
      <c r="E18" s="117"/>
    </row>
    <row r="19" spans="2:5" ht="15.75">
      <c r="B19" s="320" t="s">
        <v>870</v>
      </c>
      <c r="C19" s="458">
        <v>226</v>
      </c>
      <c r="D19" s="458">
        <v>0</v>
      </c>
      <c r="E19" s="117">
        <v>0</v>
      </c>
    </row>
    <row r="20" spans="2:5" ht="15.75">
      <c r="B20" s="320" t="s">
        <v>722</v>
      </c>
      <c r="C20" s="459">
        <f>IF(C21*0.1&lt;C19,"Exceed 10% Rule","")</f>
      </c>
      <c r="D20" s="459">
        <f>IF(D21*0.1&lt;D19,"Exceed 10% Rule","")</f>
      </c>
      <c r="E20" s="355">
        <f>IF(E21*0.1+E40&lt;E19,"Exceed 10% Rule","")</f>
      </c>
    </row>
    <row r="21" spans="2:5" ht="15.75">
      <c r="B21" s="322" t="s">
        <v>132</v>
      </c>
      <c r="C21" s="460">
        <f>SUM(C9:C19)</f>
        <v>718475</v>
      </c>
      <c r="D21" s="460">
        <f>SUM(D9:D19)</f>
        <v>683752</v>
      </c>
      <c r="E21" s="363">
        <f>SUM(E9:E19)</f>
        <v>588042</v>
      </c>
    </row>
    <row r="22" spans="2:5" ht="15.75">
      <c r="B22" s="322" t="s">
        <v>133</v>
      </c>
      <c r="C22" s="460">
        <f>C7+C21</f>
        <v>705619</v>
      </c>
      <c r="D22" s="460">
        <f>D7+D21</f>
        <v>704040</v>
      </c>
      <c r="E22" s="363">
        <f>E7+E21</f>
        <v>631450</v>
      </c>
    </row>
    <row r="23" spans="2:5" ht="15.75">
      <c r="B23" s="153" t="s">
        <v>136</v>
      </c>
      <c r="C23" s="320"/>
      <c r="D23" s="320"/>
      <c r="E23" s="113"/>
    </row>
    <row r="24" spans="2:5" ht="15.75">
      <c r="B24" s="115" t="s">
        <v>401</v>
      </c>
      <c r="C24" s="458">
        <v>490145</v>
      </c>
      <c r="D24" s="458">
        <v>480000</v>
      </c>
      <c r="E24" s="117">
        <v>510000</v>
      </c>
    </row>
    <row r="25" spans="2:6" ht="15.75">
      <c r="B25" s="115" t="s">
        <v>402</v>
      </c>
      <c r="C25" s="458">
        <v>84712</v>
      </c>
      <c r="D25" s="458">
        <v>75000</v>
      </c>
      <c r="E25" s="117">
        <v>77000</v>
      </c>
      <c r="F25" s="77" t="s">
        <v>913</v>
      </c>
    </row>
    <row r="26" spans="2:6" ht="15.75">
      <c r="B26" s="115" t="s">
        <v>403</v>
      </c>
      <c r="C26" s="458">
        <v>105542</v>
      </c>
      <c r="D26" s="458">
        <v>90000</v>
      </c>
      <c r="E26" s="117">
        <v>93000</v>
      </c>
      <c r="F26" s="77" t="s">
        <v>913</v>
      </c>
    </row>
    <row r="27" spans="2:5" ht="15.75">
      <c r="B27" s="115" t="s">
        <v>404</v>
      </c>
      <c r="C27" s="458">
        <v>1259</v>
      </c>
      <c r="D27" s="458">
        <v>10000</v>
      </c>
      <c r="E27" s="117">
        <v>18982</v>
      </c>
    </row>
    <row r="28" spans="2:5" ht="15.75">
      <c r="B28" s="329"/>
      <c r="C28" s="458"/>
      <c r="D28" s="458"/>
      <c r="E28" s="117"/>
    </row>
    <row r="29" spans="2:5" ht="15.75">
      <c r="B29" s="329"/>
      <c r="C29" s="458"/>
      <c r="D29" s="458"/>
      <c r="E29" s="117"/>
    </row>
    <row r="30" spans="2:5" ht="15.75">
      <c r="B30" s="320" t="s">
        <v>872</v>
      </c>
      <c r="C30" s="458">
        <v>3673</v>
      </c>
      <c r="D30" s="458">
        <v>5632</v>
      </c>
      <c r="E30" s="125">
        <f>Nhood!E9</f>
        <v>3859</v>
      </c>
    </row>
    <row r="31" spans="2:5" ht="15.75">
      <c r="B31" s="320" t="s">
        <v>870</v>
      </c>
      <c r="C31" s="458"/>
      <c r="D31" s="458"/>
      <c r="E31" s="117"/>
    </row>
    <row r="32" spans="2:5" ht="15.75">
      <c r="B32" s="320" t="s">
        <v>721</v>
      </c>
      <c r="C32" s="459">
        <f>IF(C33*0.1&lt;C31,"Exceed 10% Rule","")</f>
      </c>
      <c r="D32" s="459">
        <f>IF(D33*0.1&lt;D31,"Exceed 10% Rule","")</f>
      </c>
      <c r="E32" s="355">
        <f>IF(E33*0.1&lt;E31,"Exceed 10% Rule","")</f>
      </c>
    </row>
    <row r="33" spans="2:5" ht="15.75">
      <c r="B33" s="322" t="s">
        <v>137</v>
      </c>
      <c r="C33" s="460">
        <f>SUM(C24:C31)</f>
        <v>685331</v>
      </c>
      <c r="D33" s="460">
        <f>SUM(D24:D31)</f>
        <v>660632</v>
      </c>
      <c r="E33" s="363">
        <f>SUM(E24:E31)</f>
        <v>702841</v>
      </c>
    </row>
    <row r="34" spans="2:5" ht="15.75">
      <c r="B34" s="153" t="s">
        <v>254</v>
      </c>
      <c r="C34" s="463">
        <f>C22-C33</f>
        <v>20288</v>
      </c>
      <c r="D34" s="463">
        <f>D22-D33</f>
        <v>43408</v>
      </c>
      <c r="E34" s="348" t="s">
        <v>111</v>
      </c>
    </row>
    <row r="35" spans="2:6" ht="15.75">
      <c r="B35" s="298" t="str">
        <f>CONCATENATE("",E$1-2,"/",E$1-1," Budget Authority Amount:")</f>
        <v>2010/2011 Budget Authority Amount:</v>
      </c>
      <c r="C35" s="290">
        <f>inputOth!B34</f>
        <v>654610</v>
      </c>
      <c r="D35" s="290">
        <f>inputPrYr!D19</f>
        <v>660632</v>
      </c>
      <c r="E35" s="348" t="s">
        <v>111</v>
      </c>
      <c r="F35" s="331"/>
    </row>
    <row r="36" spans="2:6" ht="15.75">
      <c r="B36" s="298"/>
      <c r="C36" s="729" t="s">
        <v>725</v>
      </c>
      <c r="D36" s="730"/>
      <c r="E36" s="117"/>
      <c r="F36" s="331">
        <f>IF(E33/0.95-E33&lt;E36,"Exceeds 5%","")</f>
      </c>
    </row>
    <row r="37" spans="2:5" ht="15.75">
      <c r="B37" s="538" t="str">
        <f>CONCATENATE(C88,"     ",D88)</f>
        <v>See Tab A     </v>
      </c>
      <c r="C37" s="731" t="s">
        <v>726</v>
      </c>
      <c r="D37" s="732"/>
      <c r="E37" s="276">
        <f>E33+E36</f>
        <v>702841</v>
      </c>
    </row>
    <row r="38" spans="2:5" ht="15.75">
      <c r="B38" s="538" t="str">
        <f>CONCATENATE(C89,"     ",D89)</f>
        <v>     </v>
      </c>
      <c r="C38" s="332"/>
      <c r="D38" s="252" t="s">
        <v>138</v>
      </c>
      <c r="E38" s="125">
        <f>IF(E37-E22&gt;0,E37-E22,0)</f>
        <v>71391</v>
      </c>
    </row>
    <row r="39" spans="2:5" ht="15.75">
      <c r="B39" s="252"/>
      <c r="C39" s="536" t="s">
        <v>727</v>
      </c>
      <c r="D39" s="508">
        <f>inputOth!$E$24</f>
        <v>0</v>
      </c>
      <c r="E39" s="276">
        <f>ROUND(IF(D39&gt;0,($E$38*D39),0),0)</f>
        <v>0</v>
      </c>
    </row>
    <row r="40" spans="2:5" ht="15.75">
      <c r="B40" s="90"/>
      <c r="C40" s="727" t="str">
        <f>CONCATENATE("Amount of  ",$E$1-1," Ad Valorem Tax")</f>
        <v>Amount of  2011 Ad Valorem Tax</v>
      </c>
      <c r="D40" s="728"/>
      <c r="E40" s="359">
        <f>E38+E39</f>
        <v>71391</v>
      </c>
    </row>
    <row r="41" spans="2:5" ht="15.75">
      <c r="B41" s="90"/>
      <c r="C41" s="338"/>
      <c r="D41" s="338"/>
      <c r="E41" s="338"/>
    </row>
    <row r="42" spans="2:5" ht="15.75">
      <c r="B42" s="89" t="s">
        <v>123</v>
      </c>
      <c r="C42" s="481" t="str">
        <f aca="true" t="shared" si="0" ref="C42:E43">C5</f>
        <v>Prior Year Actual</v>
      </c>
      <c r="D42" s="480" t="str">
        <f t="shared" si="0"/>
        <v>Current Year Estimate</v>
      </c>
      <c r="E42" s="482" t="str">
        <f t="shared" si="0"/>
        <v>Proposed Budget Year</v>
      </c>
    </row>
    <row r="43" spans="2:5" ht="15.75">
      <c r="B43" s="515" t="str">
        <f>(inputPrYr!B20)</f>
        <v>Noxious Weed</v>
      </c>
      <c r="C43" s="461">
        <f t="shared" si="0"/>
        <v>2010</v>
      </c>
      <c r="D43" s="461">
        <f t="shared" si="0"/>
        <v>2011</v>
      </c>
      <c r="E43" s="326">
        <f t="shared" si="0"/>
        <v>2012</v>
      </c>
    </row>
    <row r="44" spans="2:5" ht="15.75">
      <c r="B44" s="153" t="s">
        <v>253</v>
      </c>
      <c r="C44" s="458">
        <v>70514</v>
      </c>
      <c r="D44" s="462">
        <f>C71</f>
        <v>80077</v>
      </c>
      <c r="E44" s="276">
        <f>D71</f>
        <v>39251</v>
      </c>
    </row>
    <row r="45" spans="2:5" ht="15.75">
      <c r="B45" s="314" t="s">
        <v>255</v>
      </c>
      <c r="C45" s="316"/>
      <c r="D45" s="316"/>
      <c r="E45" s="132"/>
    </row>
    <row r="46" spans="2:5" ht="15.75">
      <c r="B46" s="153" t="s">
        <v>124</v>
      </c>
      <c r="C46" s="458">
        <v>110140</v>
      </c>
      <c r="D46" s="462">
        <f>inputPrYr!E20</f>
        <v>111888</v>
      </c>
      <c r="E46" s="348" t="s">
        <v>111</v>
      </c>
    </row>
    <row r="47" spans="2:5" ht="15.75">
      <c r="B47" s="153" t="s">
        <v>125</v>
      </c>
      <c r="C47" s="458">
        <v>915</v>
      </c>
      <c r="D47" s="458">
        <v>0</v>
      </c>
      <c r="E47" s="117">
        <v>0</v>
      </c>
    </row>
    <row r="48" spans="2:5" ht="15.75">
      <c r="B48" s="153" t="s">
        <v>126</v>
      </c>
      <c r="C48" s="458">
        <v>13307</v>
      </c>
      <c r="D48" s="458">
        <v>12998</v>
      </c>
      <c r="E48" s="276">
        <f>mvalloc!D12</f>
        <v>13033</v>
      </c>
    </row>
    <row r="49" spans="2:5" ht="15.75">
      <c r="B49" s="153" t="s">
        <v>127</v>
      </c>
      <c r="C49" s="458">
        <v>217</v>
      </c>
      <c r="D49" s="458">
        <v>202</v>
      </c>
      <c r="E49" s="276">
        <f>mvalloc!E12</f>
        <v>214</v>
      </c>
    </row>
    <row r="50" spans="2:5" ht="15.75">
      <c r="B50" s="316" t="s">
        <v>202</v>
      </c>
      <c r="C50" s="458">
        <v>1168</v>
      </c>
      <c r="D50" s="458">
        <v>1181</v>
      </c>
      <c r="E50" s="276">
        <f>mvalloc!F12</f>
        <v>1176</v>
      </c>
    </row>
    <row r="51" spans="2:5" ht="15.75">
      <c r="B51" s="316" t="s">
        <v>304</v>
      </c>
      <c r="C51" s="458">
        <v>0</v>
      </c>
      <c r="D51" s="458">
        <v>0</v>
      </c>
      <c r="E51" s="276">
        <f>mvalloc!G12</f>
        <v>0</v>
      </c>
    </row>
    <row r="52" spans="2:5" ht="15.75">
      <c r="B52" s="329" t="s">
        <v>709</v>
      </c>
      <c r="C52" s="458">
        <v>6</v>
      </c>
      <c r="D52" s="458">
        <v>2</v>
      </c>
      <c r="E52" s="117">
        <v>6</v>
      </c>
    </row>
    <row r="53" spans="2:6" ht="15.75">
      <c r="B53" s="329" t="s">
        <v>405</v>
      </c>
      <c r="C53" s="458">
        <v>155633</v>
      </c>
      <c r="D53" s="458">
        <v>171641</v>
      </c>
      <c r="E53" s="117">
        <v>213185</v>
      </c>
      <c r="F53" s="77" t="s">
        <v>913</v>
      </c>
    </row>
    <row r="54" spans="2:5" ht="15.75">
      <c r="B54" s="329"/>
      <c r="C54" s="458"/>
      <c r="D54" s="458"/>
      <c r="E54" s="117"/>
    </row>
    <row r="55" spans="2:5" ht="15.75">
      <c r="B55" s="319" t="s">
        <v>131</v>
      </c>
      <c r="C55" s="458"/>
      <c r="D55" s="458"/>
      <c r="E55" s="117"/>
    </row>
    <row r="56" spans="2:5" ht="15.75">
      <c r="B56" s="320" t="s">
        <v>870</v>
      </c>
      <c r="C56" s="458"/>
      <c r="D56" s="458"/>
      <c r="E56" s="117"/>
    </row>
    <row r="57" spans="2:5" ht="15.75">
      <c r="B57" s="320" t="s">
        <v>722</v>
      </c>
      <c r="C57" s="459">
        <f>IF(C58*0.1&lt;C56,"Exceed 10% Rule","")</f>
      </c>
      <c r="D57" s="459">
        <f>IF(D58*0.1&lt;D56,"Exceed 10% Rule","")</f>
      </c>
      <c r="E57" s="355">
        <f>IF(E58*0.1+E77&lt;E56,"Exceed 10% Rule","")</f>
      </c>
    </row>
    <row r="58" spans="2:5" ht="15.75">
      <c r="B58" s="322" t="s">
        <v>132</v>
      </c>
      <c r="C58" s="460">
        <f>SUM(C46:C56)</f>
        <v>281386</v>
      </c>
      <c r="D58" s="460">
        <f>SUM(D46:D56)</f>
        <v>297912</v>
      </c>
      <c r="E58" s="363">
        <f>SUM(E46:E56)</f>
        <v>227614</v>
      </c>
    </row>
    <row r="59" spans="2:5" ht="15.75">
      <c r="B59" s="322" t="s">
        <v>133</v>
      </c>
      <c r="C59" s="460">
        <f>C44+C58</f>
        <v>351900</v>
      </c>
      <c r="D59" s="460">
        <f>D44+D58</f>
        <v>377989</v>
      </c>
      <c r="E59" s="363">
        <f>E44+E58</f>
        <v>266865</v>
      </c>
    </row>
    <row r="60" spans="2:5" ht="15.75">
      <c r="B60" s="153" t="s">
        <v>136</v>
      </c>
      <c r="C60" s="320"/>
      <c r="D60" s="320"/>
      <c r="E60" s="113"/>
    </row>
    <row r="61" spans="2:6" ht="15.75">
      <c r="B61" s="115" t="s">
        <v>401</v>
      </c>
      <c r="C61" s="458">
        <v>96020</v>
      </c>
      <c r="D61" s="458">
        <v>96000</v>
      </c>
      <c r="E61" s="117">
        <v>103218</v>
      </c>
      <c r="F61" s="77" t="s">
        <v>913</v>
      </c>
    </row>
    <row r="62" spans="2:6" ht="15.75">
      <c r="B62" s="115" t="s">
        <v>402</v>
      </c>
      <c r="C62" s="458">
        <v>10470</v>
      </c>
      <c r="D62" s="458">
        <v>11750</v>
      </c>
      <c r="E62" s="117">
        <v>12000</v>
      </c>
      <c r="F62" s="77" t="s">
        <v>913</v>
      </c>
    </row>
    <row r="63" spans="2:6" ht="15.75">
      <c r="B63" s="115" t="s">
        <v>403</v>
      </c>
      <c r="C63" s="458">
        <v>147166</v>
      </c>
      <c r="D63" s="458">
        <v>210000</v>
      </c>
      <c r="E63" s="117">
        <v>210000</v>
      </c>
      <c r="F63" s="77" t="s">
        <v>913</v>
      </c>
    </row>
    <row r="64" spans="2:5" ht="15.75">
      <c r="B64" s="115" t="s">
        <v>404</v>
      </c>
      <c r="C64" s="458">
        <v>45</v>
      </c>
      <c r="D64" s="458">
        <v>0</v>
      </c>
      <c r="E64" s="117">
        <v>39000</v>
      </c>
    </row>
    <row r="65" spans="2:5" ht="15.75">
      <c r="B65" s="329" t="s">
        <v>406</v>
      </c>
      <c r="C65" s="458">
        <v>12000</v>
      </c>
      <c r="D65" s="458">
        <v>12000</v>
      </c>
      <c r="E65" s="117">
        <v>12000</v>
      </c>
    </row>
    <row r="66" spans="2:5" ht="15.75">
      <c r="B66" s="329"/>
      <c r="C66" s="458"/>
      <c r="D66" s="458"/>
      <c r="E66" s="117"/>
    </row>
    <row r="67" spans="2:5" ht="15.75">
      <c r="B67" s="320" t="s">
        <v>872</v>
      </c>
      <c r="C67" s="458">
        <v>6122</v>
      </c>
      <c r="D67" s="458">
        <v>8988</v>
      </c>
      <c r="E67" s="125">
        <f>Nhood!E10</f>
        <v>6248</v>
      </c>
    </row>
    <row r="68" spans="2:5" ht="15.75">
      <c r="B68" s="320" t="s">
        <v>870</v>
      </c>
      <c r="C68" s="458"/>
      <c r="D68" s="458"/>
      <c r="E68" s="117"/>
    </row>
    <row r="69" spans="2:5" ht="15.75">
      <c r="B69" s="320" t="s">
        <v>721</v>
      </c>
      <c r="C69" s="459">
        <f>IF(C70*0.1&lt;C68,"Exceed 10% Rule","")</f>
      </c>
      <c r="D69" s="459">
        <f>IF(D70*0.1&lt;D68,"Exceed 10% Rule","")</f>
      </c>
      <c r="E69" s="355">
        <f>IF(E70*0.1&lt;E68,"Exceed 10% Rule","")</f>
      </c>
    </row>
    <row r="70" spans="2:5" ht="15.75">
      <c r="B70" s="322" t="s">
        <v>137</v>
      </c>
      <c r="C70" s="460">
        <f>SUM(C61:C68)</f>
        <v>271823</v>
      </c>
      <c r="D70" s="460">
        <f>SUM(D61:D68)</f>
        <v>338738</v>
      </c>
      <c r="E70" s="363">
        <f>SUM(E61:E68)</f>
        <v>382466</v>
      </c>
    </row>
    <row r="71" spans="2:5" ht="15.75">
      <c r="B71" s="153" t="s">
        <v>254</v>
      </c>
      <c r="C71" s="463">
        <f>C59-C70</f>
        <v>80077</v>
      </c>
      <c r="D71" s="463">
        <f>D59-D70</f>
        <v>39251</v>
      </c>
      <c r="E71" s="348" t="s">
        <v>111</v>
      </c>
    </row>
    <row r="72" spans="2:6" ht="15.75">
      <c r="B72" s="298" t="str">
        <f>CONCATENATE("",E$1-2,"/",E$1-1," Budget Authority Amount:")</f>
        <v>2010/2011 Budget Authority Amount:</v>
      </c>
      <c r="C72" s="290">
        <f>inputOth!B35</f>
        <v>335079</v>
      </c>
      <c r="D72" s="290">
        <f>inputPrYr!D20</f>
        <v>338738</v>
      </c>
      <c r="E72" s="348" t="s">
        <v>111</v>
      </c>
      <c r="F72" s="331"/>
    </row>
    <row r="73" spans="2:6" ht="15.75">
      <c r="B73" s="298"/>
      <c r="C73" s="729" t="s">
        <v>725</v>
      </c>
      <c r="D73" s="730"/>
      <c r="E73" s="117"/>
      <c r="F73" s="331">
        <f>IF(E70/0.95-E70&lt;E73,"Exceeds 5%","")</f>
      </c>
    </row>
    <row r="74" spans="2:5" ht="15.75">
      <c r="B74" s="537" t="str">
        <f>CONCATENATE(C90,"     ",D90)</f>
        <v>     </v>
      </c>
      <c r="C74" s="731" t="s">
        <v>726</v>
      </c>
      <c r="D74" s="732"/>
      <c r="E74" s="276">
        <f>E70+E73</f>
        <v>382466</v>
      </c>
    </row>
    <row r="75" spans="2:5" ht="15.75">
      <c r="B75" s="537" t="str">
        <f>CONCATENATE(C91,"     ",D91)</f>
        <v>     </v>
      </c>
      <c r="C75" s="332"/>
      <c r="D75" s="252" t="s">
        <v>138</v>
      </c>
      <c r="E75" s="125">
        <f>IF(E74-E59&gt;0,E74-E59,0)</f>
        <v>115601</v>
      </c>
    </row>
    <row r="76" spans="2:5" ht="15.75">
      <c r="B76" s="252"/>
      <c r="C76" s="536" t="s">
        <v>727</v>
      </c>
      <c r="D76" s="508">
        <f>inputOth!$E$24</f>
        <v>0</v>
      </c>
      <c r="E76" s="276">
        <f>ROUND(IF(D76&gt;0,($E$75*D76),0),0)</f>
        <v>0</v>
      </c>
    </row>
    <row r="77" spans="2:5" ht="15.75">
      <c r="B77" s="90"/>
      <c r="C77" s="727" t="str">
        <f>CONCATENATE("Amount of  ",$E$1-1," Ad Valorem Tax")</f>
        <v>Amount of  2011 Ad Valorem Tax</v>
      </c>
      <c r="D77" s="728"/>
      <c r="E77" s="359">
        <f>E75+E76</f>
        <v>115601</v>
      </c>
    </row>
    <row r="78" spans="2:5" ht="15.75">
      <c r="B78" s="298" t="s">
        <v>160</v>
      </c>
      <c r="C78" s="360">
        <v>10</v>
      </c>
      <c r="D78" s="90"/>
      <c r="E78" s="90"/>
    </row>
    <row r="88" spans="3:4" ht="15.75" hidden="1">
      <c r="C88" s="77" t="str">
        <f>IF(C33&gt;C35,"See Tab A","")</f>
        <v>See Tab A</v>
      </c>
      <c r="D88" s="77">
        <f>IF(D33&gt;D35,"See Tab C","")</f>
      </c>
    </row>
    <row r="89" spans="3:4" ht="15.75" hidden="1">
      <c r="C89" s="77">
        <f>IF(C34&lt;0,"See Tab B","")</f>
      </c>
      <c r="D89" s="77">
        <f>IF(D34&lt;0,"See Tab D","")</f>
      </c>
    </row>
    <row r="90" spans="3:4" ht="15.75" hidden="1">
      <c r="C90" s="77">
        <f>IF(C70&gt;C72,"See Tab A","")</f>
      </c>
      <c r="D90" s="77">
        <f>IF(D70&gt;D72,"See Tab C","")</f>
      </c>
    </row>
    <row r="91" spans="3:4" ht="15.75" hidden="1">
      <c r="C91" s="77">
        <f>IF(C71&lt;0,"See Tab B","")</f>
      </c>
      <c r="D91" s="77">
        <f>IF(D71&lt;0,"See Tab D","")</f>
      </c>
    </row>
  </sheetData>
  <sheetProtection/>
  <mergeCells count="6">
    <mergeCell ref="C77:D77"/>
    <mergeCell ref="C40:D40"/>
    <mergeCell ref="C36:D36"/>
    <mergeCell ref="C37:D37"/>
    <mergeCell ref="C73:D73"/>
    <mergeCell ref="C74:D74"/>
  </mergeCells>
  <conditionalFormatting sqref="E68">
    <cfRule type="cellIs" priority="4" dxfId="405" operator="greaterThan" stopIfTrue="1">
      <formula>$E$70*0.1</formula>
    </cfRule>
  </conditionalFormatting>
  <conditionalFormatting sqref="E73">
    <cfRule type="cellIs" priority="5" dxfId="405" operator="greaterThan" stopIfTrue="1">
      <formula>$E$70/0.95-$E$70</formula>
    </cfRule>
  </conditionalFormatting>
  <conditionalFormatting sqref="E36">
    <cfRule type="cellIs" priority="6" dxfId="405" operator="greaterThan" stopIfTrue="1">
      <formula>$E$33/0.95-$E$33</formula>
    </cfRule>
  </conditionalFormatting>
  <conditionalFormatting sqref="E31">
    <cfRule type="cellIs" priority="7" dxfId="405" operator="greaterThan" stopIfTrue="1">
      <formula>$E$33*0.1</formula>
    </cfRule>
  </conditionalFormatting>
  <conditionalFormatting sqref="C33">
    <cfRule type="cellIs" priority="8" dxfId="2" operator="greaterThan" stopIfTrue="1">
      <formula>$C$35</formula>
    </cfRule>
  </conditionalFormatting>
  <conditionalFormatting sqref="C71 C34">
    <cfRule type="cellIs" priority="9" dxfId="2" operator="lessThan" stopIfTrue="1">
      <formula>0</formula>
    </cfRule>
  </conditionalFormatting>
  <conditionalFormatting sqref="D33">
    <cfRule type="cellIs" priority="10" dxfId="2" operator="greaterThan" stopIfTrue="1">
      <formula>$D$35</formula>
    </cfRule>
  </conditionalFormatting>
  <conditionalFormatting sqref="C70">
    <cfRule type="cellIs" priority="11" dxfId="2" operator="greaterThan" stopIfTrue="1">
      <formula>$C$72</formula>
    </cfRule>
  </conditionalFormatting>
  <conditionalFormatting sqref="D70">
    <cfRule type="cellIs" priority="12" dxfId="2" operator="greaterThan" stopIfTrue="1">
      <formula>$D$72</formula>
    </cfRule>
  </conditionalFormatting>
  <conditionalFormatting sqref="C68">
    <cfRule type="cellIs" priority="13" dxfId="2" operator="greaterThan" stopIfTrue="1">
      <formula>$C$70*0.1</formula>
    </cfRule>
  </conditionalFormatting>
  <conditionalFormatting sqref="D68">
    <cfRule type="cellIs" priority="14" dxfId="2" operator="greaterThan" stopIfTrue="1">
      <formula>$D$70*0.1</formula>
    </cfRule>
  </conditionalFormatting>
  <conditionalFormatting sqref="E56">
    <cfRule type="cellIs" priority="15" dxfId="405" operator="greaterThan" stopIfTrue="1">
      <formula>$E$58*0.1+E77</formula>
    </cfRule>
  </conditionalFormatting>
  <conditionalFormatting sqref="C56">
    <cfRule type="cellIs" priority="16" dxfId="2" operator="greaterThan" stopIfTrue="1">
      <formula>$C$58*0.1</formula>
    </cfRule>
  </conditionalFormatting>
  <conditionalFormatting sqref="D56">
    <cfRule type="cellIs" priority="17" dxfId="2" operator="greaterThan" stopIfTrue="1">
      <formula>$D$58*0.1</formula>
    </cfRule>
  </conditionalFormatting>
  <conditionalFormatting sqref="C31">
    <cfRule type="cellIs" priority="18" dxfId="2" operator="greaterThan" stopIfTrue="1">
      <formula>$C$33*0.1</formula>
    </cfRule>
  </conditionalFormatting>
  <conditionalFormatting sqref="D31">
    <cfRule type="cellIs" priority="19" dxfId="2" operator="greaterThan" stopIfTrue="1">
      <formula>$D$33*0.1</formula>
    </cfRule>
  </conditionalFormatting>
  <conditionalFormatting sqref="E19">
    <cfRule type="cellIs" priority="20" dxfId="405" operator="greaterThan" stopIfTrue="1">
      <formula>$E$21*0.1+E40</formula>
    </cfRule>
  </conditionalFormatting>
  <conditionalFormatting sqref="C19">
    <cfRule type="cellIs" priority="21" dxfId="2" operator="greaterThan" stopIfTrue="1">
      <formula>$C$21*0.1</formula>
    </cfRule>
  </conditionalFormatting>
  <conditionalFormatting sqref="D19">
    <cfRule type="cellIs" priority="22" dxfId="2" operator="greaterThan" stopIfTrue="1">
      <formula>$D$21*0.1</formula>
    </cfRule>
  </conditionalFormatting>
  <conditionalFormatting sqref="D34">
    <cfRule type="cellIs" priority="2" dxfId="0" operator="lessThan" stopIfTrue="1">
      <formula>0</formula>
    </cfRule>
    <cfRule type="cellIs" priority="3" dxfId="0" operator="lessThan" stopIfTrue="1">
      <formula>0</formula>
    </cfRule>
  </conditionalFormatting>
  <conditionalFormatting sqref="D7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tabSelected="1" zoomScalePageLayoutView="0" workbookViewId="0" topLeftCell="A59">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344"/>
      <c r="D3" s="344"/>
      <c r="E3" s="345"/>
    </row>
    <row r="4" spans="2:5" ht="15.75">
      <c r="B4" s="90"/>
      <c r="C4" s="338"/>
      <c r="D4" s="338"/>
      <c r="E4" s="338"/>
    </row>
    <row r="5" spans="2:5" ht="15.75">
      <c r="B5" s="89" t="s">
        <v>123</v>
      </c>
      <c r="C5" s="481" t="str">
        <f>general!C4</f>
        <v>Prior Year Actual</v>
      </c>
      <c r="D5" s="480" t="str">
        <f>general!D4</f>
        <v>Current Year Estimate</v>
      </c>
      <c r="E5" s="482" t="str">
        <f>general!E4</f>
        <v>Proposed Budget Year</v>
      </c>
    </row>
    <row r="6" spans="2:5" ht="15.75">
      <c r="B6" s="516" t="str">
        <f>inputPrYr!B21</f>
        <v>Courthouse Maintenance</v>
      </c>
      <c r="C6" s="461">
        <f>general!$C$5</f>
        <v>2010</v>
      </c>
      <c r="D6" s="461">
        <f>general!D5</f>
        <v>2011</v>
      </c>
      <c r="E6" s="313">
        <f>general!E5</f>
        <v>2012</v>
      </c>
    </row>
    <row r="7" spans="2:5" ht="15.75">
      <c r="B7" s="153" t="s">
        <v>253</v>
      </c>
      <c r="C7" s="458">
        <v>330053</v>
      </c>
      <c r="D7" s="462">
        <f>C34</f>
        <v>362254</v>
      </c>
      <c r="E7" s="276">
        <f>D34</f>
        <v>380443</v>
      </c>
    </row>
    <row r="8" spans="2:5" ht="15.75">
      <c r="B8" s="301" t="s">
        <v>255</v>
      </c>
      <c r="C8" s="316"/>
      <c r="D8" s="316"/>
      <c r="E8" s="132"/>
    </row>
    <row r="9" spans="2:5" ht="15.75">
      <c r="B9" s="153" t="s">
        <v>124</v>
      </c>
      <c r="C9" s="458">
        <v>73426</v>
      </c>
      <c r="D9" s="462">
        <f>inputPrYr!E21</f>
        <v>74592</v>
      </c>
      <c r="E9" s="348" t="s">
        <v>111</v>
      </c>
    </row>
    <row r="10" spans="2:5" ht="15.75">
      <c r="B10" s="153" t="s">
        <v>125</v>
      </c>
      <c r="C10" s="458">
        <v>847</v>
      </c>
      <c r="D10" s="458">
        <v>0</v>
      </c>
      <c r="E10" s="117">
        <v>0</v>
      </c>
    </row>
    <row r="11" spans="2:5" ht="15.75">
      <c r="B11" s="153" t="s">
        <v>126</v>
      </c>
      <c r="C11" s="458">
        <v>13279</v>
      </c>
      <c r="D11" s="458">
        <v>8665</v>
      </c>
      <c r="E11" s="276">
        <f>mvalloc!D13</f>
        <v>8688</v>
      </c>
    </row>
    <row r="12" spans="2:5" ht="15.75">
      <c r="B12" s="153" t="s">
        <v>127</v>
      </c>
      <c r="C12" s="458">
        <v>217</v>
      </c>
      <c r="D12" s="458">
        <v>135</v>
      </c>
      <c r="E12" s="276">
        <f>mvalloc!E13</f>
        <v>142</v>
      </c>
    </row>
    <row r="13" spans="2:5" ht="15.75">
      <c r="B13" s="316" t="s">
        <v>202</v>
      </c>
      <c r="C13" s="458">
        <v>1168</v>
      </c>
      <c r="D13" s="458">
        <v>787</v>
      </c>
      <c r="E13" s="276">
        <f>mvalloc!F13</f>
        <v>784</v>
      </c>
    </row>
    <row r="14" spans="2:5" ht="15.75">
      <c r="B14" s="316" t="s">
        <v>304</v>
      </c>
      <c r="C14" s="458">
        <v>0</v>
      </c>
      <c r="D14" s="458">
        <v>0</v>
      </c>
      <c r="E14" s="276">
        <f>mvalloc!G13</f>
        <v>0</v>
      </c>
    </row>
    <row r="15" spans="2:5" ht="15.75">
      <c r="B15" s="329" t="s">
        <v>709</v>
      </c>
      <c r="C15" s="458">
        <v>6</v>
      </c>
      <c r="D15" s="458">
        <v>2</v>
      </c>
      <c r="E15" s="117">
        <v>4</v>
      </c>
    </row>
    <row r="16" spans="2:5" ht="15.75">
      <c r="B16" s="329"/>
      <c r="C16" s="458"/>
      <c r="D16" s="458"/>
      <c r="E16" s="117"/>
    </row>
    <row r="17" spans="2:5" ht="15.75">
      <c r="B17" s="329"/>
      <c r="C17" s="458"/>
      <c r="D17" s="458"/>
      <c r="E17" s="117"/>
    </row>
    <row r="18" spans="2:5" ht="15.75">
      <c r="B18" s="319" t="s">
        <v>131</v>
      </c>
      <c r="C18" s="458"/>
      <c r="D18" s="458"/>
      <c r="E18" s="117"/>
    </row>
    <row r="19" spans="2:5" ht="15.75">
      <c r="B19" s="320" t="s">
        <v>870</v>
      </c>
      <c r="C19" s="458"/>
      <c r="D19" s="458"/>
      <c r="E19" s="117"/>
    </row>
    <row r="20" spans="2:5" ht="15.75">
      <c r="B20" s="320" t="s">
        <v>722</v>
      </c>
      <c r="C20" s="459">
        <f>IF(C21*0.1&lt;C19,"Exceed 10% Rule","")</f>
      </c>
      <c r="D20" s="459">
        <f>IF(D21*0.1&lt;D19,"Exceed 10% Rule","")</f>
      </c>
      <c r="E20" s="355">
        <f>IF(E21*0.1+E40&lt;E19,"Exceed 10% Rule","")</f>
      </c>
    </row>
    <row r="21" spans="2:5" ht="15.75">
      <c r="B21" s="322" t="s">
        <v>132</v>
      </c>
      <c r="C21" s="460">
        <f>SUM(C9:C19)</f>
        <v>88943</v>
      </c>
      <c r="D21" s="460">
        <f>SUM(D9:D19)</f>
        <v>84181</v>
      </c>
      <c r="E21" s="363">
        <f>SUM(E9:E19)</f>
        <v>9618</v>
      </c>
    </row>
    <row r="22" spans="2:5" ht="15.75">
      <c r="B22" s="322" t="s">
        <v>133</v>
      </c>
      <c r="C22" s="460">
        <f>C7+C21</f>
        <v>418996</v>
      </c>
      <c r="D22" s="460">
        <f>D7+D21</f>
        <v>446435</v>
      </c>
      <c r="E22" s="363">
        <f>E7+E21</f>
        <v>390061</v>
      </c>
    </row>
    <row r="23" spans="2:5" ht="15.75">
      <c r="B23" s="153" t="s">
        <v>136</v>
      </c>
      <c r="C23" s="320"/>
      <c r="D23" s="320"/>
      <c r="E23" s="113"/>
    </row>
    <row r="24" spans="2:5" ht="15.75">
      <c r="B24" s="115" t="s">
        <v>960</v>
      </c>
      <c r="C24" s="458">
        <v>52661</v>
      </c>
      <c r="D24" s="458">
        <v>60000</v>
      </c>
      <c r="E24" s="117">
        <v>462964</v>
      </c>
    </row>
    <row r="25" spans="2:5" ht="15.75">
      <c r="B25" s="115"/>
      <c r="C25" s="458"/>
      <c r="D25" s="458"/>
      <c r="E25" s="117"/>
    </row>
    <row r="26" spans="2:5" ht="15.75">
      <c r="B26" s="115"/>
      <c r="C26" s="458"/>
      <c r="D26" s="458"/>
      <c r="E26" s="117"/>
    </row>
    <row r="27" spans="2:5" ht="15.75">
      <c r="B27" s="115"/>
      <c r="C27" s="458"/>
      <c r="D27" s="458"/>
      <c r="E27" s="117"/>
    </row>
    <row r="28" spans="2:5" ht="15.75">
      <c r="B28" s="329"/>
      <c r="C28" s="458"/>
      <c r="D28" s="458"/>
      <c r="E28" s="117"/>
    </row>
    <row r="29" spans="2:5" ht="15.75">
      <c r="B29" s="329"/>
      <c r="C29" s="458"/>
      <c r="D29" s="458"/>
      <c r="E29" s="117"/>
    </row>
    <row r="30" spans="2:5" ht="15.75">
      <c r="B30" s="320" t="s">
        <v>872</v>
      </c>
      <c r="C30" s="458">
        <v>4081</v>
      </c>
      <c r="D30" s="458">
        <v>5992</v>
      </c>
      <c r="E30" s="125">
        <f>Nhood!E11</f>
        <v>4165</v>
      </c>
    </row>
    <row r="31" spans="2:5" ht="15.75">
      <c r="B31" s="320" t="s">
        <v>870</v>
      </c>
      <c r="C31" s="458"/>
      <c r="D31" s="458"/>
      <c r="E31" s="117"/>
    </row>
    <row r="32" spans="2:5" ht="15.75">
      <c r="B32" s="320" t="s">
        <v>721</v>
      </c>
      <c r="C32" s="459">
        <f>IF(C33*0.1&lt;C31,"Exceed 10% Rule","")</f>
      </c>
      <c r="D32" s="459">
        <f>IF(D33*0.1&lt;D31,"Exceed 10% Rule","")</f>
      </c>
      <c r="E32" s="355">
        <f>IF(E33*0.1&lt;E31,"Exceed 10% Rule","")</f>
      </c>
    </row>
    <row r="33" spans="2:5" ht="15.75">
      <c r="B33" s="322" t="s">
        <v>137</v>
      </c>
      <c r="C33" s="460">
        <f>SUM(C24:C31)</f>
        <v>56742</v>
      </c>
      <c r="D33" s="460">
        <f>SUM(D24:D31)</f>
        <v>65992</v>
      </c>
      <c r="E33" s="363">
        <f>SUM(E24:E31)</f>
        <v>467129</v>
      </c>
    </row>
    <row r="34" spans="2:5" ht="15.75">
      <c r="B34" s="153" t="s">
        <v>254</v>
      </c>
      <c r="C34" s="463">
        <f>C22-C33</f>
        <v>362254</v>
      </c>
      <c r="D34" s="463">
        <f>D22-D33</f>
        <v>380443</v>
      </c>
      <c r="E34" s="348" t="s">
        <v>111</v>
      </c>
    </row>
    <row r="35" spans="2:6" ht="15.75">
      <c r="B35" s="298" t="str">
        <f>CONCATENATE("",E$1-2,"/",E$1-1," Budget Authority Amount:")</f>
        <v>2010/2011 Budget Authority Amount:</v>
      </c>
      <c r="C35" s="290">
        <f>inputOth!B36</f>
        <v>422134</v>
      </c>
      <c r="D35" s="290">
        <f>inputPrYr!D21</f>
        <v>500918</v>
      </c>
      <c r="E35" s="348" t="s">
        <v>111</v>
      </c>
      <c r="F35" s="331"/>
    </row>
    <row r="36" spans="2:6" ht="15.75">
      <c r="B36" s="298"/>
      <c r="C36" s="729" t="s">
        <v>725</v>
      </c>
      <c r="D36" s="730"/>
      <c r="E36" s="304"/>
      <c r="F36" s="331">
        <f>IF(E33/0.95-E33&lt;E36,"Exceeds 5%","")</f>
      </c>
    </row>
    <row r="37" spans="2:5" ht="15.75">
      <c r="B37" s="538" t="str">
        <f>CONCATENATE(C88,"     ",D88)</f>
        <v>     </v>
      </c>
      <c r="C37" s="731" t="s">
        <v>726</v>
      </c>
      <c r="D37" s="732"/>
      <c r="E37" s="276">
        <f>E33+E36</f>
        <v>467129</v>
      </c>
    </row>
    <row r="38" spans="2:5" ht="15.75">
      <c r="B38" s="538" t="str">
        <f>CONCATENATE(C89,"     ",D89)</f>
        <v>     </v>
      </c>
      <c r="C38" s="332"/>
      <c r="D38" s="252" t="s">
        <v>138</v>
      </c>
      <c r="E38" s="125">
        <f>IF(E37-E22&gt;0,E37-E22,0)</f>
        <v>77068</v>
      </c>
    </row>
    <row r="39" spans="2:5" ht="15.75">
      <c r="B39" s="252"/>
      <c r="C39" s="536" t="s">
        <v>727</v>
      </c>
      <c r="D39" s="508">
        <f>inputOth!$E$24</f>
        <v>0</v>
      </c>
      <c r="E39" s="276">
        <f>ROUND(IF(D39&gt;0,($E$38*D39),0),0)</f>
        <v>0</v>
      </c>
    </row>
    <row r="40" spans="2:5" ht="15.75">
      <c r="B40" s="90"/>
      <c r="C40" s="727" t="str">
        <f>CONCATENATE("Amount of  ",$E$1-1," Ad Valorem Tax")</f>
        <v>Amount of  2011 Ad Valorem Tax</v>
      </c>
      <c r="D40" s="728"/>
      <c r="E40" s="359">
        <f>E38+E39</f>
        <v>77068</v>
      </c>
    </row>
    <row r="41" spans="2:5" ht="15.75">
      <c r="B41" s="89" t="s">
        <v>123</v>
      </c>
      <c r="C41" s="338"/>
      <c r="D41" s="338"/>
      <c r="E41" s="338"/>
    </row>
    <row r="42" spans="2:5" ht="15.75">
      <c r="B42" s="90"/>
      <c r="C42" s="481" t="str">
        <f aca="true" t="shared" si="0" ref="C42:E43">C5</f>
        <v>Prior Year Actual</v>
      </c>
      <c r="D42" s="480" t="str">
        <f t="shared" si="0"/>
        <v>Current Year Estimate</v>
      </c>
      <c r="E42" s="482" t="str">
        <f t="shared" si="0"/>
        <v>Proposed Budget Year</v>
      </c>
    </row>
    <row r="43" spans="2:5" ht="15.75">
      <c r="B43" s="515" t="str">
        <f>inputPrYr!B22</f>
        <v>Historical</v>
      </c>
      <c r="C43" s="461">
        <f t="shared" si="0"/>
        <v>2010</v>
      </c>
      <c r="D43" s="461">
        <f t="shared" si="0"/>
        <v>2011</v>
      </c>
      <c r="E43" s="313">
        <f t="shared" si="0"/>
        <v>2012</v>
      </c>
    </row>
    <row r="44" spans="2:5" ht="15.75">
      <c r="B44" s="153" t="s">
        <v>253</v>
      </c>
      <c r="C44" s="458">
        <v>0</v>
      </c>
      <c r="D44" s="462">
        <f>C71</f>
        <v>0</v>
      </c>
      <c r="E44" s="276">
        <f>D71</f>
        <v>0</v>
      </c>
    </row>
    <row r="45" spans="2:5" ht="15.75">
      <c r="B45" s="314" t="s">
        <v>255</v>
      </c>
      <c r="C45" s="316"/>
      <c r="D45" s="316"/>
      <c r="E45" s="132"/>
    </row>
    <row r="46" spans="2:5" ht="15.75">
      <c r="B46" s="153" t="s">
        <v>124</v>
      </c>
      <c r="C46" s="458">
        <v>36713</v>
      </c>
      <c r="D46" s="462">
        <f>inputPrYr!E22</f>
        <v>37296</v>
      </c>
      <c r="E46" s="348" t="s">
        <v>111</v>
      </c>
    </row>
    <row r="47" spans="2:5" ht="15.75">
      <c r="B47" s="153" t="s">
        <v>125</v>
      </c>
      <c r="C47" s="458">
        <v>304</v>
      </c>
      <c r="D47" s="458">
        <v>0</v>
      </c>
      <c r="E47" s="117">
        <v>0</v>
      </c>
    </row>
    <row r="48" spans="2:5" ht="15.75">
      <c r="B48" s="153" t="s">
        <v>126</v>
      </c>
      <c r="C48" s="458">
        <v>4406</v>
      </c>
      <c r="D48" s="458">
        <v>4333</v>
      </c>
      <c r="E48" s="276">
        <f>mvalloc!D14</f>
        <v>4344</v>
      </c>
    </row>
    <row r="49" spans="2:5" ht="15.75">
      <c r="B49" s="153" t="s">
        <v>127</v>
      </c>
      <c r="C49" s="458">
        <v>72</v>
      </c>
      <c r="D49" s="458">
        <v>67</v>
      </c>
      <c r="E49" s="276">
        <f>mvalloc!E14</f>
        <v>71</v>
      </c>
    </row>
    <row r="50" spans="2:5" ht="15.75">
      <c r="B50" s="316" t="s">
        <v>202</v>
      </c>
      <c r="C50" s="458">
        <v>380</v>
      </c>
      <c r="D50" s="458">
        <v>394</v>
      </c>
      <c r="E50" s="276">
        <f>mvalloc!F14</f>
        <v>392</v>
      </c>
    </row>
    <row r="51" spans="2:5" ht="15.75">
      <c r="B51" s="316" t="s">
        <v>304</v>
      </c>
      <c r="C51" s="458">
        <v>0</v>
      </c>
      <c r="D51" s="458">
        <v>0</v>
      </c>
      <c r="E51" s="276">
        <f>mvalloc!G14</f>
        <v>0</v>
      </c>
    </row>
    <row r="52" spans="2:5" ht="15.75">
      <c r="B52" s="329" t="s">
        <v>709</v>
      </c>
      <c r="C52" s="458">
        <v>2</v>
      </c>
      <c r="D52" s="458">
        <v>1</v>
      </c>
      <c r="E52" s="117">
        <v>2</v>
      </c>
    </row>
    <row r="53" spans="2:5" ht="15.75">
      <c r="B53" s="329"/>
      <c r="C53" s="458"/>
      <c r="D53" s="458"/>
      <c r="E53" s="117"/>
    </row>
    <row r="54" spans="2:5" ht="15.75">
      <c r="B54" s="329"/>
      <c r="C54" s="458"/>
      <c r="D54" s="458"/>
      <c r="E54" s="117"/>
    </row>
    <row r="55" spans="2:5" ht="15.75">
      <c r="B55" s="319" t="s">
        <v>131</v>
      </c>
      <c r="C55" s="458"/>
      <c r="D55" s="458"/>
      <c r="E55" s="117"/>
    </row>
    <row r="56" spans="2:5" ht="15.75">
      <c r="B56" s="320" t="s">
        <v>870</v>
      </c>
      <c r="C56" s="458"/>
      <c r="D56" s="458"/>
      <c r="E56" s="117"/>
    </row>
    <row r="57" spans="2:5" ht="15.75">
      <c r="B57" s="320" t="s">
        <v>722</v>
      </c>
      <c r="C57" s="459">
        <f>IF(C58*0.1&lt;C56,"Exceed 10% Rule","")</f>
      </c>
      <c r="D57" s="459">
        <f>IF(D58*0.1&lt;D56,"Exceed 10% Rule","")</f>
      </c>
      <c r="E57" s="355">
        <f>IF(E58*0.1+E77&lt;E56,"Exceed 10% Rule","")</f>
      </c>
    </row>
    <row r="58" spans="2:5" ht="15.75">
      <c r="B58" s="322" t="s">
        <v>132</v>
      </c>
      <c r="C58" s="460">
        <f>SUM(C46:C56)</f>
        <v>41877</v>
      </c>
      <c r="D58" s="460">
        <f>SUM(D46:D56)</f>
        <v>42091</v>
      </c>
      <c r="E58" s="363">
        <f>SUM(E47:E56)</f>
        <v>4809</v>
      </c>
    </row>
    <row r="59" spans="2:5" ht="15.75">
      <c r="B59" s="322" t="s">
        <v>133</v>
      </c>
      <c r="C59" s="460">
        <f>C44+C58</f>
        <v>41877</v>
      </c>
      <c r="D59" s="460">
        <f>D44+D58</f>
        <v>42091</v>
      </c>
      <c r="E59" s="363">
        <f>E44+E58</f>
        <v>4809</v>
      </c>
    </row>
    <row r="60" spans="2:5" ht="15.75">
      <c r="B60" s="153" t="s">
        <v>136</v>
      </c>
      <c r="C60" s="320"/>
      <c r="D60" s="320"/>
      <c r="E60" s="113"/>
    </row>
    <row r="61" spans="2:5" ht="15.75">
      <c r="B61" s="329" t="s">
        <v>407</v>
      </c>
      <c r="C61" s="458">
        <v>39836</v>
      </c>
      <c r="D61" s="458">
        <v>39095</v>
      </c>
      <c r="E61" s="117">
        <v>41260</v>
      </c>
    </row>
    <row r="62" spans="2:5" ht="15.75">
      <c r="B62" s="329"/>
      <c r="C62" s="458"/>
      <c r="D62" s="458"/>
      <c r="E62" s="117"/>
    </row>
    <row r="63" spans="2:5" ht="15.75">
      <c r="B63" s="329"/>
      <c r="C63" s="458"/>
      <c r="D63" s="458"/>
      <c r="E63" s="117"/>
    </row>
    <row r="64" spans="2:5" ht="15.75">
      <c r="B64" s="329"/>
      <c r="C64" s="458"/>
      <c r="D64" s="458"/>
      <c r="E64" s="117"/>
    </row>
    <row r="65" spans="2:5" ht="15.75">
      <c r="B65" s="329"/>
      <c r="C65" s="458"/>
      <c r="D65" s="458"/>
      <c r="E65" s="117"/>
    </row>
    <row r="66" spans="2:5" ht="15.75">
      <c r="B66" s="329"/>
      <c r="C66" s="458"/>
      <c r="D66" s="458"/>
      <c r="E66" s="117"/>
    </row>
    <row r="67" spans="2:5" ht="15.75">
      <c r="B67" s="320" t="s">
        <v>872</v>
      </c>
      <c r="C67" s="458">
        <v>2041</v>
      </c>
      <c r="D67" s="458">
        <v>2996</v>
      </c>
      <c r="E67" s="125">
        <f>Nhood!E12</f>
        <v>2083</v>
      </c>
    </row>
    <row r="68" spans="2:5" ht="15.75">
      <c r="B68" s="320" t="s">
        <v>870</v>
      </c>
      <c r="C68" s="458"/>
      <c r="D68" s="458"/>
      <c r="E68" s="117"/>
    </row>
    <row r="69" spans="2:5" ht="15.75">
      <c r="B69" s="320" t="s">
        <v>721</v>
      </c>
      <c r="C69" s="459">
        <f>IF(C70*0.1&lt;C68,"Exceed 10% Rule","")</f>
      </c>
      <c r="D69" s="459">
        <f>IF(D70*0.1&lt;D68,"Exceed 10% Rule","")</f>
      </c>
      <c r="E69" s="355">
        <f>IF(E70*0.1&lt;E68,"Exceed 10% Rule","")</f>
      </c>
    </row>
    <row r="70" spans="2:5" ht="15.75">
      <c r="B70" s="322" t="s">
        <v>137</v>
      </c>
      <c r="C70" s="460">
        <f>SUM(C61:C68)</f>
        <v>41877</v>
      </c>
      <c r="D70" s="460">
        <f>SUM(D61:D68)</f>
        <v>42091</v>
      </c>
      <c r="E70" s="363">
        <f>SUM(E61:E68)</f>
        <v>43343</v>
      </c>
    </row>
    <row r="71" spans="2:5" ht="15.75">
      <c r="B71" s="153" t="s">
        <v>254</v>
      </c>
      <c r="C71" s="463">
        <f>C59-C70</f>
        <v>0</v>
      </c>
      <c r="D71" s="463">
        <f>D59-D70</f>
        <v>0</v>
      </c>
      <c r="E71" s="348" t="s">
        <v>111</v>
      </c>
    </row>
    <row r="72" spans="2:6" ht="15.75">
      <c r="B72" s="298" t="str">
        <f>CONCATENATE("",E$1-2,"/",E$1-1," Budget Authority Amount:")</f>
        <v>2010/2011 Budget Authority Amount:</v>
      </c>
      <c r="C72" s="290">
        <f>inputOth!B37</f>
        <v>42448</v>
      </c>
      <c r="D72" s="290">
        <f>inputPrYr!D22</f>
        <v>42091</v>
      </c>
      <c r="E72" s="348" t="s">
        <v>111</v>
      </c>
      <c r="F72" s="331"/>
    </row>
    <row r="73" spans="2:6" ht="15.75">
      <c r="B73" s="298"/>
      <c r="C73" s="729" t="s">
        <v>725</v>
      </c>
      <c r="D73" s="730"/>
      <c r="E73" s="117"/>
      <c r="F73" s="331">
        <f>IF(E70/0.95-E70&lt;E73,"Exceeds 5%","")</f>
      </c>
    </row>
    <row r="74" spans="2:5" ht="15.75">
      <c r="B74" s="537" t="str">
        <f>CONCATENATE(C90,"     ",D90)</f>
        <v>     </v>
      </c>
      <c r="C74" s="731" t="s">
        <v>726</v>
      </c>
      <c r="D74" s="732"/>
      <c r="E74" s="276">
        <f>E70+E73</f>
        <v>43343</v>
      </c>
    </row>
    <row r="75" spans="2:5" ht="15.75">
      <c r="B75" s="537" t="str">
        <f>CONCATENATE(C91,"     ",D91)</f>
        <v>     </v>
      </c>
      <c r="C75" s="332"/>
      <c r="D75" s="252" t="s">
        <v>138</v>
      </c>
      <c r="E75" s="125">
        <f>IF(E74-E59&gt;0,E74-E59,0)</f>
        <v>38534</v>
      </c>
    </row>
    <row r="76" spans="2:5" ht="15.75">
      <c r="B76" s="252"/>
      <c r="C76" s="536" t="s">
        <v>727</v>
      </c>
      <c r="D76" s="508">
        <f>inputOth!$E$24</f>
        <v>0</v>
      </c>
      <c r="E76" s="276">
        <f>ROUND(IF(D76&gt;0,($E$75*D76),0),0)</f>
        <v>0</v>
      </c>
    </row>
    <row r="77" spans="2:5" ht="15.75">
      <c r="B77" s="90"/>
      <c r="C77" s="727" t="str">
        <f>CONCATENATE("Amount of  ",$E$1-1," Ad Valorem Tax")</f>
        <v>Amount of  2011 Ad Valorem Tax</v>
      </c>
      <c r="D77" s="728"/>
      <c r="E77" s="359">
        <f>E75+E76</f>
        <v>38534</v>
      </c>
    </row>
    <row r="78" spans="2:5" ht="15.75">
      <c r="B78" s="298" t="s">
        <v>160</v>
      </c>
      <c r="C78" s="360">
        <v>11</v>
      </c>
      <c r="D78" s="90"/>
      <c r="E78" s="90"/>
    </row>
    <row r="88" spans="3:4" ht="15.75" hidden="1">
      <c r="C88" s="77">
        <f>IF(C33&gt;C35,"See Tab A","")</f>
      </c>
      <c r="D88" s="77">
        <f>IF(D33&gt;D35,"See Tab C","")</f>
      </c>
    </row>
    <row r="89" spans="3:4" ht="15.75" hidden="1">
      <c r="C89" s="77">
        <f>IF(C34&lt;0,"See Tab B","")</f>
      </c>
      <c r="D89" s="77">
        <f>IF(D34&lt;0,"See Tab D","")</f>
      </c>
    </row>
    <row r="90" spans="3:4" ht="15.75" hidden="1">
      <c r="C90" s="77">
        <f>IF(C70&gt;C72,"See Tab A","")</f>
      </c>
      <c r="D90" s="77">
        <f>IF(D70&gt;D72,"See Tab C","")</f>
      </c>
    </row>
    <row r="91" spans="3:4" ht="15.75" hidden="1">
      <c r="C91" s="77">
        <f>IF(C71&lt;0,"See Tab B","")</f>
      </c>
      <c r="D91" s="77">
        <f>IF(D71&lt;0,"See Tab D","")</f>
      </c>
    </row>
  </sheetData>
  <sheetProtection sheet="1"/>
  <mergeCells count="6">
    <mergeCell ref="C77:D77"/>
    <mergeCell ref="C40:D40"/>
    <mergeCell ref="C36:D36"/>
    <mergeCell ref="C37:D37"/>
    <mergeCell ref="C73:D73"/>
    <mergeCell ref="C74:D74"/>
  </mergeCells>
  <conditionalFormatting sqref="E68">
    <cfRule type="cellIs" priority="3" dxfId="405" operator="greaterThan" stopIfTrue="1">
      <formula>$E$70*0.1</formula>
    </cfRule>
  </conditionalFormatting>
  <conditionalFormatting sqref="E73">
    <cfRule type="cellIs" priority="4" dxfId="405" operator="greaterThan" stopIfTrue="1">
      <formula>$E$70/0.95-$E$70</formula>
    </cfRule>
  </conditionalFormatting>
  <conditionalFormatting sqref="E36">
    <cfRule type="cellIs" priority="5" dxfId="405" operator="greaterThan" stopIfTrue="1">
      <formula>$E$33/0.95-$E$33</formula>
    </cfRule>
  </conditionalFormatting>
  <conditionalFormatting sqref="E31">
    <cfRule type="cellIs" priority="6" dxfId="405" operator="greaterThan" stopIfTrue="1">
      <formula>$E$33*0.1</formula>
    </cfRule>
  </conditionalFormatting>
  <conditionalFormatting sqref="C33">
    <cfRule type="cellIs" priority="7" dxfId="2" operator="greaterThan" stopIfTrue="1">
      <formula>$C$35</formula>
    </cfRule>
  </conditionalFormatting>
  <conditionalFormatting sqref="C71 C34">
    <cfRule type="cellIs" priority="8" dxfId="2" operator="lessThan" stopIfTrue="1">
      <formula>0</formula>
    </cfRule>
  </conditionalFormatting>
  <conditionalFormatting sqref="D33">
    <cfRule type="cellIs" priority="9" dxfId="2" operator="greaterThan" stopIfTrue="1">
      <formula>$D$35</formula>
    </cfRule>
  </conditionalFormatting>
  <conditionalFormatting sqref="C70">
    <cfRule type="cellIs" priority="10" dxfId="2" operator="greaterThan" stopIfTrue="1">
      <formula>$C$72</formula>
    </cfRule>
  </conditionalFormatting>
  <conditionalFormatting sqref="D70">
    <cfRule type="cellIs" priority="11" dxfId="2" operator="greaterThan" stopIfTrue="1">
      <formula>$D$72</formula>
    </cfRule>
  </conditionalFormatting>
  <conditionalFormatting sqref="C68">
    <cfRule type="cellIs" priority="12" dxfId="2" operator="greaterThan" stopIfTrue="1">
      <formula>$C$70*0.1</formula>
    </cfRule>
  </conditionalFormatting>
  <conditionalFormatting sqref="D68">
    <cfRule type="cellIs" priority="13" dxfId="2" operator="greaterThan" stopIfTrue="1">
      <formula>$D$70*0.1</formula>
    </cfRule>
  </conditionalFormatting>
  <conditionalFormatting sqref="E56">
    <cfRule type="cellIs" priority="14" dxfId="405" operator="greaterThan" stopIfTrue="1">
      <formula>$E$58*0.1+E77</formula>
    </cfRule>
  </conditionalFormatting>
  <conditionalFormatting sqref="C56">
    <cfRule type="cellIs" priority="15" dxfId="2" operator="greaterThan" stopIfTrue="1">
      <formula>$C$58*0.1</formula>
    </cfRule>
  </conditionalFormatting>
  <conditionalFormatting sqref="D56">
    <cfRule type="cellIs" priority="16" dxfId="2" operator="greaterThan" stopIfTrue="1">
      <formula>$D$58*0.1</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9">
    <cfRule type="cellIs" priority="19" dxfId="405" operator="greaterThan" stopIfTrue="1">
      <formula>$E$21*0.1+E40</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tabSelected="1" zoomScalePageLayoutView="0" workbookViewId="0" topLeftCell="A44">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344"/>
      <c r="D3" s="344"/>
      <c r="E3" s="345"/>
    </row>
    <row r="4" spans="2:5" ht="15.75">
      <c r="B4" s="90"/>
      <c r="C4" s="338"/>
      <c r="D4" s="338"/>
      <c r="E4" s="338"/>
    </row>
    <row r="5" spans="2:5" ht="15.75">
      <c r="B5" s="89" t="s">
        <v>123</v>
      </c>
      <c r="C5" s="481" t="str">
        <f>general!C4</f>
        <v>Prior Year Actual</v>
      </c>
      <c r="D5" s="480" t="str">
        <f>general!D4</f>
        <v>Current Year Estimate</v>
      </c>
      <c r="E5" s="482" t="str">
        <f>general!E4</f>
        <v>Proposed Budget Year</v>
      </c>
    </row>
    <row r="6" spans="2:5" ht="15.75">
      <c r="B6" s="516" t="str">
        <f>inputPrYr!B23</f>
        <v>Employee Benefits</v>
      </c>
      <c r="C6" s="461">
        <f>general!$C$5</f>
        <v>2010</v>
      </c>
      <c r="D6" s="461">
        <f>general!D5</f>
        <v>2011</v>
      </c>
      <c r="E6" s="326">
        <f>general!E5</f>
        <v>2012</v>
      </c>
    </row>
    <row r="7" spans="2:5" ht="15.75">
      <c r="B7" s="153" t="s">
        <v>253</v>
      </c>
      <c r="C7" s="458">
        <v>197987</v>
      </c>
      <c r="D7" s="462">
        <f>C34</f>
        <v>242353</v>
      </c>
      <c r="E7" s="276">
        <f>D34</f>
        <v>35716</v>
      </c>
    </row>
    <row r="8" spans="2:5" ht="15.75">
      <c r="B8" s="301" t="s">
        <v>255</v>
      </c>
      <c r="C8" s="316"/>
      <c r="D8" s="316"/>
      <c r="E8" s="132"/>
    </row>
    <row r="9" spans="2:5" ht="15.75">
      <c r="B9" s="153" t="s">
        <v>124</v>
      </c>
      <c r="C9" s="458">
        <v>1110134</v>
      </c>
      <c r="D9" s="462">
        <f>inputPrYr!E23</f>
        <v>1149029</v>
      </c>
      <c r="E9" s="348" t="s">
        <v>111</v>
      </c>
    </row>
    <row r="10" spans="2:5" ht="15.75">
      <c r="B10" s="153" t="s">
        <v>125</v>
      </c>
      <c r="C10" s="458">
        <v>8475</v>
      </c>
      <c r="D10" s="458">
        <v>0</v>
      </c>
      <c r="E10" s="117">
        <v>0</v>
      </c>
    </row>
    <row r="11" spans="2:5" ht="15.75">
      <c r="B11" s="153" t="s">
        <v>126</v>
      </c>
      <c r="C11" s="458">
        <v>122497</v>
      </c>
      <c r="D11" s="458">
        <v>131153</v>
      </c>
      <c r="E11" s="276">
        <f>mvalloc!D15</f>
        <v>133838</v>
      </c>
    </row>
    <row r="12" spans="2:5" ht="15.75">
      <c r="B12" s="153" t="s">
        <v>127</v>
      </c>
      <c r="C12" s="458">
        <v>2000</v>
      </c>
      <c r="D12" s="458">
        <v>2042</v>
      </c>
      <c r="E12" s="276">
        <f>mvalloc!E15</f>
        <v>2195</v>
      </c>
    </row>
    <row r="13" spans="2:5" ht="15.75">
      <c r="B13" s="316" t="s">
        <v>202</v>
      </c>
      <c r="C13" s="458">
        <v>10515</v>
      </c>
      <c r="D13" s="458">
        <v>11915</v>
      </c>
      <c r="E13" s="276">
        <f>mvalloc!F15</f>
        <v>12078</v>
      </c>
    </row>
    <row r="14" spans="2:5" ht="15.75">
      <c r="B14" s="316" t="s">
        <v>304</v>
      </c>
      <c r="C14" s="458">
        <v>0</v>
      </c>
      <c r="D14" s="458">
        <v>0</v>
      </c>
      <c r="E14" s="276">
        <f>mvalloc!G15</f>
        <v>0</v>
      </c>
    </row>
    <row r="15" spans="2:5" ht="15.75">
      <c r="B15" s="329" t="s">
        <v>709</v>
      </c>
      <c r="C15" s="458">
        <v>53</v>
      </c>
      <c r="D15" s="458">
        <v>25</v>
      </c>
      <c r="E15" s="117">
        <v>64</v>
      </c>
    </row>
    <row r="16" spans="2:5" ht="15.75">
      <c r="B16" s="329" t="s">
        <v>405</v>
      </c>
      <c r="C16" s="458">
        <v>166281</v>
      </c>
      <c r="D16" s="458">
        <v>220000</v>
      </c>
      <c r="E16" s="117">
        <v>210000</v>
      </c>
    </row>
    <row r="17" spans="2:5" ht="15.75">
      <c r="B17" s="329"/>
      <c r="C17" s="458"/>
      <c r="D17" s="458"/>
      <c r="E17" s="117"/>
    </row>
    <row r="18" spans="2:5" ht="15.75">
      <c r="B18" s="319" t="s">
        <v>131</v>
      </c>
      <c r="C18" s="458"/>
      <c r="D18" s="458"/>
      <c r="E18" s="117"/>
    </row>
    <row r="19" spans="2:5" ht="15.75">
      <c r="B19" s="320" t="s">
        <v>870</v>
      </c>
      <c r="C19" s="458"/>
      <c r="D19" s="458"/>
      <c r="E19" s="117"/>
    </row>
    <row r="20" spans="2:5" ht="15.75">
      <c r="B20" s="320" t="s">
        <v>722</v>
      </c>
      <c r="C20" s="459">
        <f>IF(C21*0.1&lt;C19,"Exceed 10% Rule","")</f>
      </c>
      <c r="D20" s="459">
        <f>IF(D21*0.1&lt;D19,"Exceed 10% Rule","")</f>
      </c>
      <c r="E20" s="355">
        <f>IF(E21*0.1+E40&lt;E19,"Exceed 10% Rule","")</f>
      </c>
    </row>
    <row r="21" spans="2:5" ht="15.75">
      <c r="B21" s="322" t="s">
        <v>132</v>
      </c>
      <c r="C21" s="460">
        <f>SUM(C9:C19)</f>
        <v>1419955</v>
      </c>
      <c r="D21" s="460">
        <f>SUM(D9:D19)</f>
        <v>1514164</v>
      </c>
      <c r="E21" s="363">
        <f>SUM(E9:E19)</f>
        <v>358175</v>
      </c>
    </row>
    <row r="22" spans="2:5" ht="15.75">
      <c r="B22" s="322" t="s">
        <v>133</v>
      </c>
      <c r="C22" s="460">
        <f>C7+C21</f>
        <v>1617942</v>
      </c>
      <c r="D22" s="460">
        <f>D7+D21</f>
        <v>1756517</v>
      </c>
      <c r="E22" s="363">
        <f>E7+E21</f>
        <v>393891</v>
      </c>
    </row>
    <row r="23" spans="2:5" ht="15.75">
      <c r="B23" s="153" t="s">
        <v>136</v>
      </c>
      <c r="C23" s="320"/>
      <c r="D23" s="320"/>
      <c r="E23" s="113"/>
    </row>
    <row r="24" spans="2:5" ht="15.75">
      <c r="B24" s="329" t="s">
        <v>408</v>
      </c>
      <c r="C24" s="458">
        <v>223528</v>
      </c>
      <c r="D24" s="458">
        <v>265000</v>
      </c>
      <c r="E24" s="117">
        <v>270000</v>
      </c>
    </row>
    <row r="25" spans="2:5" ht="15.75">
      <c r="B25" s="329" t="s">
        <v>409</v>
      </c>
      <c r="C25" s="458">
        <v>209215</v>
      </c>
      <c r="D25" s="458">
        <v>260000</v>
      </c>
      <c r="E25" s="117">
        <v>280000</v>
      </c>
    </row>
    <row r="26" spans="2:5" ht="15.75">
      <c r="B26" s="329" t="s">
        <v>410</v>
      </c>
      <c r="C26" s="458">
        <v>8670</v>
      </c>
      <c r="D26" s="458">
        <v>19000</v>
      </c>
      <c r="E26" s="117">
        <v>20000</v>
      </c>
    </row>
    <row r="27" spans="2:5" ht="15.75">
      <c r="B27" s="329" t="s">
        <v>411</v>
      </c>
      <c r="C27" s="458">
        <v>82133</v>
      </c>
      <c r="D27" s="458">
        <v>80000</v>
      </c>
      <c r="E27" s="117">
        <v>85000</v>
      </c>
    </row>
    <row r="28" spans="2:5" ht="15.75">
      <c r="B28" s="329" t="s">
        <v>412</v>
      </c>
      <c r="C28" s="458">
        <v>3976</v>
      </c>
      <c r="D28" s="458">
        <v>4500</v>
      </c>
      <c r="E28" s="117">
        <v>5000</v>
      </c>
    </row>
    <row r="29" spans="2:5" ht="15.75">
      <c r="B29" s="329" t="s">
        <v>413</v>
      </c>
      <c r="C29" s="458">
        <v>786366</v>
      </c>
      <c r="D29" s="458">
        <v>1000000</v>
      </c>
      <c r="E29" s="117">
        <v>1150000</v>
      </c>
    </row>
    <row r="30" spans="2:5" ht="15.75">
      <c r="B30" s="320" t="s">
        <v>872</v>
      </c>
      <c r="C30" s="458">
        <v>61701</v>
      </c>
      <c r="D30" s="458">
        <v>92301</v>
      </c>
      <c r="E30" s="125">
        <f>Nhood!E13</f>
        <v>80911</v>
      </c>
    </row>
    <row r="31" spans="2:5" ht="15.75">
      <c r="B31" s="320" t="s">
        <v>870</v>
      </c>
      <c r="C31" s="458"/>
      <c r="D31" s="458"/>
      <c r="E31" s="117"/>
    </row>
    <row r="32" spans="2:5" ht="15.75">
      <c r="B32" s="320" t="s">
        <v>721</v>
      </c>
      <c r="C32" s="459">
        <f>IF(C33*0.1&lt;C31,"Exceed 10% Rule","")</f>
      </c>
      <c r="D32" s="459">
        <f>IF(D33*0.1&lt;D31,"Exceed 10% Rule","")</f>
      </c>
      <c r="E32" s="355">
        <f>IF(E33*0.1&lt;E31,"Exceed 10% Rule","")</f>
      </c>
    </row>
    <row r="33" spans="2:5" ht="15.75">
      <c r="B33" s="322" t="s">
        <v>137</v>
      </c>
      <c r="C33" s="460">
        <f>SUM(C24:C31)</f>
        <v>1375589</v>
      </c>
      <c r="D33" s="460">
        <f>SUM(D24:D31)</f>
        <v>1720801</v>
      </c>
      <c r="E33" s="363">
        <f>SUM(E24:E31)</f>
        <v>1890911</v>
      </c>
    </row>
    <row r="34" spans="2:5" ht="15.75">
      <c r="B34" s="153" t="s">
        <v>254</v>
      </c>
      <c r="C34" s="463">
        <f>C22-C33</f>
        <v>242353</v>
      </c>
      <c r="D34" s="463">
        <f>D22-D33</f>
        <v>35716</v>
      </c>
      <c r="E34" s="348" t="s">
        <v>111</v>
      </c>
    </row>
    <row r="35" spans="2:6" ht="15.75">
      <c r="B35" s="298" t="str">
        <f>CONCATENATE("",E$1-2,"/",E$1-1," Budget Authority Amount:")</f>
        <v>2010/2011 Budget Authority Amount:</v>
      </c>
      <c r="C35" s="290">
        <f>inputOth!B38</f>
        <v>1535298</v>
      </c>
      <c r="D35" s="290">
        <f>inputPrYr!D23</f>
        <v>1583301</v>
      </c>
      <c r="E35" s="348" t="s">
        <v>111</v>
      </c>
      <c r="F35" s="331"/>
    </row>
    <row r="36" spans="2:6" ht="15.75">
      <c r="B36" s="298"/>
      <c r="C36" s="729" t="s">
        <v>725</v>
      </c>
      <c r="D36" s="730"/>
      <c r="E36" s="117"/>
      <c r="F36" s="331">
        <f>IF(E33/0.95-E33&lt;E36,"Exceeds 5%","")</f>
      </c>
    </row>
    <row r="37" spans="2:5" ht="15.75">
      <c r="B37" s="538" t="str">
        <f>CONCATENATE(C88,"     ",D88)</f>
        <v>     See Tab C</v>
      </c>
      <c r="C37" s="731" t="s">
        <v>726</v>
      </c>
      <c r="D37" s="732"/>
      <c r="E37" s="276">
        <f>E33+E36</f>
        <v>1890911</v>
      </c>
    </row>
    <row r="38" spans="2:5" ht="15.75">
      <c r="B38" s="538" t="str">
        <f>CONCATENATE(C89,"     ",D89)</f>
        <v>     </v>
      </c>
      <c r="C38" s="332"/>
      <c r="D38" s="252" t="s">
        <v>138</v>
      </c>
      <c r="E38" s="125">
        <f>IF(E37-E22&gt;0,E37-E22,0)</f>
        <v>1497020</v>
      </c>
    </row>
    <row r="39" spans="2:5" ht="15.75">
      <c r="B39" s="252"/>
      <c r="C39" s="536" t="s">
        <v>727</v>
      </c>
      <c r="D39" s="508">
        <f>inputOth!$E$24</f>
        <v>0</v>
      </c>
      <c r="E39" s="276">
        <f>ROUND(IF(D39&gt;0,($E$38*D39),0),0)</f>
        <v>0</v>
      </c>
    </row>
    <row r="40" spans="2:5" ht="15.75">
      <c r="B40" s="90"/>
      <c r="C40" s="727" t="str">
        <f>CONCATENATE("Amount of  ",$E$1-1," Ad Valorem Tax")</f>
        <v>Amount of  2011 Ad Valorem Tax</v>
      </c>
      <c r="D40" s="728"/>
      <c r="E40" s="359">
        <f>E38+E39</f>
        <v>1497020</v>
      </c>
    </row>
    <row r="41" spans="2:5" ht="15.75">
      <c r="B41" s="90"/>
      <c r="C41" s="338"/>
      <c r="D41" s="338"/>
      <c r="E41" s="338"/>
    </row>
    <row r="42" spans="2:5" ht="15.75">
      <c r="B42" s="89" t="s">
        <v>123</v>
      </c>
      <c r="C42" s="481" t="str">
        <f aca="true" t="shared" si="0" ref="C42:E43">C5</f>
        <v>Prior Year Actual</v>
      </c>
      <c r="D42" s="480" t="str">
        <f t="shared" si="0"/>
        <v>Current Year Estimate</v>
      </c>
      <c r="E42" s="482" t="str">
        <f t="shared" si="0"/>
        <v>Proposed Budget Year</v>
      </c>
    </row>
    <row r="43" spans="2:5" ht="15.75">
      <c r="B43" s="516" t="str">
        <f>inputPrYr!B24</f>
        <v>Economic Development</v>
      </c>
      <c r="C43" s="461">
        <f t="shared" si="0"/>
        <v>2010</v>
      </c>
      <c r="D43" s="461">
        <f t="shared" si="0"/>
        <v>2011</v>
      </c>
      <c r="E43" s="326">
        <f t="shared" si="0"/>
        <v>2012</v>
      </c>
    </row>
    <row r="44" spans="2:5" ht="15.75">
      <c r="B44" s="153" t="s">
        <v>253</v>
      </c>
      <c r="C44" s="458">
        <v>283937</v>
      </c>
      <c r="D44" s="462">
        <f>C71</f>
        <v>220551</v>
      </c>
      <c r="E44" s="276">
        <f>D71</f>
        <v>124500</v>
      </c>
    </row>
    <row r="45" spans="2:5" ht="15.75">
      <c r="B45" s="301" t="s">
        <v>255</v>
      </c>
      <c r="C45" s="316"/>
      <c r="D45" s="316"/>
      <c r="E45" s="132"/>
    </row>
    <row r="46" spans="2:5" ht="15.75">
      <c r="B46" s="153" t="s">
        <v>124</v>
      </c>
      <c r="C46" s="458">
        <v>73426</v>
      </c>
      <c r="D46" s="462">
        <f>inputPrYr!E24</f>
        <v>7459</v>
      </c>
      <c r="E46" s="348" t="s">
        <v>111</v>
      </c>
    </row>
    <row r="47" spans="2:5" ht="15.75">
      <c r="B47" s="153" t="s">
        <v>125</v>
      </c>
      <c r="C47" s="458">
        <v>828</v>
      </c>
      <c r="D47" s="458">
        <v>0</v>
      </c>
      <c r="E47" s="117">
        <v>0</v>
      </c>
    </row>
    <row r="48" spans="2:5" ht="15.75">
      <c r="B48" s="153" t="s">
        <v>126</v>
      </c>
      <c r="C48" s="458">
        <v>12879</v>
      </c>
      <c r="D48" s="458">
        <v>8665</v>
      </c>
      <c r="E48" s="276">
        <f>mvalloc!D16</f>
        <v>869</v>
      </c>
    </row>
    <row r="49" spans="2:5" ht="15.75">
      <c r="B49" s="153" t="s">
        <v>127</v>
      </c>
      <c r="C49" s="458">
        <v>210</v>
      </c>
      <c r="D49" s="458">
        <v>135</v>
      </c>
      <c r="E49" s="276">
        <f>mvalloc!E16</f>
        <v>14</v>
      </c>
    </row>
    <row r="50" spans="2:5" ht="15.75">
      <c r="B50" s="316" t="s">
        <v>202</v>
      </c>
      <c r="C50" s="458">
        <v>1140</v>
      </c>
      <c r="D50" s="458">
        <v>787</v>
      </c>
      <c r="E50" s="276">
        <f>mvalloc!F16</f>
        <v>78</v>
      </c>
    </row>
    <row r="51" spans="2:5" ht="15.75">
      <c r="B51" s="316" t="s">
        <v>304</v>
      </c>
      <c r="C51" s="458">
        <v>0</v>
      </c>
      <c r="D51" s="458">
        <v>0</v>
      </c>
      <c r="E51" s="276">
        <f>mvalloc!G16</f>
        <v>0</v>
      </c>
    </row>
    <row r="52" spans="2:5" ht="15.75">
      <c r="B52" s="329" t="s">
        <v>709</v>
      </c>
      <c r="C52" s="458">
        <v>6</v>
      </c>
      <c r="D52" s="458">
        <v>2</v>
      </c>
      <c r="E52" s="117">
        <v>0</v>
      </c>
    </row>
    <row r="53" spans="2:5" ht="15.75">
      <c r="B53" s="329" t="s">
        <v>405</v>
      </c>
      <c r="C53" s="458">
        <v>19139</v>
      </c>
      <c r="D53" s="458">
        <v>0</v>
      </c>
      <c r="E53" s="117">
        <v>0</v>
      </c>
    </row>
    <row r="54" spans="2:5" ht="15.75">
      <c r="B54" s="329"/>
      <c r="C54" s="458"/>
      <c r="D54" s="458"/>
      <c r="E54" s="117"/>
    </row>
    <row r="55" spans="2:5" ht="15.75">
      <c r="B55" s="319" t="s">
        <v>131</v>
      </c>
      <c r="C55" s="458"/>
      <c r="D55" s="458"/>
      <c r="E55" s="117"/>
    </row>
    <row r="56" spans="2:5" ht="15.75">
      <c r="B56" s="320" t="s">
        <v>870</v>
      </c>
      <c r="C56" s="458"/>
      <c r="D56" s="458"/>
      <c r="E56" s="117"/>
    </row>
    <row r="57" spans="2:5" ht="15.75">
      <c r="B57" s="320" t="s">
        <v>722</v>
      </c>
      <c r="C57" s="459">
        <f>IF(C58*0.1&lt;C56,"Exceed 10% Rule","")</f>
      </c>
      <c r="D57" s="459">
        <f>IF(D58*0.1&lt;D56,"Exceed 10% Rule","")</f>
      </c>
      <c r="E57" s="355">
        <f>IF(E58*0.1+E77&lt;E56,"Exceed 10% Rule","")</f>
      </c>
    </row>
    <row r="58" spans="2:5" ht="15.75">
      <c r="B58" s="322" t="s">
        <v>132</v>
      </c>
      <c r="C58" s="460">
        <f>SUM(C46:C56)</f>
        <v>107628</v>
      </c>
      <c r="D58" s="460">
        <f>SUM(D46:D56)</f>
        <v>17048</v>
      </c>
      <c r="E58" s="363">
        <f>SUM(E46:E56)</f>
        <v>961</v>
      </c>
    </row>
    <row r="59" spans="2:5" ht="15.75">
      <c r="B59" s="322" t="s">
        <v>133</v>
      </c>
      <c r="C59" s="460">
        <f>C44+C58</f>
        <v>391565</v>
      </c>
      <c r="D59" s="460">
        <f>D44+D58</f>
        <v>237599</v>
      </c>
      <c r="E59" s="363">
        <f>E44+E58</f>
        <v>125461</v>
      </c>
    </row>
    <row r="60" spans="2:5" ht="15.75">
      <c r="B60" s="153" t="s">
        <v>136</v>
      </c>
      <c r="C60" s="320"/>
      <c r="D60" s="320"/>
      <c r="E60" s="113"/>
    </row>
    <row r="61" spans="2:5" ht="15.75">
      <c r="B61" s="115" t="s">
        <v>401</v>
      </c>
      <c r="C61" s="458">
        <v>20105</v>
      </c>
      <c r="D61" s="458">
        <v>112500</v>
      </c>
      <c r="E61" s="117">
        <v>115601</v>
      </c>
    </row>
    <row r="62" spans="2:5" ht="15.75">
      <c r="B62" s="115" t="s">
        <v>402</v>
      </c>
      <c r="C62" s="458">
        <v>130357</v>
      </c>
      <c r="D62" s="458">
        <v>0</v>
      </c>
      <c r="E62" s="117">
        <v>0</v>
      </c>
    </row>
    <row r="63" spans="2:5" ht="15.75">
      <c r="B63" s="115" t="s">
        <v>403</v>
      </c>
      <c r="C63" s="458">
        <v>16471</v>
      </c>
      <c r="D63" s="458">
        <v>0</v>
      </c>
      <c r="E63" s="117">
        <v>0</v>
      </c>
    </row>
    <row r="64" spans="2:5" ht="15.75">
      <c r="B64" s="115" t="s">
        <v>404</v>
      </c>
      <c r="C64" s="458">
        <v>0</v>
      </c>
      <c r="D64" s="458">
        <v>0</v>
      </c>
      <c r="E64" s="117">
        <v>82763</v>
      </c>
    </row>
    <row r="65" spans="2:5" ht="15.75">
      <c r="B65" s="329"/>
      <c r="C65" s="458"/>
      <c r="D65" s="458"/>
      <c r="E65" s="117"/>
    </row>
    <row r="66" spans="2:5" ht="15.75">
      <c r="B66" s="329"/>
      <c r="C66" s="458"/>
      <c r="D66" s="458"/>
      <c r="E66" s="117"/>
    </row>
    <row r="67" spans="2:5" ht="15.75">
      <c r="B67" s="320" t="s">
        <v>872</v>
      </c>
      <c r="C67" s="458">
        <v>4081</v>
      </c>
      <c r="D67" s="458">
        <v>599</v>
      </c>
      <c r="E67" s="125">
        <f>Nhood!E14</f>
        <v>4165</v>
      </c>
    </row>
    <row r="68" spans="2:5" ht="15.75">
      <c r="B68" s="320" t="s">
        <v>870</v>
      </c>
      <c r="C68" s="458"/>
      <c r="D68" s="458"/>
      <c r="E68" s="117"/>
    </row>
    <row r="69" spans="2:5" ht="15.75">
      <c r="B69" s="320" t="s">
        <v>721</v>
      </c>
      <c r="C69" s="459">
        <f>IF(C70*0.1&lt;C68,"Exceed 10% Rule","")</f>
      </c>
      <c r="D69" s="459">
        <f>IF(D70*0.1&lt;D68,"Exceed 10% Rule","")</f>
      </c>
      <c r="E69" s="355">
        <f>IF(E70*0.1&lt;E68,"Exceed 10% Rule","")</f>
      </c>
    </row>
    <row r="70" spans="2:5" ht="15.75">
      <c r="B70" s="322" t="s">
        <v>137</v>
      </c>
      <c r="C70" s="460">
        <f>SUM(C61:C68)</f>
        <v>171014</v>
      </c>
      <c r="D70" s="460">
        <f>SUM(D61:D68)</f>
        <v>113099</v>
      </c>
      <c r="E70" s="363">
        <f>SUM(E61:E68)</f>
        <v>202529</v>
      </c>
    </row>
    <row r="71" spans="2:5" ht="15.75">
      <c r="B71" s="153" t="s">
        <v>254</v>
      </c>
      <c r="C71" s="463">
        <f>C59-C70</f>
        <v>220551</v>
      </c>
      <c r="D71" s="463">
        <f>D59-D70</f>
        <v>124500</v>
      </c>
      <c r="E71" s="348" t="s">
        <v>111</v>
      </c>
    </row>
    <row r="72" spans="2:6" ht="15.75">
      <c r="B72" s="298" t="str">
        <f>CONCATENATE("",E$1-2,"/",E$1-1," Budget Authority Amount:")</f>
        <v>2010/2011 Budget Authority Amount:</v>
      </c>
      <c r="C72" s="290">
        <f>inputOth!B39</f>
        <v>309042</v>
      </c>
      <c r="D72" s="290">
        <f>inputPrYr!D24</f>
        <v>278818</v>
      </c>
      <c r="E72" s="348" t="s">
        <v>111</v>
      </c>
      <c r="F72" s="331"/>
    </row>
    <row r="73" spans="2:6" ht="15.75">
      <c r="B73" s="298"/>
      <c r="C73" s="729" t="s">
        <v>725</v>
      </c>
      <c r="D73" s="730"/>
      <c r="E73" s="117"/>
      <c r="F73" s="331">
        <f>IF(E70/0.95-E70&lt;E73,"Exceeds 5%","")</f>
      </c>
    </row>
    <row r="74" spans="2:5" ht="15.75">
      <c r="B74" s="537" t="str">
        <f>CONCATENATE(C90,"     ",D90)</f>
        <v>     </v>
      </c>
      <c r="C74" s="731" t="s">
        <v>726</v>
      </c>
      <c r="D74" s="732"/>
      <c r="E74" s="276">
        <f>E70+E73</f>
        <v>202529</v>
      </c>
    </row>
    <row r="75" spans="2:5" ht="15.75">
      <c r="B75" s="537" t="str">
        <f>CONCATENATE(C91,"     ",D91)</f>
        <v>     </v>
      </c>
      <c r="C75" s="332"/>
      <c r="D75" s="252" t="s">
        <v>138</v>
      </c>
      <c r="E75" s="125">
        <f>IF(E74-E59&gt;0,E74-E59,0)</f>
        <v>77068</v>
      </c>
    </row>
    <row r="76" spans="2:5" ht="15.75">
      <c r="B76" s="252"/>
      <c r="C76" s="536" t="s">
        <v>727</v>
      </c>
      <c r="D76" s="508">
        <f>inputOth!$E$24</f>
        <v>0</v>
      </c>
      <c r="E76" s="276">
        <f>ROUND(IF(D76&gt;0,($E$75*D76),0),0)</f>
        <v>0</v>
      </c>
    </row>
    <row r="77" spans="2:5" ht="15.75">
      <c r="B77" s="90"/>
      <c r="C77" s="727" t="str">
        <f>CONCATENATE("Amount of  ",$E$1-1," Ad Valorem Tax")</f>
        <v>Amount of  2011 Ad Valorem Tax</v>
      </c>
      <c r="D77" s="728"/>
      <c r="E77" s="359">
        <f>E75+E76</f>
        <v>77068</v>
      </c>
    </row>
    <row r="78" spans="2:5" ht="15.75">
      <c r="B78" s="298" t="s">
        <v>160</v>
      </c>
      <c r="C78" s="360">
        <v>12</v>
      </c>
      <c r="D78" s="90"/>
      <c r="E78" s="90"/>
    </row>
    <row r="88" spans="3:4" ht="15.75" hidden="1">
      <c r="C88" s="77">
        <f>IF(C33&gt;C35,"See Tab A","")</f>
      </c>
      <c r="D88" s="77" t="str">
        <f>IF(D33&gt;D35,"See Tab C","")</f>
        <v>See Tab C</v>
      </c>
    </row>
    <row r="89" spans="3:4" ht="15.75" hidden="1">
      <c r="C89" s="77">
        <f>IF(C34&lt;0,"See Tab B","")</f>
      </c>
      <c r="D89" s="77">
        <f>IF(D34&lt;0,"See Tab D","")</f>
      </c>
    </row>
    <row r="90" spans="3:4" ht="15.75" hidden="1">
      <c r="C90" s="77">
        <f>IF(C70&gt;C72,"See Tab A","")</f>
      </c>
      <c r="D90" s="77">
        <f>IF(D70&gt;D72,"See Tab C","")</f>
      </c>
    </row>
    <row r="91" spans="3:4" ht="15.75" hidden="1">
      <c r="C91" s="77">
        <f>IF(C71&lt;0,"See Tab B","")</f>
      </c>
      <c r="D91" s="77">
        <f>IF(D71&lt;0,"See Tab D","")</f>
      </c>
    </row>
  </sheetData>
  <sheetProtection/>
  <mergeCells count="6">
    <mergeCell ref="C77:D77"/>
    <mergeCell ref="C40:D40"/>
    <mergeCell ref="C36:D36"/>
    <mergeCell ref="C37:D37"/>
    <mergeCell ref="C73:D73"/>
    <mergeCell ref="C74:D74"/>
  </mergeCells>
  <conditionalFormatting sqref="E68">
    <cfRule type="cellIs" priority="3" dxfId="405" operator="greaterThan" stopIfTrue="1">
      <formula>$E$70*0.1</formula>
    </cfRule>
  </conditionalFormatting>
  <conditionalFormatting sqref="E73">
    <cfRule type="cellIs" priority="4" dxfId="405" operator="greaterThan" stopIfTrue="1">
      <formula>$E$70/0.95-$E$70</formula>
    </cfRule>
  </conditionalFormatting>
  <conditionalFormatting sqref="E36">
    <cfRule type="cellIs" priority="5" dxfId="405" operator="greaterThan" stopIfTrue="1">
      <formula>$E$33/0.95-$E$33</formula>
    </cfRule>
  </conditionalFormatting>
  <conditionalFormatting sqref="E31">
    <cfRule type="cellIs" priority="6" dxfId="405" operator="greaterThan" stopIfTrue="1">
      <formula>$E$33*0.1</formula>
    </cfRule>
  </conditionalFormatting>
  <conditionalFormatting sqref="C71 C34">
    <cfRule type="cellIs" priority="7" dxfId="2" operator="lessThan" stopIfTrue="1">
      <formula>0</formula>
    </cfRule>
  </conditionalFormatting>
  <conditionalFormatting sqref="C70">
    <cfRule type="cellIs" priority="8" dxfId="2" operator="greaterThan" stopIfTrue="1">
      <formula>$C$72</formula>
    </cfRule>
  </conditionalFormatting>
  <conditionalFormatting sqref="D70">
    <cfRule type="cellIs" priority="9" dxfId="2" operator="greaterThan" stopIfTrue="1">
      <formula>$D$72</formula>
    </cfRule>
  </conditionalFormatting>
  <conditionalFormatting sqref="C68">
    <cfRule type="cellIs" priority="10" dxfId="2" operator="greaterThan" stopIfTrue="1">
      <formula>$C$70*0.1</formula>
    </cfRule>
  </conditionalFormatting>
  <conditionalFormatting sqref="D68">
    <cfRule type="cellIs" priority="11" dxfId="2" operator="greaterThan" stopIfTrue="1">
      <formula>$D$70*0.1</formula>
    </cfRule>
  </conditionalFormatting>
  <conditionalFormatting sqref="E56">
    <cfRule type="cellIs" priority="12" dxfId="405" operator="greaterThan" stopIfTrue="1">
      <formula>$E$58*0.1+E77</formula>
    </cfRule>
  </conditionalFormatting>
  <conditionalFormatting sqref="C56">
    <cfRule type="cellIs" priority="13" dxfId="2" operator="greaterThan" stopIfTrue="1">
      <formula>$C$58*0.1</formula>
    </cfRule>
  </conditionalFormatting>
  <conditionalFormatting sqref="D56">
    <cfRule type="cellIs" priority="14" dxfId="2" operator="greaterThan" stopIfTrue="1">
      <formula>$D$58*0.1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9">
    <cfRule type="cellIs" priority="19" dxfId="405" operator="greaterThan" stopIfTrue="1">
      <formula>$E$21*0.1+E40</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1"/>
  <sheetViews>
    <sheetView tabSelected="1" zoomScalePageLayoutView="0" workbookViewId="0" topLeftCell="A42">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344"/>
      <c r="D3" s="344"/>
      <c r="E3" s="345"/>
    </row>
    <row r="4" spans="2:5" ht="15.75">
      <c r="B4" s="90"/>
      <c r="C4" s="338"/>
      <c r="D4" s="338"/>
      <c r="E4" s="338"/>
    </row>
    <row r="5" spans="2:5" ht="15.75">
      <c r="B5" s="89" t="s">
        <v>123</v>
      </c>
      <c r="C5" s="481" t="str">
        <f>general!C4</f>
        <v>Prior Year Actual</v>
      </c>
      <c r="D5" s="480" t="str">
        <f>general!D4</f>
        <v>Current Year Estimate</v>
      </c>
      <c r="E5" s="482" t="str">
        <f>general!E4</f>
        <v>Proposed Budget Year</v>
      </c>
    </row>
    <row r="6" spans="2:5" ht="15.75">
      <c r="B6" s="516" t="str">
        <f>inputPrYr!B25</f>
        <v>Special Bridge</v>
      </c>
      <c r="C6" s="461">
        <f>general!$C$5</f>
        <v>2010</v>
      </c>
      <c r="D6" s="461">
        <f>general!D5</f>
        <v>2011</v>
      </c>
      <c r="E6" s="313">
        <f>general!E5</f>
        <v>2012</v>
      </c>
    </row>
    <row r="7" spans="2:5" ht="15.75">
      <c r="B7" s="153" t="s">
        <v>253</v>
      </c>
      <c r="C7" s="458">
        <v>166734</v>
      </c>
      <c r="D7" s="462">
        <f>C34</f>
        <v>103495</v>
      </c>
      <c r="E7" s="276">
        <f>D34</f>
        <v>67126</v>
      </c>
    </row>
    <row r="8" spans="2:5" ht="15.75">
      <c r="B8" s="301" t="s">
        <v>255</v>
      </c>
      <c r="C8" s="316"/>
      <c r="D8" s="316"/>
      <c r="E8" s="132"/>
    </row>
    <row r="9" spans="2:5" ht="15.75">
      <c r="B9" s="153" t="s">
        <v>124</v>
      </c>
      <c r="C9" s="458">
        <v>110140</v>
      </c>
      <c r="D9" s="462">
        <f>inputPrYr!E25</f>
        <v>111888</v>
      </c>
      <c r="E9" s="348" t="s">
        <v>111</v>
      </c>
    </row>
    <row r="10" spans="2:5" ht="15.75">
      <c r="B10" s="153" t="s">
        <v>125</v>
      </c>
      <c r="C10" s="458">
        <v>885</v>
      </c>
      <c r="D10" s="458">
        <v>0</v>
      </c>
      <c r="E10" s="117">
        <v>0</v>
      </c>
    </row>
    <row r="11" spans="2:5" ht="15.75">
      <c r="B11" s="153" t="s">
        <v>126</v>
      </c>
      <c r="C11" s="458">
        <v>13247</v>
      </c>
      <c r="D11" s="458">
        <v>12998</v>
      </c>
      <c r="E11" s="276">
        <f>mvalloc!D17</f>
        <v>13033</v>
      </c>
    </row>
    <row r="12" spans="2:5" ht="15.75">
      <c r="B12" s="153" t="s">
        <v>127</v>
      </c>
      <c r="C12" s="458">
        <v>216</v>
      </c>
      <c r="D12" s="458">
        <v>202</v>
      </c>
      <c r="E12" s="276">
        <f>mvalloc!E17</f>
        <v>214</v>
      </c>
    </row>
    <row r="13" spans="2:5" ht="15.75">
      <c r="B13" s="316" t="s">
        <v>202</v>
      </c>
      <c r="C13" s="458">
        <v>1165</v>
      </c>
      <c r="D13" s="458">
        <v>1181</v>
      </c>
      <c r="E13" s="276">
        <f>mvalloc!F17</f>
        <v>1176</v>
      </c>
    </row>
    <row r="14" spans="2:5" ht="15.75">
      <c r="B14" s="316" t="s">
        <v>304</v>
      </c>
      <c r="C14" s="458">
        <v>0</v>
      </c>
      <c r="D14" s="458">
        <v>0</v>
      </c>
      <c r="E14" s="276">
        <f>mvalloc!G17</f>
        <v>0</v>
      </c>
    </row>
    <row r="15" spans="2:5" ht="15.75">
      <c r="B15" s="329" t="s">
        <v>709</v>
      </c>
      <c r="C15" s="458">
        <v>6</v>
      </c>
      <c r="D15" s="458">
        <v>2</v>
      </c>
      <c r="E15" s="117">
        <v>6</v>
      </c>
    </row>
    <row r="16" spans="2:5" ht="15.75">
      <c r="B16" s="329"/>
      <c r="C16" s="458"/>
      <c r="D16" s="458"/>
      <c r="E16" s="117"/>
    </row>
    <row r="17" spans="2:5" ht="15.75">
      <c r="B17" s="329"/>
      <c r="C17" s="458"/>
      <c r="D17" s="458"/>
      <c r="E17" s="117"/>
    </row>
    <row r="18" spans="2:5" ht="15.75">
      <c r="B18" s="319" t="s">
        <v>131</v>
      </c>
      <c r="C18" s="458"/>
      <c r="D18" s="458"/>
      <c r="E18" s="117"/>
    </row>
    <row r="19" spans="2:5" ht="15.75">
      <c r="B19" s="320" t="s">
        <v>870</v>
      </c>
      <c r="C19" s="458"/>
      <c r="D19" s="458"/>
      <c r="E19" s="117"/>
    </row>
    <row r="20" spans="2:5" ht="15.75">
      <c r="B20" s="320" t="s">
        <v>722</v>
      </c>
      <c r="C20" s="459">
        <f>IF(C21*0.1&lt;C19,"Exceed 10% Rule","")</f>
      </c>
      <c r="D20" s="459">
        <f>IF(D21*0.1&lt;D19,"Exceed 10% Rule","")</f>
      </c>
      <c r="E20" s="355">
        <f>IF(E21*0.1+E40&lt;E19,"Exceed 10% Rule","")</f>
      </c>
    </row>
    <row r="21" spans="2:5" ht="15.75">
      <c r="B21" s="322" t="s">
        <v>132</v>
      </c>
      <c r="C21" s="460">
        <f>SUM(C9:C19)</f>
        <v>125659</v>
      </c>
      <c r="D21" s="460">
        <f>SUM(D9:D19)</f>
        <v>126271</v>
      </c>
      <c r="E21" s="363">
        <f>SUM(E9:E19)</f>
        <v>14429</v>
      </c>
    </row>
    <row r="22" spans="2:5" ht="15.75">
      <c r="B22" s="322" t="s">
        <v>133</v>
      </c>
      <c r="C22" s="460">
        <f>C7+C21</f>
        <v>292393</v>
      </c>
      <c r="D22" s="460">
        <f>D7+D21</f>
        <v>229766</v>
      </c>
      <c r="E22" s="363">
        <f>E7+E21</f>
        <v>81555</v>
      </c>
    </row>
    <row r="23" spans="2:5" ht="15.75">
      <c r="B23" s="153" t="s">
        <v>136</v>
      </c>
      <c r="C23" s="320"/>
      <c r="D23" s="320"/>
      <c r="E23" s="113"/>
    </row>
    <row r="24" spans="2:5" ht="15.75">
      <c r="B24" s="329" t="s">
        <v>417</v>
      </c>
      <c r="C24" s="458">
        <v>120858</v>
      </c>
      <c r="D24" s="458">
        <v>0</v>
      </c>
      <c r="E24" s="117">
        <v>115601</v>
      </c>
    </row>
    <row r="25" spans="2:5" ht="15.75">
      <c r="B25" s="329" t="s">
        <v>403</v>
      </c>
      <c r="C25" s="458">
        <v>61919</v>
      </c>
      <c r="D25" s="458">
        <v>153652</v>
      </c>
      <c r="E25" s="117">
        <v>0</v>
      </c>
    </row>
    <row r="26" spans="2:5" ht="15.75">
      <c r="B26" s="329" t="s">
        <v>404</v>
      </c>
      <c r="C26" s="458">
        <v>0</v>
      </c>
      <c r="D26" s="458">
        <v>0</v>
      </c>
      <c r="E26" s="117">
        <v>38857</v>
      </c>
    </row>
    <row r="27" spans="2:5" ht="15.75">
      <c r="B27" s="329"/>
      <c r="C27" s="458"/>
      <c r="D27" s="458"/>
      <c r="E27" s="117"/>
    </row>
    <row r="28" spans="2:5" ht="15.75">
      <c r="B28" s="329"/>
      <c r="C28" s="458"/>
      <c r="D28" s="458"/>
      <c r="E28" s="117"/>
    </row>
    <row r="29" spans="2:5" ht="15.75">
      <c r="B29" s="329"/>
      <c r="C29" s="458"/>
      <c r="D29" s="458"/>
      <c r="E29" s="117"/>
    </row>
    <row r="30" spans="2:5" ht="15.75">
      <c r="B30" s="320" t="s">
        <v>872</v>
      </c>
      <c r="C30" s="458">
        <v>6121</v>
      </c>
      <c r="D30" s="458">
        <v>8988</v>
      </c>
      <c r="E30" s="125">
        <f>Nhood!E15</f>
        <v>4165</v>
      </c>
    </row>
    <row r="31" spans="2:5" ht="15.75">
      <c r="B31" s="320" t="s">
        <v>870</v>
      </c>
      <c r="C31" s="458"/>
      <c r="D31" s="458"/>
      <c r="E31" s="117"/>
    </row>
    <row r="32" spans="2:5" ht="15.75">
      <c r="B32" s="320" t="s">
        <v>721</v>
      </c>
      <c r="C32" s="459">
        <f>IF(C33*0.1&lt;C31,"Exceed 10% Rule","")</f>
      </c>
      <c r="D32" s="459">
        <f>IF(D33*0.1&lt;D31,"Exceed 10% Rule","")</f>
      </c>
      <c r="E32" s="355">
        <f>IF(E33*0.1&lt;E31,"Exceed 10% Rule","")</f>
      </c>
    </row>
    <row r="33" spans="2:5" ht="15.75">
      <c r="B33" s="322" t="s">
        <v>137</v>
      </c>
      <c r="C33" s="460">
        <f>SUM(C24:C31)</f>
        <v>188898</v>
      </c>
      <c r="D33" s="460">
        <f>SUM(D24:D31)</f>
        <v>162640</v>
      </c>
      <c r="E33" s="363">
        <f>SUM(E24:E31)</f>
        <v>158623</v>
      </c>
    </row>
    <row r="34" spans="2:5" ht="15.75">
      <c r="B34" s="153" t="s">
        <v>254</v>
      </c>
      <c r="C34" s="463">
        <f>C22-C33</f>
        <v>103495</v>
      </c>
      <c r="D34" s="463">
        <f>D22-D33</f>
        <v>67126</v>
      </c>
      <c r="E34" s="348" t="s">
        <v>111</v>
      </c>
    </row>
    <row r="35" spans="2:6" ht="15.75">
      <c r="B35" s="298" t="str">
        <f>CONCATENATE("",E$1-2,"/",E$1-1," Budget Authority Amount:")</f>
        <v>2010/2011 Budget Authority Amount:</v>
      </c>
      <c r="C35" s="290">
        <f>inputOth!B40</f>
        <v>300711</v>
      </c>
      <c r="D35" s="290">
        <f>inputPrYr!D25</f>
        <v>264968</v>
      </c>
      <c r="E35" s="348" t="s">
        <v>111</v>
      </c>
      <c r="F35" s="331"/>
    </row>
    <row r="36" spans="2:6" ht="15.75">
      <c r="B36" s="298"/>
      <c r="C36" s="729" t="s">
        <v>725</v>
      </c>
      <c r="D36" s="730"/>
      <c r="E36" s="117"/>
      <c r="F36" s="331">
        <f>IF(E33/0.95-E33&lt;E36,"Exceeds 5%","")</f>
      </c>
    </row>
    <row r="37" spans="2:5" ht="15.75">
      <c r="B37" s="538" t="str">
        <f>CONCATENATE(C88,"     ",D88)</f>
        <v>     </v>
      </c>
      <c r="C37" s="731" t="s">
        <v>726</v>
      </c>
      <c r="D37" s="732"/>
      <c r="E37" s="276">
        <f>E33+E36</f>
        <v>158623</v>
      </c>
    </row>
    <row r="38" spans="2:5" ht="15.75">
      <c r="B38" s="538" t="str">
        <f>CONCATENATE(C89,"     ",D89)</f>
        <v>     </v>
      </c>
      <c r="C38" s="332"/>
      <c r="D38" s="252" t="s">
        <v>138</v>
      </c>
      <c r="E38" s="125">
        <f>IF(E37-E22&gt;0,E37-E22,0)</f>
        <v>77068</v>
      </c>
    </row>
    <row r="39" spans="2:5" ht="15.75">
      <c r="B39" s="252"/>
      <c r="C39" s="536" t="s">
        <v>727</v>
      </c>
      <c r="D39" s="508">
        <f>inputOth!$E$24</f>
        <v>0</v>
      </c>
      <c r="E39" s="276">
        <f>ROUND(IF(D39&gt;0,($E$38*D39),0),0)</f>
        <v>0</v>
      </c>
    </row>
    <row r="40" spans="2:5" ht="15.75">
      <c r="B40" s="90"/>
      <c r="C40" s="727" t="str">
        <f>CONCATENATE("Amount of  ",$E$1-1," Ad Valorem Tax")</f>
        <v>Amount of  2011 Ad Valorem Tax</v>
      </c>
      <c r="D40" s="728"/>
      <c r="E40" s="359">
        <f>E38+E39</f>
        <v>77068</v>
      </c>
    </row>
    <row r="41" spans="2:5" ht="15.75">
      <c r="B41" s="90"/>
      <c r="C41" s="338"/>
      <c r="D41" s="338"/>
      <c r="E41" s="338"/>
    </row>
    <row r="42" spans="2:5" ht="15.75">
      <c r="B42" s="89" t="s">
        <v>123</v>
      </c>
      <c r="C42" s="481" t="str">
        <f aca="true" t="shared" si="0" ref="C42:E43">C5</f>
        <v>Prior Year Actual</v>
      </c>
      <c r="D42" s="480" t="str">
        <f t="shared" si="0"/>
        <v>Current Year Estimate</v>
      </c>
      <c r="E42" s="482" t="str">
        <f t="shared" si="0"/>
        <v>Proposed Budget Year</v>
      </c>
    </row>
    <row r="43" spans="2:5" ht="15.75">
      <c r="B43" s="515" t="str">
        <f>inputPrYr!B26</f>
        <v> </v>
      </c>
      <c r="C43" s="461">
        <f t="shared" si="0"/>
        <v>2010</v>
      </c>
      <c r="D43" s="461">
        <f t="shared" si="0"/>
        <v>2011</v>
      </c>
      <c r="E43" s="313">
        <f t="shared" si="0"/>
        <v>2012</v>
      </c>
    </row>
    <row r="44" spans="2:5" ht="15.75">
      <c r="B44" s="153" t="s">
        <v>253</v>
      </c>
      <c r="C44" s="458"/>
      <c r="D44" s="462">
        <f>C71</f>
        <v>0</v>
      </c>
      <c r="E44" s="276">
        <f>D71</f>
        <v>0</v>
      </c>
    </row>
    <row r="45" spans="2:5" ht="15.75">
      <c r="B45" s="314" t="s">
        <v>255</v>
      </c>
      <c r="C45" s="316"/>
      <c r="D45" s="316"/>
      <c r="E45" s="132"/>
    </row>
    <row r="46" spans="2:5" ht="15.75">
      <c r="B46" s="153" t="s">
        <v>124</v>
      </c>
      <c r="C46" s="458"/>
      <c r="D46" s="462">
        <f>inputPrYr!E26</f>
        <v>0</v>
      </c>
      <c r="E46" s="348" t="s">
        <v>111</v>
      </c>
    </row>
    <row r="47" spans="2:5" ht="15.75">
      <c r="B47" s="153" t="s">
        <v>125</v>
      </c>
      <c r="C47" s="458"/>
      <c r="D47" s="458"/>
      <c r="E47" s="117"/>
    </row>
    <row r="48" spans="2:5" ht="15.75">
      <c r="B48" s="153" t="s">
        <v>126</v>
      </c>
      <c r="C48" s="458"/>
      <c r="D48" s="458"/>
      <c r="E48" s="276" t="str">
        <f>mvalloc!D18</f>
        <v>  </v>
      </c>
    </row>
    <row r="49" spans="2:5" ht="15.75">
      <c r="B49" s="153" t="s">
        <v>127</v>
      </c>
      <c r="C49" s="458"/>
      <c r="D49" s="458"/>
      <c r="E49" s="276" t="str">
        <f>mvalloc!E18</f>
        <v>  </v>
      </c>
    </row>
    <row r="50" spans="2:5" ht="15.75">
      <c r="B50" s="316" t="s">
        <v>202</v>
      </c>
      <c r="C50" s="458"/>
      <c r="D50" s="458"/>
      <c r="E50" s="276" t="str">
        <f>mvalloc!F18</f>
        <v>  </v>
      </c>
    </row>
    <row r="51" spans="2:5" ht="15.75">
      <c r="B51" s="316" t="s">
        <v>304</v>
      </c>
      <c r="C51" s="458"/>
      <c r="D51" s="458"/>
      <c r="E51" s="276" t="str">
        <f>mvalloc!G18</f>
        <v> </v>
      </c>
    </row>
    <row r="52" spans="2:5" ht="15.75">
      <c r="B52" s="329"/>
      <c r="C52" s="458"/>
      <c r="D52" s="458"/>
      <c r="E52" s="117"/>
    </row>
    <row r="53" spans="2:5" ht="15.75">
      <c r="B53" s="329"/>
      <c r="C53" s="458"/>
      <c r="D53" s="458"/>
      <c r="E53" s="117"/>
    </row>
    <row r="54" spans="2:5" ht="15.75">
      <c r="B54" s="329"/>
      <c r="C54" s="458"/>
      <c r="D54" s="458"/>
      <c r="E54" s="117"/>
    </row>
    <row r="55" spans="2:5" ht="15.75">
      <c r="B55" s="319" t="s">
        <v>131</v>
      </c>
      <c r="C55" s="458"/>
      <c r="D55" s="458"/>
      <c r="E55" s="117"/>
    </row>
    <row r="56" spans="2:5" ht="15.75">
      <c r="B56" s="320" t="s">
        <v>870</v>
      </c>
      <c r="C56" s="458"/>
      <c r="D56" s="458"/>
      <c r="E56" s="117"/>
    </row>
    <row r="57" spans="2:5" ht="15.75">
      <c r="B57" s="320" t="s">
        <v>722</v>
      </c>
      <c r="C57" s="459">
        <f>IF(C58*0.1&lt;C56,"Exceed 10% Rule","")</f>
      </c>
      <c r="D57" s="459">
        <f>IF(D58*0.1&lt;D56,"Exceed 10% Rule","")</f>
      </c>
      <c r="E57" s="355">
        <f>IF(E58*0.1+E77&lt;E56,"Exceed 10% Rule","")</f>
      </c>
    </row>
    <row r="58" spans="2:5" ht="15.75">
      <c r="B58" s="322" t="s">
        <v>132</v>
      </c>
      <c r="C58" s="460">
        <f>SUM(C46:C56)</f>
        <v>0</v>
      </c>
      <c r="D58" s="460">
        <f>SUM(D46:D56)</f>
        <v>0</v>
      </c>
      <c r="E58" s="363">
        <f>SUM(E46:E56)</f>
        <v>0</v>
      </c>
    </row>
    <row r="59" spans="2:5" ht="15.75">
      <c r="B59" s="322" t="s">
        <v>133</v>
      </c>
      <c r="C59" s="460">
        <f>C44+C58</f>
        <v>0</v>
      </c>
      <c r="D59" s="460">
        <f>D44+D58</f>
        <v>0</v>
      </c>
      <c r="E59" s="363">
        <f>E44+E58</f>
        <v>0</v>
      </c>
    </row>
    <row r="60" spans="2:5" ht="15.75">
      <c r="B60" s="153" t="s">
        <v>136</v>
      </c>
      <c r="C60" s="320"/>
      <c r="D60" s="320"/>
      <c r="E60" s="113"/>
    </row>
    <row r="61" spans="2:5" ht="15.75">
      <c r="B61" s="329"/>
      <c r="C61" s="458"/>
      <c r="D61" s="458"/>
      <c r="E61" s="117"/>
    </row>
    <row r="62" spans="2:5" ht="15.75">
      <c r="B62" s="329"/>
      <c r="C62" s="458"/>
      <c r="D62" s="458"/>
      <c r="E62" s="117"/>
    </row>
    <row r="63" spans="2:5" ht="15.75">
      <c r="B63" s="329"/>
      <c r="C63" s="458"/>
      <c r="D63" s="458"/>
      <c r="E63" s="117"/>
    </row>
    <row r="64" spans="2:5" ht="15.75">
      <c r="B64" s="329"/>
      <c r="C64" s="458"/>
      <c r="D64" s="458"/>
      <c r="E64" s="117"/>
    </row>
    <row r="65" spans="2:5" ht="15.75">
      <c r="B65" s="329"/>
      <c r="C65" s="458"/>
      <c r="D65" s="458"/>
      <c r="E65" s="117"/>
    </row>
    <row r="66" spans="2:5" ht="15.75">
      <c r="B66" s="329"/>
      <c r="C66" s="458"/>
      <c r="D66" s="458"/>
      <c r="E66" s="117"/>
    </row>
    <row r="67" spans="2:5" ht="15.75">
      <c r="B67" s="320" t="s">
        <v>872</v>
      </c>
      <c r="C67" s="458"/>
      <c r="D67" s="458"/>
      <c r="E67" s="125">
        <f>Nhood!E16</f>
      </c>
    </row>
    <row r="68" spans="2:5" ht="15.75">
      <c r="B68" s="320" t="s">
        <v>870</v>
      </c>
      <c r="C68" s="458"/>
      <c r="D68" s="458"/>
      <c r="E68" s="117"/>
    </row>
    <row r="69" spans="2:5" ht="15.75">
      <c r="B69" s="320" t="s">
        <v>721</v>
      </c>
      <c r="C69" s="459">
        <f>IF(C70*0.1&lt;C68,"Exceed 10% Rule","")</f>
      </c>
      <c r="D69" s="459">
        <f>IF(D70*0.1&lt;D68,"Exceed 10% Rule","")</f>
      </c>
      <c r="E69" s="355">
        <f>IF(E70*0.1&lt;E68,"Exceed 10% Rule","")</f>
      </c>
    </row>
    <row r="70" spans="2:5" ht="15.75">
      <c r="B70" s="322" t="s">
        <v>137</v>
      </c>
      <c r="C70" s="460">
        <f>SUM(C61:C68)</f>
        <v>0</v>
      </c>
      <c r="D70" s="460">
        <f>SUM(D61:D68)</f>
        <v>0</v>
      </c>
      <c r="E70" s="363">
        <f>SUM(E61:E68)</f>
        <v>0</v>
      </c>
    </row>
    <row r="71" spans="2:5" ht="15.75">
      <c r="B71" s="153" t="s">
        <v>254</v>
      </c>
      <c r="C71" s="463">
        <f>C59-C70</f>
        <v>0</v>
      </c>
      <c r="D71" s="463">
        <f>D59-D70</f>
        <v>0</v>
      </c>
      <c r="E71" s="348" t="s">
        <v>111</v>
      </c>
    </row>
    <row r="72" spans="2:6" ht="15.75">
      <c r="B72" s="298" t="str">
        <f>CONCATENATE("",E$1-2,"/",E$1-1," Budget Authority Amount:")</f>
        <v>2010/2011 Budget Authority Amount:</v>
      </c>
      <c r="C72" s="290">
        <f>inputOth!B41</f>
        <v>0</v>
      </c>
      <c r="D72" s="290">
        <f>inputPrYr!D26</f>
        <v>0</v>
      </c>
      <c r="E72" s="348" t="s">
        <v>111</v>
      </c>
      <c r="F72" s="331"/>
    </row>
    <row r="73" spans="2:6" ht="15.75">
      <c r="B73" s="298"/>
      <c r="C73" s="729" t="s">
        <v>725</v>
      </c>
      <c r="D73" s="730"/>
      <c r="E73" s="117"/>
      <c r="F73" s="331">
        <f>IF(E70/0.95-E70&lt;E73,"Exceeds 5%","")</f>
      </c>
    </row>
    <row r="74" spans="2:5" ht="15.75">
      <c r="B74" s="537" t="str">
        <f>CONCATENATE(C90,"     ",D90)</f>
        <v>     </v>
      </c>
      <c r="C74" s="731" t="s">
        <v>726</v>
      </c>
      <c r="D74" s="732"/>
      <c r="E74" s="276">
        <f>E70+E73</f>
        <v>0</v>
      </c>
    </row>
    <row r="75" spans="2:5" ht="15.75">
      <c r="B75" s="537" t="str">
        <f>CONCATENATE(C91,"     ",D91)</f>
        <v>     </v>
      </c>
      <c r="C75" s="332"/>
      <c r="D75" s="252" t="s">
        <v>138</v>
      </c>
      <c r="E75" s="125">
        <f>IF(E74-E59&gt;0,E74-E59,0)</f>
        <v>0</v>
      </c>
    </row>
    <row r="76" spans="2:5" ht="15.75">
      <c r="B76" s="252"/>
      <c r="C76" s="536" t="s">
        <v>727</v>
      </c>
      <c r="D76" s="508">
        <f>inputOth!$E$24</f>
        <v>0</v>
      </c>
      <c r="E76" s="276">
        <f>ROUND(IF(D76&gt;0,($E$75*D76),0),0)</f>
        <v>0</v>
      </c>
    </row>
    <row r="77" spans="2:5" ht="15.75">
      <c r="B77" s="90"/>
      <c r="C77" s="727" t="str">
        <f>CONCATENATE("Amount of  ",$E$1-1," Ad Valorem Tax")</f>
        <v>Amount of  2011 Ad Valorem Tax</v>
      </c>
      <c r="D77" s="728"/>
      <c r="E77" s="359">
        <f>E75+E76</f>
        <v>0</v>
      </c>
    </row>
    <row r="78" spans="2:5" ht="15.75">
      <c r="B78" s="298" t="s">
        <v>160</v>
      </c>
      <c r="C78" s="360">
        <v>13</v>
      </c>
      <c r="D78" s="90"/>
      <c r="E78" s="90"/>
    </row>
    <row r="88" spans="3:4" ht="15.75" hidden="1">
      <c r="C88" s="77">
        <f>IF(C33&gt;C35,"See Tab A","")</f>
      </c>
      <c r="D88" s="77">
        <f>IF(D33&gt;D35,"See Tab C","")</f>
      </c>
    </row>
    <row r="89" spans="3:4" ht="15.75" hidden="1">
      <c r="C89" s="77">
        <f>IF(C34&lt;0,"See Tab B","")</f>
      </c>
      <c r="D89" s="77">
        <f>IF(D34&lt;0,"See Tab D","")</f>
      </c>
    </row>
    <row r="90" spans="3:4" ht="15.75" hidden="1">
      <c r="C90" s="77">
        <f>IF(C70&gt;C72,"See Tab A","")</f>
      </c>
      <c r="D90" s="77">
        <f>IF(D70&gt;D72,"See Tab C","")</f>
      </c>
    </row>
    <row r="91" spans="3:4" ht="15.75" hidden="1">
      <c r="C91" s="77">
        <f>IF(C71&lt;0,"See Tab B","")</f>
      </c>
      <c r="D91" s="77">
        <f>IF(D71&lt;0,"See Tab D","")</f>
      </c>
    </row>
  </sheetData>
  <sheetProtection sheet="1"/>
  <mergeCells count="6">
    <mergeCell ref="C77:D77"/>
    <mergeCell ref="C40:D40"/>
    <mergeCell ref="C36:D36"/>
    <mergeCell ref="C37:D37"/>
    <mergeCell ref="C73:D73"/>
    <mergeCell ref="C74:D74"/>
  </mergeCells>
  <conditionalFormatting sqref="E68">
    <cfRule type="cellIs" priority="3" dxfId="405" operator="greaterThan" stopIfTrue="1">
      <formula>$E$70*0.1</formula>
    </cfRule>
  </conditionalFormatting>
  <conditionalFormatting sqref="E73">
    <cfRule type="cellIs" priority="4" dxfId="405" operator="greaterThan" stopIfTrue="1">
      <formula>$E$70/0.95-$E$70</formula>
    </cfRule>
  </conditionalFormatting>
  <conditionalFormatting sqref="E36">
    <cfRule type="cellIs" priority="5" dxfId="405" operator="greaterThan" stopIfTrue="1">
      <formula>$E$33/0.95-$E$33</formula>
    </cfRule>
  </conditionalFormatting>
  <conditionalFormatting sqref="E31">
    <cfRule type="cellIs" priority="6" dxfId="405" operator="greaterThan" stopIfTrue="1">
      <formula>$E$33*0.1</formula>
    </cfRule>
  </conditionalFormatting>
  <conditionalFormatting sqref="C71 C34">
    <cfRule type="cellIs" priority="7" dxfId="2" operator="lessThan" stopIfTrue="1">
      <formula>0</formula>
    </cfRule>
  </conditionalFormatting>
  <conditionalFormatting sqref="C70">
    <cfRule type="cellIs" priority="8" dxfId="2" operator="greaterThan" stopIfTrue="1">
      <formula>$C$72</formula>
    </cfRule>
  </conditionalFormatting>
  <conditionalFormatting sqref="D70">
    <cfRule type="cellIs" priority="9" dxfId="2" operator="greaterThan" stopIfTrue="1">
      <formula>$D$72</formula>
    </cfRule>
  </conditionalFormatting>
  <conditionalFormatting sqref="C68">
    <cfRule type="cellIs" priority="10" dxfId="2" operator="greaterThan" stopIfTrue="1">
      <formula>$C$70*0.1</formula>
    </cfRule>
  </conditionalFormatting>
  <conditionalFormatting sqref="D68">
    <cfRule type="cellIs" priority="11" dxfId="2" operator="greaterThan" stopIfTrue="1">
      <formula>$D$70*0.1</formula>
    </cfRule>
  </conditionalFormatting>
  <conditionalFormatting sqref="E56">
    <cfRule type="cellIs" priority="12" dxfId="405" operator="greaterThan" stopIfTrue="1">
      <formula>$E$58*0.1+E77</formula>
    </cfRule>
  </conditionalFormatting>
  <conditionalFormatting sqref="C56">
    <cfRule type="cellIs" priority="13" dxfId="2" operator="greaterThan" stopIfTrue="1">
      <formula>$C$58*0.1</formula>
    </cfRule>
  </conditionalFormatting>
  <conditionalFormatting sqref="D56">
    <cfRule type="cellIs" priority="14" dxfId="2" operator="greaterThan" stopIfTrue="1">
      <formula>$D$58*0.1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9">
    <cfRule type="cellIs" priority="19" dxfId="405" operator="greaterThan" stopIfTrue="1">
      <formula>$E$21*0.1+E40</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125"/>
  <sheetViews>
    <sheetView tabSelected="1" zoomScalePageLayoutView="0" workbookViewId="0" topLeftCell="A1">
      <selection activeCell="F49" sqref="F49"/>
    </sheetView>
  </sheetViews>
  <sheetFormatPr defaultColWidth="8.796875" defaultRowHeight="15"/>
  <cols>
    <col min="1" max="1" width="15.796875" style="77" customWidth="1"/>
    <col min="2" max="2" width="20.796875" style="77" customWidth="1"/>
    <col min="3" max="3" width="8.796875" style="77" customWidth="1"/>
    <col min="4" max="5" width="13.296875" style="77" customWidth="1"/>
    <col min="6" max="6" width="10.796875" style="77" customWidth="1"/>
    <col min="7" max="16384" width="8.8984375" style="77" customWidth="1"/>
  </cols>
  <sheetData>
    <row r="1" spans="1:6" ht="15.75">
      <c r="A1" s="683" t="s">
        <v>291</v>
      </c>
      <c r="B1" s="684"/>
      <c r="C1" s="684"/>
      <c r="D1" s="684"/>
      <c r="E1" s="684"/>
      <c r="F1" s="684"/>
    </row>
    <row r="2" spans="1:6" ht="15.75">
      <c r="A2" s="89" t="s">
        <v>292</v>
      </c>
      <c r="B2" s="90"/>
      <c r="C2" s="455" t="s">
        <v>985</v>
      </c>
      <c r="D2" s="91"/>
      <c r="E2" s="92"/>
      <c r="F2" s="93"/>
    </row>
    <row r="3" spans="1:6" ht="15.75">
      <c r="A3" s="89"/>
      <c r="B3" s="90"/>
      <c r="C3" s="90"/>
      <c r="D3" s="90"/>
      <c r="E3" s="94"/>
      <c r="F3" s="93"/>
    </row>
    <row r="4" spans="1:6" ht="15.75">
      <c r="A4" s="89" t="s">
        <v>293</v>
      </c>
      <c r="B4" s="90"/>
      <c r="C4" s="95">
        <v>2012</v>
      </c>
      <c r="D4" s="96"/>
      <c r="E4" s="94"/>
      <c r="F4" s="93"/>
    </row>
    <row r="5" spans="1:6" ht="15.75">
      <c r="A5" s="90"/>
      <c r="B5" s="90"/>
      <c r="C5" s="90"/>
      <c r="D5" s="90"/>
      <c r="E5" s="90"/>
      <c r="F5" s="90"/>
    </row>
    <row r="6" spans="1:6" ht="18.75" customHeight="1">
      <c r="A6" s="97" t="s">
        <v>664</v>
      </c>
      <c r="B6" s="98"/>
      <c r="C6" s="98"/>
      <c r="D6" s="98"/>
      <c r="E6" s="98"/>
      <c r="F6" s="98"/>
    </row>
    <row r="7" spans="1:6" ht="15.75">
      <c r="A7" s="97" t="s">
        <v>663</v>
      </c>
      <c r="B7" s="98"/>
      <c r="C7" s="98"/>
      <c r="D7" s="98"/>
      <c r="E7" s="98"/>
      <c r="F7" s="98"/>
    </row>
    <row r="8" spans="1:6" ht="15.75">
      <c r="A8" s="97"/>
      <c r="B8" s="98"/>
      <c r="C8" s="98"/>
      <c r="D8" s="98"/>
      <c r="E8" s="98"/>
      <c r="F8" s="98"/>
    </row>
    <row r="9" spans="1:6" ht="15.75">
      <c r="A9" s="681" t="s">
        <v>851</v>
      </c>
      <c r="B9" s="682"/>
      <c r="C9" s="682"/>
      <c r="D9" s="682"/>
      <c r="E9" s="682"/>
      <c r="F9" s="682"/>
    </row>
    <row r="10" spans="1:6" ht="15.75">
      <c r="A10" s="90"/>
      <c r="B10" s="90"/>
      <c r="C10" s="90"/>
      <c r="D10" s="90"/>
      <c r="E10" s="90"/>
      <c r="F10" s="90"/>
    </row>
    <row r="11" spans="1:6" ht="15.75">
      <c r="A11" s="99" t="str">
        <f>CONCATENATE("The input for the following comes directly from the ",C4-1," Budget:")</f>
        <v>The input for the following comes directly from the 2011 Budget:</v>
      </c>
      <c r="B11" s="100"/>
      <c r="C11" s="100"/>
      <c r="D11" s="100"/>
      <c r="E11" s="90"/>
      <c r="F11" s="90"/>
    </row>
    <row r="12" spans="1:6" ht="15.75">
      <c r="A12" s="101" t="s">
        <v>294</v>
      </c>
      <c r="B12" s="100"/>
      <c r="C12" s="100"/>
      <c r="D12" s="100"/>
      <c r="E12" s="90"/>
      <c r="F12" s="90"/>
    </row>
    <row r="13" spans="1:6" ht="15.75">
      <c r="A13" s="101" t="s">
        <v>323</v>
      </c>
      <c r="B13" s="100"/>
      <c r="C13" s="100"/>
      <c r="D13" s="100"/>
      <c r="E13" s="90"/>
      <c r="F13" s="90"/>
    </row>
    <row r="14" spans="1:6" ht="15.75">
      <c r="A14" s="90"/>
      <c r="B14" s="90"/>
      <c r="C14" s="102"/>
      <c r="D14" s="103">
        <f>C4-1</f>
        <v>2011</v>
      </c>
      <c r="E14" s="104" t="str">
        <f>CONCATENATE("",C4-2,"")</f>
        <v>2010</v>
      </c>
      <c r="F14" s="105">
        <f>C4-2</f>
        <v>2010</v>
      </c>
    </row>
    <row r="15" spans="1:6" ht="15.75">
      <c r="A15" s="89" t="s">
        <v>295</v>
      </c>
      <c r="B15" s="90"/>
      <c r="C15" s="106" t="s">
        <v>439</v>
      </c>
      <c r="D15" s="107" t="s">
        <v>322</v>
      </c>
      <c r="E15" s="107" t="s">
        <v>894</v>
      </c>
      <c r="F15" s="107" t="s">
        <v>868</v>
      </c>
    </row>
    <row r="16" spans="1:6" ht="15.75">
      <c r="A16" s="90"/>
      <c r="B16" s="108" t="s">
        <v>440</v>
      </c>
      <c r="C16" s="264" t="s">
        <v>257</v>
      </c>
      <c r="D16" s="110">
        <v>3062943</v>
      </c>
      <c r="E16" s="111">
        <v>1409173</v>
      </c>
      <c r="F16" s="112">
        <v>18.876</v>
      </c>
    </row>
    <row r="17" spans="1:6" ht="15.75">
      <c r="A17" s="90"/>
      <c r="B17" s="108" t="s">
        <v>958</v>
      </c>
      <c r="C17" s="264" t="s">
        <v>296</v>
      </c>
      <c r="D17" s="110">
        <v>240426</v>
      </c>
      <c r="E17" s="111">
        <v>161973</v>
      </c>
      <c r="F17" s="112">
        <v>2.17</v>
      </c>
    </row>
    <row r="18" spans="1:6" ht="15.75">
      <c r="A18" s="89"/>
      <c r="B18" s="113" t="s">
        <v>157</v>
      </c>
      <c r="C18" s="263" t="s">
        <v>257</v>
      </c>
      <c r="D18" s="110">
        <v>1630326</v>
      </c>
      <c r="E18" s="110">
        <v>1149335</v>
      </c>
      <c r="F18" s="114">
        <v>15.396</v>
      </c>
    </row>
    <row r="19" spans="1:6" ht="15.75">
      <c r="A19" s="90"/>
      <c r="B19" s="115" t="s">
        <v>153</v>
      </c>
      <c r="C19" s="662" t="s">
        <v>961</v>
      </c>
      <c r="D19" s="110">
        <v>660632</v>
      </c>
      <c r="E19" s="117">
        <v>70114</v>
      </c>
      <c r="F19" s="112">
        <v>0.939</v>
      </c>
    </row>
    <row r="20" spans="1:6" ht="15.75">
      <c r="A20" s="90"/>
      <c r="B20" s="115" t="s">
        <v>959</v>
      </c>
      <c r="C20" s="662" t="s">
        <v>962</v>
      </c>
      <c r="D20" s="110">
        <v>338738</v>
      </c>
      <c r="E20" s="117">
        <v>111888</v>
      </c>
      <c r="F20" s="112">
        <v>1.5</v>
      </c>
    </row>
    <row r="21" spans="1:6" ht="15.75">
      <c r="A21" s="90"/>
      <c r="B21" s="115" t="s">
        <v>960</v>
      </c>
      <c r="C21" s="662" t="s">
        <v>963</v>
      </c>
      <c r="D21" s="110">
        <v>500918</v>
      </c>
      <c r="E21" s="117">
        <v>74592</v>
      </c>
      <c r="F21" s="112">
        <v>1</v>
      </c>
    </row>
    <row r="22" spans="1:6" ht="15.75">
      <c r="A22" s="90"/>
      <c r="B22" s="115" t="s">
        <v>154</v>
      </c>
      <c r="C22" s="662" t="s">
        <v>964</v>
      </c>
      <c r="D22" s="110">
        <v>42091</v>
      </c>
      <c r="E22" s="117">
        <v>37296</v>
      </c>
      <c r="F22" s="112">
        <v>0.5</v>
      </c>
    </row>
    <row r="23" spans="1:6" ht="15.75">
      <c r="A23" s="90"/>
      <c r="B23" s="115" t="s">
        <v>152</v>
      </c>
      <c r="C23" s="662" t="s">
        <v>965</v>
      </c>
      <c r="D23" s="110">
        <v>1583301</v>
      </c>
      <c r="E23" s="117">
        <v>1149029</v>
      </c>
      <c r="F23" s="112">
        <v>15.391</v>
      </c>
    </row>
    <row r="24" spans="1:6" ht="15.75">
      <c r="A24" s="90"/>
      <c r="B24" s="115" t="s">
        <v>149</v>
      </c>
      <c r="C24" s="662" t="s">
        <v>966</v>
      </c>
      <c r="D24" s="110">
        <v>278818</v>
      </c>
      <c r="E24" s="117">
        <v>7459</v>
      </c>
      <c r="F24" s="112">
        <v>0.1</v>
      </c>
    </row>
    <row r="25" spans="1:6" ht="15.75">
      <c r="A25" s="90"/>
      <c r="B25" s="115" t="s">
        <v>968</v>
      </c>
      <c r="C25" s="662" t="s">
        <v>967</v>
      </c>
      <c r="D25" s="110">
        <v>264968</v>
      </c>
      <c r="E25" s="117">
        <v>111888</v>
      </c>
      <c r="F25" s="112">
        <v>1.5</v>
      </c>
    </row>
    <row r="26" spans="1:6" ht="15.75">
      <c r="A26" s="90"/>
      <c r="B26" s="115" t="s">
        <v>161</v>
      </c>
      <c r="C26" s="662"/>
      <c r="D26" s="110"/>
      <c r="E26" s="117"/>
      <c r="F26" s="112"/>
    </row>
    <row r="27" spans="1:6" ht="15.75">
      <c r="A27" s="90"/>
      <c r="B27" s="115" t="s">
        <v>161</v>
      </c>
      <c r="C27" s="471"/>
      <c r="D27" s="110"/>
      <c r="E27" s="117"/>
      <c r="F27" s="112"/>
    </row>
    <row r="28" spans="1:6" ht="15.75">
      <c r="A28" s="90"/>
      <c r="B28" s="115" t="s">
        <v>161</v>
      </c>
      <c r="C28" s="471"/>
      <c r="D28" s="110"/>
      <c r="E28" s="117"/>
      <c r="F28" s="112"/>
    </row>
    <row r="29" spans="1:6" ht="15.75">
      <c r="A29" s="90"/>
      <c r="B29" s="115" t="s">
        <v>161</v>
      </c>
      <c r="C29" s="471"/>
      <c r="D29" s="110"/>
      <c r="E29" s="117"/>
      <c r="F29" s="112"/>
    </row>
    <row r="30" spans="1:6" ht="15.75">
      <c r="A30" s="90"/>
      <c r="B30" s="115" t="s">
        <v>161</v>
      </c>
      <c r="C30" s="471"/>
      <c r="D30" s="110"/>
      <c r="E30" s="117"/>
      <c r="F30" s="112"/>
    </row>
    <row r="31" spans="1:6" ht="15.75">
      <c r="A31" s="90"/>
      <c r="B31" s="115" t="s">
        <v>161</v>
      </c>
      <c r="C31" s="471"/>
      <c r="D31" s="110"/>
      <c r="E31" s="117"/>
      <c r="F31" s="112"/>
    </row>
    <row r="32" spans="1:6" ht="15.75">
      <c r="A32" s="90"/>
      <c r="B32" s="115" t="s">
        <v>161</v>
      </c>
      <c r="C32" s="471"/>
      <c r="D32" s="110"/>
      <c r="E32" s="117"/>
      <c r="F32" s="112"/>
    </row>
    <row r="33" spans="1:6" ht="15.75">
      <c r="A33" s="90"/>
      <c r="B33" s="115" t="s">
        <v>161</v>
      </c>
      <c r="C33" s="471"/>
      <c r="D33" s="110"/>
      <c r="E33" s="117"/>
      <c r="F33" s="112"/>
    </row>
    <row r="34" spans="1:6" ht="15.75">
      <c r="A34" s="90"/>
      <c r="B34" s="115" t="s">
        <v>161</v>
      </c>
      <c r="C34" s="471"/>
      <c r="D34" s="110"/>
      <c r="E34" s="117"/>
      <c r="F34" s="112"/>
    </row>
    <row r="35" spans="1:6" ht="15.75">
      <c r="A35" s="90"/>
      <c r="B35" s="115" t="s">
        <v>161</v>
      </c>
      <c r="C35" s="471"/>
      <c r="D35" s="110"/>
      <c r="E35" s="117"/>
      <c r="F35" s="112"/>
    </row>
    <row r="36" spans="1:6" ht="15.75">
      <c r="A36" s="90"/>
      <c r="B36" s="115" t="s">
        <v>161</v>
      </c>
      <c r="C36" s="471"/>
      <c r="D36" s="110"/>
      <c r="E36" s="117"/>
      <c r="F36" s="112"/>
    </row>
    <row r="37" spans="1:6" ht="15.75">
      <c r="A37" s="90"/>
      <c r="B37" s="115" t="s">
        <v>161</v>
      </c>
      <c r="C37" s="471"/>
      <c r="D37" s="110"/>
      <c r="E37" s="117"/>
      <c r="F37" s="112"/>
    </row>
    <row r="38" spans="1:6" ht="15.75">
      <c r="A38" s="90"/>
      <c r="B38" s="115" t="s">
        <v>161</v>
      </c>
      <c r="C38" s="471"/>
      <c r="D38" s="110"/>
      <c r="E38" s="117"/>
      <c r="F38" s="112"/>
    </row>
    <row r="39" spans="1:6" ht="15.75">
      <c r="A39" s="90"/>
      <c r="B39" s="115" t="s">
        <v>161</v>
      </c>
      <c r="C39" s="471"/>
      <c r="D39" s="110"/>
      <c r="E39" s="117"/>
      <c r="F39" s="112"/>
    </row>
    <row r="40" spans="1:6" ht="15.75">
      <c r="A40" s="90"/>
      <c r="B40" s="115" t="s">
        <v>161</v>
      </c>
      <c r="C40" s="471"/>
      <c r="D40" s="110"/>
      <c r="E40" s="117"/>
      <c r="F40" s="112"/>
    </row>
    <row r="41" spans="1:6" ht="15.75">
      <c r="A41" s="118" t="str">
        <f>CONCATENATE("Total Tax Levy Funds Levy Amounts and Levy Rates for ",C4-1," Budget")</f>
        <v>Total Tax Levy Funds Levy Amounts and Levy Rates for 2011 Budget</v>
      </c>
      <c r="B41" s="119"/>
      <c r="C41" s="119"/>
      <c r="D41" s="120"/>
      <c r="E41" s="121">
        <f>SUM(E16:E40)</f>
        <v>4282747</v>
      </c>
      <c r="F41" s="122">
        <f>SUM(F16:F40)</f>
        <v>57.372</v>
      </c>
    </row>
    <row r="42" spans="1:6" ht="15.75">
      <c r="A42" s="89" t="s">
        <v>601</v>
      </c>
      <c r="B42" s="90"/>
      <c r="C42" s="90"/>
      <c r="D42" s="90"/>
      <c r="E42" s="90"/>
      <c r="F42" s="90"/>
    </row>
    <row r="43" spans="1:6" ht="15.75">
      <c r="A43" s="90"/>
      <c r="B43" s="663" t="s">
        <v>969</v>
      </c>
      <c r="C43" s="90"/>
      <c r="D43" s="110">
        <v>5589</v>
      </c>
      <c r="E43" s="90"/>
      <c r="F43" s="90"/>
    </row>
    <row r="44" spans="1:6" ht="15.75">
      <c r="A44" s="90"/>
      <c r="B44" s="663" t="s">
        <v>970</v>
      </c>
      <c r="C44" s="90"/>
      <c r="D44" s="110">
        <v>32943</v>
      </c>
      <c r="E44" s="90"/>
      <c r="F44" s="90"/>
    </row>
    <row r="45" spans="1:6" ht="15.75">
      <c r="A45" s="90"/>
      <c r="B45" s="663" t="s">
        <v>971</v>
      </c>
      <c r="C45" s="90"/>
      <c r="D45" s="110">
        <v>451795</v>
      </c>
      <c r="E45" s="90"/>
      <c r="F45" s="90"/>
    </row>
    <row r="46" spans="1:6" ht="15.75">
      <c r="A46" s="90"/>
      <c r="B46" s="663" t="s">
        <v>972</v>
      </c>
      <c r="C46" s="90"/>
      <c r="D46" s="110">
        <v>81604</v>
      </c>
      <c r="E46" s="90"/>
      <c r="F46" s="90"/>
    </row>
    <row r="47" spans="1:6" ht="15.75">
      <c r="A47" s="90"/>
      <c r="B47" s="663" t="s">
        <v>158</v>
      </c>
      <c r="C47" s="90"/>
      <c r="D47" s="110">
        <v>549196</v>
      </c>
      <c r="E47" s="90"/>
      <c r="F47" s="90"/>
    </row>
    <row r="48" spans="1:6" ht="15.75">
      <c r="A48" s="90"/>
      <c r="B48" s="663" t="s">
        <v>973</v>
      </c>
      <c r="C48" s="90"/>
      <c r="D48" s="110">
        <v>192105</v>
      </c>
      <c r="E48" s="90"/>
      <c r="F48" s="90"/>
    </row>
    <row r="49" spans="1:6" ht="15.75">
      <c r="A49" s="90"/>
      <c r="B49" s="663" t="s">
        <v>974</v>
      </c>
      <c r="C49" s="90"/>
      <c r="D49" s="110">
        <v>124017</v>
      </c>
      <c r="E49" s="90"/>
      <c r="F49" s="90"/>
    </row>
    <row r="50" spans="1:6" ht="15.75">
      <c r="A50" s="90"/>
      <c r="B50" s="663" t="s">
        <v>975</v>
      </c>
      <c r="C50" s="90"/>
      <c r="D50" s="110">
        <v>84622</v>
      </c>
      <c r="E50" s="90"/>
      <c r="F50" s="90"/>
    </row>
    <row r="51" spans="1:6" ht="15.75">
      <c r="A51" s="90"/>
      <c r="B51" s="663" t="s">
        <v>976</v>
      </c>
      <c r="C51" s="90"/>
      <c r="D51" s="110">
        <v>29278</v>
      </c>
      <c r="E51" s="90"/>
      <c r="F51" s="90"/>
    </row>
    <row r="52" spans="1:6" ht="15.75">
      <c r="A52" s="90"/>
      <c r="B52" s="112" t="s">
        <v>161</v>
      </c>
      <c r="C52" s="90"/>
      <c r="D52" s="110"/>
      <c r="E52" s="90"/>
      <c r="F52" s="90"/>
    </row>
    <row r="53" spans="1:6" ht="15.75">
      <c r="A53" s="90"/>
      <c r="B53" s="112" t="s">
        <v>161</v>
      </c>
      <c r="C53" s="90"/>
      <c r="D53" s="110"/>
      <c r="E53" s="90"/>
      <c r="F53" s="90"/>
    </row>
    <row r="54" spans="1:6" ht="15.75">
      <c r="A54" s="90"/>
      <c r="B54" s="112" t="s">
        <v>161</v>
      </c>
      <c r="C54" s="90"/>
      <c r="D54" s="110"/>
      <c r="E54" s="90"/>
      <c r="F54" s="90"/>
    </row>
    <row r="55" spans="1:6" ht="15.75">
      <c r="A55" s="90"/>
      <c r="B55" s="112" t="s">
        <v>161</v>
      </c>
      <c r="C55" s="90"/>
      <c r="D55" s="110"/>
      <c r="E55" s="90"/>
      <c r="F55" s="90"/>
    </row>
    <row r="56" spans="1:6" ht="15.75">
      <c r="A56" s="90"/>
      <c r="B56" s="112" t="s">
        <v>161</v>
      </c>
      <c r="C56" s="90"/>
      <c r="D56" s="110"/>
      <c r="E56" s="90"/>
      <c r="F56" s="90"/>
    </row>
    <row r="57" spans="1:6" ht="15.75">
      <c r="A57" s="90"/>
      <c r="B57" s="112" t="s">
        <v>161</v>
      </c>
      <c r="C57" s="90"/>
      <c r="D57" s="110"/>
      <c r="E57" s="90"/>
      <c r="F57" s="90"/>
    </row>
    <row r="58" spans="1:6" ht="15.75">
      <c r="A58" s="90"/>
      <c r="B58" s="112" t="s">
        <v>161</v>
      </c>
      <c r="C58" s="90"/>
      <c r="D58" s="110"/>
      <c r="E58" s="90"/>
      <c r="F58" s="90"/>
    </row>
    <row r="59" spans="1:6" ht="15.75">
      <c r="A59" s="118" t="str">
        <f>CONCATENATE("Total Expenditures for ",C4-1," Budgeted Year")</f>
        <v>Total Expenditures for 2011 Budgeted Year</v>
      </c>
      <c r="B59" s="123"/>
      <c r="C59" s="124"/>
      <c r="D59" s="125">
        <f>SUM(D16:D40,D43:D58)</f>
        <v>10154310</v>
      </c>
      <c r="E59" s="90"/>
      <c r="F59" s="90"/>
    </row>
    <row r="60" spans="1:6" ht="15.75">
      <c r="A60" s="126"/>
      <c r="B60" s="127"/>
      <c r="C60" s="90"/>
      <c r="D60" s="128"/>
      <c r="E60" s="90"/>
      <c r="F60" s="90"/>
    </row>
    <row r="61" spans="1:6" ht="15.75">
      <c r="A61" s="90" t="s">
        <v>587</v>
      </c>
      <c r="B61" s="127"/>
      <c r="C61" s="90"/>
      <c r="D61" s="90"/>
      <c r="E61" s="90"/>
      <c r="F61" s="90"/>
    </row>
    <row r="62" spans="1:6" ht="15.75">
      <c r="A62" s="90">
        <v>1</v>
      </c>
      <c r="B62" s="663" t="s">
        <v>977</v>
      </c>
      <c r="C62" s="90"/>
      <c r="D62" s="90"/>
      <c r="E62" s="90"/>
      <c r="F62" s="90"/>
    </row>
    <row r="63" spans="1:6" ht="15.75">
      <c r="A63" s="90">
        <v>2</v>
      </c>
      <c r="B63" s="663" t="s">
        <v>978</v>
      </c>
      <c r="C63" s="90"/>
      <c r="D63" s="90"/>
      <c r="E63" s="90"/>
      <c r="F63" s="90"/>
    </row>
    <row r="64" spans="1:6" ht="15.75">
      <c r="A64" s="90">
        <v>3</v>
      </c>
      <c r="B64" s="663" t="s">
        <v>979</v>
      </c>
      <c r="C64" s="90"/>
      <c r="D64" s="90"/>
      <c r="E64" s="90"/>
      <c r="F64" s="90"/>
    </row>
    <row r="65" spans="1:6" ht="15.75">
      <c r="A65" s="90">
        <v>4</v>
      </c>
      <c r="B65" s="663" t="s">
        <v>980</v>
      </c>
      <c r="C65" s="90"/>
      <c r="D65" s="90"/>
      <c r="E65" s="90"/>
      <c r="F65" s="90"/>
    </row>
    <row r="66" spans="1:6" ht="15.75">
      <c r="A66" s="90">
        <v>5</v>
      </c>
      <c r="B66" s="663" t="s">
        <v>981</v>
      </c>
      <c r="C66" s="90"/>
      <c r="D66" s="90"/>
      <c r="E66" s="90"/>
      <c r="F66" s="90"/>
    </row>
    <row r="67" spans="1:6" ht="15.75">
      <c r="A67" s="90" t="s">
        <v>596</v>
      </c>
      <c r="B67" s="127"/>
      <c r="C67" s="90"/>
      <c r="D67" s="90"/>
      <c r="E67" s="90"/>
      <c r="F67" s="90"/>
    </row>
    <row r="68" spans="1:6" ht="15.75">
      <c r="A68" s="90">
        <v>1</v>
      </c>
      <c r="B68" s="663" t="s">
        <v>982</v>
      </c>
      <c r="C68" s="90"/>
      <c r="D68" s="90"/>
      <c r="E68" s="90"/>
      <c r="F68" s="90"/>
    </row>
    <row r="69" spans="1:6" ht="15.75">
      <c r="A69" s="90">
        <v>2</v>
      </c>
      <c r="B69" s="663" t="s">
        <v>983</v>
      </c>
      <c r="C69" s="90"/>
      <c r="D69" s="90"/>
      <c r="E69" s="90"/>
      <c r="F69" s="90"/>
    </row>
    <row r="70" spans="1:6" ht="15.75">
      <c r="A70" s="90">
        <v>3</v>
      </c>
      <c r="B70" s="663" t="s">
        <v>984</v>
      </c>
      <c r="C70" s="90"/>
      <c r="D70" s="90"/>
      <c r="E70" s="90"/>
      <c r="F70" s="90"/>
    </row>
    <row r="71" spans="1:6" ht="15.75">
      <c r="A71" s="90">
        <v>4</v>
      </c>
      <c r="B71" s="112" t="s">
        <v>937</v>
      </c>
      <c r="C71" s="90"/>
      <c r="D71" s="90"/>
      <c r="E71" s="90"/>
      <c r="F71" s="90"/>
    </row>
    <row r="72" spans="1:6" ht="15.75">
      <c r="A72" s="90">
        <v>5</v>
      </c>
      <c r="B72" s="112" t="s">
        <v>933</v>
      </c>
      <c r="C72" s="90"/>
      <c r="D72" s="90"/>
      <c r="E72" s="90"/>
      <c r="F72" s="90"/>
    </row>
    <row r="73" spans="1:6" ht="15.75">
      <c r="A73" s="90" t="s">
        <v>598</v>
      </c>
      <c r="B73" s="127"/>
      <c r="C73" s="90"/>
      <c r="D73" s="90"/>
      <c r="E73" s="90"/>
      <c r="F73" s="90"/>
    </row>
    <row r="74" spans="1:6" ht="15.75">
      <c r="A74" s="90">
        <v>1</v>
      </c>
      <c r="B74" s="112" t="s">
        <v>934</v>
      </c>
      <c r="C74" s="90"/>
      <c r="D74" s="90"/>
      <c r="E74" s="90"/>
      <c r="F74" s="90"/>
    </row>
    <row r="75" spans="1:6" ht="15.75">
      <c r="A75" s="90">
        <v>2</v>
      </c>
      <c r="B75" s="112" t="s">
        <v>935</v>
      </c>
      <c r="C75" s="90"/>
      <c r="D75" s="90"/>
      <c r="E75" s="90"/>
      <c r="F75" s="90"/>
    </row>
    <row r="76" spans="1:6" ht="15.75">
      <c r="A76" s="90">
        <v>3</v>
      </c>
      <c r="B76" s="112" t="s">
        <v>936</v>
      </c>
      <c r="C76" s="90"/>
      <c r="D76" s="90"/>
      <c r="E76" s="90"/>
      <c r="F76" s="90"/>
    </row>
    <row r="77" spans="1:6" ht="15.75">
      <c r="A77" s="90">
        <v>4</v>
      </c>
      <c r="B77" s="112"/>
      <c r="C77" s="90"/>
      <c r="D77" s="90"/>
      <c r="E77" s="90"/>
      <c r="F77" s="90"/>
    </row>
    <row r="78" spans="1:6" ht="15.75">
      <c r="A78" s="90">
        <v>5</v>
      </c>
      <c r="B78" s="112"/>
      <c r="C78" s="90"/>
      <c r="D78" s="90"/>
      <c r="E78" s="90"/>
      <c r="F78" s="90"/>
    </row>
    <row r="79" spans="1:6" ht="15.75">
      <c r="A79" s="90" t="s">
        <v>600</v>
      </c>
      <c r="B79" s="127"/>
      <c r="C79" s="90"/>
      <c r="D79" s="90"/>
      <c r="E79" s="90"/>
      <c r="F79" s="90"/>
    </row>
    <row r="80" spans="1:6" ht="15.75">
      <c r="A80" s="90">
        <v>1</v>
      </c>
      <c r="B80" s="112"/>
      <c r="C80" s="90"/>
      <c r="D80" s="90"/>
      <c r="E80" s="90"/>
      <c r="F80" s="90"/>
    </row>
    <row r="81" spans="1:6" ht="15.75">
      <c r="A81" s="90">
        <v>2</v>
      </c>
      <c r="B81" s="112"/>
      <c r="C81" s="90"/>
      <c r="D81" s="90"/>
      <c r="E81" s="90"/>
      <c r="F81" s="90"/>
    </row>
    <row r="82" spans="1:6" ht="15.75">
      <c r="A82" s="90">
        <v>3</v>
      </c>
      <c r="B82" s="112"/>
      <c r="C82" s="90"/>
      <c r="D82" s="90"/>
      <c r="E82" s="90"/>
      <c r="F82" s="90"/>
    </row>
    <row r="83" spans="1:6" ht="15.75">
      <c r="A83" s="90">
        <v>4</v>
      </c>
      <c r="B83" s="112"/>
      <c r="C83" s="90"/>
      <c r="D83" s="90"/>
      <c r="E83" s="90"/>
      <c r="F83" s="90"/>
    </row>
    <row r="84" spans="1:6" ht="15.75">
      <c r="A84" s="90">
        <v>5</v>
      </c>
      <c r="B84" s="112"/>
      <c r="C84" s="90"/>
      <c r="D84" s="90"/>
      <c r="E84" s="90"/>
      <c r="F84" s="90"/>
    </row>
    <row r="85" spans="1:6" ht="15.75">
      <c r="A85" s="118" t="str">
        <f>CONCATENATE("County's Final Assessed Valuation for ",C4-1," (November 1,",C4-2," Abstract):")</f>
        <v>County's Final Assessed Valuation for 2011 (November 1,2010 Abstract):</v>
      </c>
      <c r="B85" s="119"/>
      <c r="C85" s="119"/>
      <c r="D85" s="119"/>
      <c r="E85" s="124"/>
      <c r="F85" s="117">
        <v>74653859</v>
      </c>
    </row>
    <row r="86" spans="1:6" ht="15.75">
      <c r="A86" s="89"/>
      <c r="B86" s="90"/>
      <c r="C86" s="90"/>
      <c r="D86" s="90"/>
      <c r="E86" s="90"/>
      <c r="F86" s="90"/>
    </row>
    <row r="87" spans="1:6" ht="15.75">
      <c r="A87" s="90"/>
      <c r="B87" s="90"/>
      <c r="C87" s="90"/>
      <c r="D87" s="90"/>
      <c r="E87" s="90"/>
      <c r="F87" s="90"/>
    </row>
    <row r="88" spans="1:6" ht="15.75">
      <c r="A88" s="129" t="str">
        <f>CONCATENATE("From the ",C4-1," Budget:")</f>
        <v>From the 2011 Budget:</v>
      </c>
      <c r="B88" s="100"/>
      <c r="C88" s="90"/>
      <c r="D88" s="679" t="str">
        <f>CONCATENATE("",C4-3," Tax Rate (",C4-2," Column)")</f>
        <v>2009 Tax Rate (2010 Column)</v>
      </c>
      <c r="E88" s="130"/>
      <c r="F88" s="90"/>
    </row>
    <row r="89" spans="1:6" ht="15.75">
      <c r="A89" s="129" t="s">
        <v>431</v>
      </c>
      <c r="B89" s="131"/>
      <c r="C89" s="90"/>
      <c r="D89" s="680"/>
      <c r="E89" s="130"/>
      <c r="F89" s="90"/>
    </row>
    <row r="90" spans="1:6" ht="15.75">
      <c r="A90" s="90"/>
      <c r="B90" s="132" t="str">
        <f>B16</f>
        <v>General</v>
      </c>
      <c r="C90" s="90"/>
      <c r="D90" s="112">
        <v>20.409</v>
      </c>
      <c r="E90" s="130"/>
      <c r="F90" s="90"/>
    </row>
    <row r="91" spans="1:6" ht="15.75">
      <c r="A91" s="90"/>
      <c r="B91" s="132" t="str">
        <f>B17</f>
        <v>County Bond &amp; Interest</v>
      </c>
      <c r="C91" s="90"/>
      <c r="D91" s="112">
        <v>2.178</v>
      </c>
      <c r="E91" s="130"/>
      <c r="F91" s="90"/>
    </row>
    <row r="92" spans="1:6" ht="15.75">
      <c r="A92" s="90"/>
      <c r="B92" s="132" t="str">
        <f>B18</f>
        <v>Road &amp; Bridge</v>
      </c>
      <c r="C92" s="90"/>
      <c r="D92" s="112">
        <v>10.649</v>
      </c>
      <c r="E92" s="130"/>
      <c r="F92" s="90"/>
    </row>
    <row r="93" spans="1:6" ht="15.75">
      <c r="A93" s="90"/>
      <c r="B93" s="132" t="str">
        <f aca="true" t="shared" si="0" ref="B93:B114">B19</f>
        <v>Health</v>
      </c>
      <c r="C93" s="90"/>
      <c r="D93" s="112">
        <v>0.9</v>
      </c>
      <c r="E93" s="130"/>
      <c r="F93" s="90"/>
    </row>
    <row r="94" spans="1:6" ht="15.75">
      <c r="A94" s="90"/>
      <c r="B94" s="132" t="str">
        <f t="shared" si="0"/>
        <v>Noxious Weed</v>
      </c>
      <c r="C94" s="90"/>
      <c r="D94" s="112">
        <v>1.5</v>
      </c>
      <c r="E94" s="130"/>
      <c r="F94" s="90"/>
    </row>
    <row r="95" spans="1:6" ht="15.75">
      <c r="A95" s="90"/>
      <c r="B95" s="132" t="str">
        <f t="shared" si="0"/>
        <v>Courthouse Maintenance</v>
      </c>
      <c r="C95" s="90"/>
      <c r="D95" s="112">
        <v>1</v>
      </c>
      <c r="E95" s="130"/>
      <c r="F95" s="90"/>
    </row>
    <row r="96" spans="1:6" ht="15.75">
      <c r="A96" s="90"/>
      <c r="B96" s="132" t="str">
        <f t="shared" si="0"/>
        <v>Historical</v>
      </c>
      <c r="C96" s="90"/>
      <c r="D96" s="112">
        <v>0.5</v>
      </c>
      <c r="E96" s="130"/>
      <c r="F96" s="90"/>
    </row>
    <row r="97" spans="1:6" ht="15.75">
      <c r="A97" s="90"/>
      <c r="B97" s="132" t="str">
        <f t="shared" si="0"/>
        <v>Employee Benefits</v>
      </c>
      <c r="C97" s="90"/>
      <c r="D97" s="112">
        <v>15.119</v>
      </c>
      <c r="E97" s="130"/>
      <c r="F97" s="90"/>
    </row>
    <row r="98" spans="1:6" ht="15.75">
      <c r="A98" s="90"/>
      <c r="B98" s="132" t="str">
        <f t="shared" si="0"/>
        <v>Economic Development</v>
      </c>
      <c r="C98" s="90"/>
      <c r="D98" s="112">
        <v>1</v>
      </c>
      <c r="E98" s="130"/>
      <c r="F98" s="90"/>
    </row>
    <row r="99" spans="1:6" ht="15.75">
      <c r="A99" s="90"/>
      <c r="B99" s="132" t="str">
        <f t="shared" si="0"/>
        <v>Special Bridge</v>
      </c>
      <c r="C99" s="90"/>
      <c r="D99" s="112">
        <v>1.5</v>
      </c>
      <c r="E99" s="130"/>
      <c r="F99" s="90"/>
    </row>
    <row r="100" spans="1:6" ht="15.75">
      <c r="A100" s="90"/>
      <c r="B100" s="132" t="str">
        <f t="shared" si="0"/>
        <v> </v>
      </c>
      <c r="C100" s="90"/>
      <c r="D100" s="112"/>
      <c r="E100" s="130"/>
      <c r="F100" s="90"/>
    </row>
    <row r="101" spans="1:6" ht="15.75">
      <c r="A101" s="90"/>
      <c r="B101" s="132" t="str">
        <f t="shared" si="0"/>
        <v> </v>
      </c>
      <c r="C101" s="90"/>
      <c r="D101" s="112"/>
      <c r="E101" s="130"/>
      <c r="F101" s="90"/>
    </row>
    <row r="102" spans="1:6" ht="15.75">
      <c r="A102" s="90"/>
      <c r="B102" s="132" t="str">
        <f t="shared" si="0"/>
        <v> </v>
      </c>
      <c r="C102" s="90"/>
      <c r="D102" s="112"/>
      <c r="E102" s="130"/>
      <c r="F102" s="90"/>
    </row>
    <row r="103" spans="1:6" ht="15.75">
      <c r="A103" s="90"/>
      <c r="B103" s="132" t="str">
        <f t="shared" si="0"/>
        <v> </v>
      </c>
      <c r="C103" s="90"/>
      <c r="D103" s="112"/>
      <c r="E103" s="130"/>
      <c r="F103" s="90"/>
    </row>
    <row r="104" spans="1:6" ht="15.75">
      <c r="A104" s="90"/>
      <c r="B104" s="132" t="str">
        <f t="shared" si="0"/>
        <v> </v>
      </c>
      <c r="C104" s="90"/>
      <c r="D104" s="112"/>
      <c r="E104" s="130"/>
      <c r="F104" s="90"/>
    </row>
    <row r="105" spans="1:6" ht="15.75">
      <c r="A105" s="90"/>
      <c r="B105" s="132" t="str">
        <f t="shared" si="0"/>
        <v> </v>
      </c>
      <c r="C105" s="90"/>
      <c r="D105" s="112"/>
      <c r="E105" s="130"/>
      <c r="F105" s="90"/>
    </row>
    <row r="106" spans="1:6" ht="15.75">
      <c r="A106" s="90"/>
      <c r="B106" s="132" t="str">
        <f t="shared" si="0"/>
        <v> </v>
      </c>
      <c r="C106" s="90"/>
      <c r="D106" s="112"/>
      <c r="E106" s="130"/>
      <c r="F106" s="90"/>
    </row>
    <row r="107" spans="1:6" ht="15.75">
      <c r="A107" s="90"/>
      <c r="B107" s="132" t="str">
        <f t="shared" si="0"/>
        <v> </v>
      </c>
      <c r="C107" s="90"/>
      <c r="D107" s="112"/>
      <c r="E107" s="130"/>
      <c r="F107" s="90"/>
    </row>
    <row r="108" spans="1:6" ht="15.75">
      <c r="A108" s="90"/>
      <c r="B108" s="132" t="str">
        <f t="shared" si="0"/>
        <v> </v>
      </c>
      <c r="C108" s="90"/>
      <c r="D108" s="112"/>
      <c r="E108" s="130"/>
      <c r="F108" s="90"/>
    </row>
    <row r="109" spans="1:6" ht="15.75">
      <c r="A109" s="90"/>
      <c r="B109" s="132" t="str">
        <f t="shared" si="0"/>
        <v> </v>
      </c>
      <c r="C109" s="90"/>
      <c r="D109" s="112"/>
      <c r="E109" s="130"/>
      <c r="F109" s="90"/>
    </row>
    <row r="110" spans="1:6" ht="15.75">
      <c r="A110" s="90"/>
      <c r="B110" s="132" t="str">
        <f t="shared" si="0"/>
        <v> </v>
      </c>
      <c r="C110" s="90"/>
      <c r="D110" s="112"/>
      <c r="E110" s="130"/>
      <c r="F110" s="90"/>
    </row>
    <row r="111" spans="1:6" ht="15.75">
      <c r="A111" s="90"/>
      <c r="B111" s="132" t="str">
        <f t="shared" si="0"/>
        <v> </v>
      </c>
      <c r="C111" s="90"/>
      <c r="D111" s="112"/>
      <c r="E111" s="130"/>
      <c r="F111" s="90"/>
    </row>
    <row r="112" spans="1:6" ht="15.75">
      <c r="A112" s="90"/>
      <c r="B112" s="132" t="str">
        <f t="shared" si="0"/>
        <v> </v>
      </c>
      <c r="C112" s="90"/>
      <c r="D112" s="112"/>
      <c r="E112" s="130"/>
      <c r="F112" s="90"/>
    </row>
    <row r="113" spans="1:6" ht="15.75">
      <c r="A113" s="90"/>
      <c r="B113" s="132" t="str">
        <f t="shared" si="0"/>
        <v> </v>
      </c>
      <c r="C113" s="90"/>
      <c r="D113" s="112"/>
      <c r="E113" s="130"/>
      <c r="F113" s="90"/>
    </row>
    <row r="114" spans="1:6" ht="15.75">
      <c r="A114" s="90"/>
      <c r="B114" s="132" t="str">
        <f t="shared" si="0"/>
        <v> </v>
      </c>
      <c r="C114" s="90"/>
      <c r="D114" s="112"/>
      <c r="E114" s="130"/>
      <c r="F114" s="90"/>
    </row>
    <row r="115" spans="1:6" ht="15.75">
      <c r="A115" s="119" t="s">
        <v>441</v>
      </c>
      <c r="B115" s="119"/>
      <c r="C115" s="124"/>
      <c r="D115" s="122">
        <f>SUM(D90:D114)</f>
        <v>54.754999999999995</v>
      </c>
      <c r="E115" s="130"/>
      <c r="F115" s="90"/>
    </row>
    <row r="116" spans="1:6" ht="15.75">
      <c r="A116" s="90"/>
      <c r="B116" s="90"/>
      <c r="C116" s="90"/>
      <c r="D116" s="90"/>
      <c r="E116" s="90"/>
      <c r="F116" s="90"/>
    </row>
    <row r="117" spans="1:6" ht="15.75">
      <c r="A117" s="133" t="str">
        <f>CONCATENATE("Total Tax Levied (",C4-2," budget column)")</f>
        <v>Total Tax Levied (2010 budget column)</v>
      </c>
      <c r="B117" s="134"/>
      <c r="C117" s="119"/>
      <c r="D117" s="119"/>
      <c r="E117" s="124"/>
      <c r="F117" s="117">
        <v>4063949</v>
      </c>
    </row>
    <row r="118" spans="1:6" ht="15.75">
      <c r="A118" s="135" t="str">
        <f>CONCATENATE("Assessed Valuation  (",C4-2," budget column)")</f>
        <v>Assessed Valuation  (2010 budget column)</v>
      </c>
      <c r="B118" s="136"/>
      <c r="C118" s="137"/>
      <c r="D118" s="137"/>
      <c r="E118" s="120"/>
      <c r="F118" s="117">
        <v>74453445</v>
      </c>
    </row>
    <row r="119" spans="1:6" ht="15.75">
      <c r="A119" s="126"/>
      <c r="B119" s="93"/>
      <c r="C119" s="93"/>
      <c r="D119" s="93"/>
      <c r="E119" s="93"/>
      <c r="F119" s="138"/>
    </row>
    <row r="120" spans="1:6" ht="15.75">
      <c r="A120" s="139" t="str">
        <f>CONCATENATE("From the ",C4-1," Budget, Budget Summary Page:")</f>
        <v>From the 2011 Budget, Budget Summary Page:</v>
      </c>
      <c r="B120" s="140"/>
      <c r="C120" s="130"/>
      <c r="D120" s="130"/>
      <c r="E120" s="130"/>
      <c r="F120" s="130"/>
    </row>
    <row r="121" spans="1:6" ht="15.75">
      <c r="A121" s="141" t="s">
        <v>17</v>
      </c>
      <c r="B121" s="141"/>
      <c r="C121" s="142"/>
      <c r="D121" s="143">
        <f>C4-3</f>
        <v>2009</v>
      </c>
      <c r="E121" s="144">
        <f>C4-2</f>
        <v>2010</v>
      </c>
      <c r="F121" s="130"/>
    </row>
    <row r="122" spans="1:6" ht="15.75">
      <c r="A122" s="145" t="s">
        <v>18</v>
      </c>
      <c r="B122" s="145"/>
      <c r="C122" s="146"/>
      <c r="D122" s="110">
        <v>2020000</v>
      </c>
      <c r="E122" s="110">
        <v>1715000</v>
      </c>
      <c r="F122" s="130"/>
    </row>
    <row r="123" spans="1:6" s="148" customFormat="1" ht="15.75">
      <c r="A123" s="147" t="s">
        <v>333</v>
      </c>
      <c r="B123" s="147"/>
      <c r="C123" s="146"/>
      <c r="D123" s="110"/>
      <c r="E123" s="110"/>
      <c r="F123" s="142"/>
    </row>
    <row r="124" spans="1:6" s="148" customFormat="1" ht="15.75">
      <c r="A124" s="147" t="s">
        <v>334</v>
      </c>
      <c r="B124" s="147"/>
      <c r="C124" s="146"/>
      <c r="D124" s="110">
        <v>2343019</v>
      </c>
      <c r="E124" s="110">
        <v>2219789</v>
      </c>
      <c r="F124" s="142"/>
    </row>
    <row r="125" spans="1:6" s="148" customFormat="1" ht="15.75">
      <c r="A125" s="147" t="s">
        <v>335</v>
      </c>
      <c r="B125" s="147"/>
      <c r="C125" s="146"/>
      <c r="D125" s="110">
        <v>79741</v>
      </c>
      <c r="E125" s="110">
        <v>48784</v>
      </c>
      <c r="F125" s="142"/>
    </row>
    <row r="126" s="148" customFormat="1" ht="15.75"/>
  </sheetData>
  <sheetProtection/>
  <mergeCells count="3">
    <mergeCell ref="D88:D89"/>
    <mergeCell ref="A9:F9"/>
    <mergeCell ref="A1:F1"/>
  </mergeCells>
  <printOptions/>
  <pageMargins left="0.5" right="0.5" top="1" bottom="0.5" header="0.5" footer="0.25"/>
  <pageSetup blackAndWhite="1" fitToHeight="3" fitToWidth="1" horizontalDpi="120" verticalDpi="120" orientation="portrait" scale="90" r:id="rId1"/>
</worksheet>
</file>

<file path=xl/worksheets/sheet20.xml><?xml version="1.0" encoding="utf-8"?>
<worksheet xmlns="http://schemas.openxmlformats.org/spreadsheetml/2006/main" xmlns:r="http://schemas.openxmlformats.org/officeDocument/2006/relationships">
  <sheetPr>
    <pageSetUpPr fitToPage="1"/>
  </sheetPr>
  <dimension ref="B1:E66"/>
  <sheetViews>
    <sheetView tabSelected="1" zoomScalePageLayoutView="0" workbookViewId="0" topLeftCell="A3">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212</v>
      </c>
      <c r="C3" s="344"/>
      <c r="D3" s="344"/>
      <c r="E3" s="345"/>
    </row>
    <row r="4" spans="2:5" ht="15.75">
      <c r="B4" s="90"/>
      <c r="C4" s="338"/>
      <c r="D4" s="338"/>
      <c r="E4" s="338"/>
    </row>
    <row r="5" spans="2:5" ht="15.75">
      <c r="B5" s="89" t="s">
        <v>123</v>
      </c>
      <c r="C5" s="577" t="str">
        <f>general!C4</f>
        <v>Prior Year Actual</v>
      </c>
      <c r="D5" s="482" t="str">
        <f>general!D4</f>
        <v>Current Year Estimate</v>
      </c>
      <c r="E5" s="482" t="str">
        <f>general!E4</f>
        <v>Proposed Budget Year</v>
      </c>
    </row>
    <row r="6" spans="2:5" ht="15.75">
      <c r="B6" s="516" t="str">
        <f>inputPrYr!B43</f>
        <v>Special Parks &amp; Recreation</v>
      </c>
      <c r="C6" s="326">
        <f>general!C5</f>
        <v>2010</v>
      </c>
      <c r="D6" s="326">
        <f>general!D5</f>
        <v>2011</v>
      </c>
      <c r="E6" s="313">
        <f>general!E5</f>
        <v>2012</v>
      </c>
    </row>
    <row r="7" spans="2:5" ht="15.75">
      <c r="B7" s="153" t="s">
        <v>253</v>
      </c>
      <c r="C7" s="117">
        <v>2589</v>
      </c>
      <c r="D7" s="276">
        <f>C30</f>
        <v>1304</v>
      </c>
      <c r="E7" s="276">
        <f>D30</f>
        <v>2304</v>
      </c>
    </row>
    <row r="8" spans="2:5" ht="15.75">
      <c r="B8" s="347" t="s">
        <v>255</v>
      </c>
      <c r="C8" s="113"/>
      <c r="D8" s="113"/>
      <c r="E8" s="113"/>
    </row>
    <row r="9" spans="2:5" ht="15.75">
      <c r="B9" s="329" t="s">
        <v>914</v>
      </c>
      <c r="C9" s="117">
        <v>3394</v>
      </c>
      <c r="D9" s="117">
        <v>4000</v>
      </c>
      <c r="E9" s="117">
        <v>4000</v>
      </c>
    </row>
    <row r="10" spans="2:5" ht="15.75">
      <c r="B10" s="329"/>
      <c r="C10" s="117"/>
      <c r="D10" s="117"/>
      <c r="E10" s="117"/>
    </row>
    <row r="11" spans="2:5" ht="15.75">
      <c r="B11" s="329"/>
      <c r="C11" s="117"/>
      <c r="D11" s="117"/>
      <c r="E11" s="117"/>
    </row>
    <row r="12" spans="2:5" ht="15.75">
      <c r="B12" s="319" t="s">
        <v>131</v>
      </c>
      <c r="C12" s="117"/>
      <c r="D12" s="117"/>
      <c r="E12" s="117"/>
    </row>
    <row r="13" spans="2:5" ht="15.75">
      <c r="B13" s="320" t="s">
        <v>870</v>
      </c>
      <c r="C13" s="117"/>
      <c r="D13" s="315"/>
      <c r="E13" s="315"/>
    </row>
    <row r="14" spans="2:5" ht="15.75">
      <c r="B14" s="320" t="s">
        <v>722</v>
      </c>
      <c r="C14" s="512">
        <f>IF(C15*0.1&lt;C13,"Exceed 10% Rule","")</f>
      </c>
      <c r="D14" s="321">
        <f>IF(D15*0.1&lt;D13,"Exceed 10% Rule","")</f>
      </c>
      <c r="E14" s="321">
        <f>IF(E15*0.1&lt;E13,"Exceed 10% Rule","")</f>
      </c>
    </row>
    <row r="15" spans="2:5" ht="15.75">
      <c r="B15" s="322" t="s">
        <v>132</v>
      </c>
      <c r="C15" s="363">
        <f>SUM(C9:C13)</f>
        <v>3394</v>
      </c>
      <c r="D15" s="363">
        <f>SUM(D9:D13)</f>
        <v>4000</v>
      </c>
      <c r="E15" s="363">
        <f>SUM(E9:E13)</f>
        <v>4000</v>
      </c>
    </row>
    <row r="16" spans="2:5" ht="15.75">
      <c r="B16" s="322" t="s">
        <v>133</v>
      </c>
      <c r="C16" s="363">
        <f>C15+C7</f>
        <v>5983</v>
      </c>
      <c r="D16" s="363">
        <f>D15+D7</f>
        <v>5304</v>
      </c>
      <c r="E16" s="363">
        <f>E15+E7</f>
        <v>6304</v>
      </c>
    </row>
    <row r="17" spans="2:5" ht="15.75">
      <c r="B17" s="153" t="s">
        <v>136</v>
      </c>
      <c r="C17" s="276"/>
      <c r="D17" s="276"/>
      <c r="E17" s="276"/>
    </row>
    <row r="18" spans="2:5" ht="15.75">
      <c r="B18" s="329" t="s">
        <v>915</v>
      </c>
      <c r="C18" s="117">
        <v>4679</v>
      </c>
      <c r="D18" s="117">
        <v>3000</v>
      </c>
      <c r="E18" s="117">
        <v>6304</v>
      </c>
    </row>
    <row r="19" spans="2:5" ht="15.75">
      <c r="B19" s="329"/>
      <c r="C19" s="117"/>
      <c r="D19" s="117"/>
      <c r="E19" s="117"/>
    </row>
    <row r="20" spans="2:5" ht="15.75">
      <c r="B20" s="329"/>
      <c r="C20" s="117"/>
      <c r="D20" s="117"/>
      <c r="E20" s="117"/>
    </row>
    <row r="21" spans="2:5" ht="15.75">
      <c r="B21" s="329"/>
      <c r="C21" s="117"/>
      <c r="D21" s="117"/>
      <c r="E21" s="117"/>
    </row>
    <row r="22" spans="2:5" ht="15.75">
      <c r="B22" s="329"/>
      <c r="C22" s="117"/>
      <c r="D22" s="117"/>
      <c r="E22" s="117"/>
    </row>
    <row r="23" spans="2:5" ht="15.75">
      <c r="B23" s="329"/>
      <c r="C23" s="117"/>
      <c r="D23" s="117"/>
      <c r="E23" s="117"/>
    </row>
    <row r="24" spans="2:5" ht="15.75">
      <c r="B24" s="329"/>
      <c r="C24" s="117"/>
      <c r="D24" s="117"/>
      <c r="E24" s="117"/>
    </row>
    <row r="25" spans="2:5" ht="15.75">
      <c r="B25" s="329"/>
      <c r="C25" s="117"/>
      <c r="D25" s="117"/>
      <c r="E25" s="117"/>
    </row>
    <row r="26" spans="2:5" ht="15.75">
      <c r="B26" s="329"/>
      <c r="C26" s="117"/>
      <c r="D26" s="117"/>
      <c r="E26" s="117"/>
    </row>
    <row r="27" spans="2:5" ht="15.75">
      <c r="B27" s="320" t="s">
        <v>870</v>
      </c>
      <c r="C27" s="117"/>
      <c r="D27" s="315"/>
      <c r="E27" s="315"/>
    </row>
    <row r="28" spans="2:5" ht="15.75">
      <c r="B28" s="320" t="s">
        <v>721</v>
      </c>
      <c r="C28" s="512">
        <f>IF(C29*0.1&lt;C27,"Exceed 10% Rule","")</f>
      </c>
      <c r="D28" s="321">
        <f>IF(D29*0.1&lt;D27,"Exceed 10% Rule","")</f>
      </c>
      <c r="E28" s="321">
        <f>IF(E29*0.1&lt;E27,"Exceed 10% Rule","")</f>
      </c>
    </row>
    <row r="29" spans="2:5" ht="15.75">
      <c r="B29" s="322" t="s">
        <v>137</v>
      </c>
      <c r="C29" s="363">
        <f>SUM(C18:C27)</f>
        <v>4679</v>
      </c>
      <c r="D29" s="363">
        <f>SUM(D18:D27)</f>
        <v>3000</v>
      </c>
      <c r="E29" s="363">
        <f>SUM(E18:E27)</f>
        <v>6304</v>
      </c>
    </row>
    <row r="30" spans="2:5" ht="15.75">
      <c r="B30" s="153" t="s">
        <v>254</v>
      </c>
      <c r="C30" s="125">
        <f>C16-C29</f>
        <v>1304</v>
      </c>
      <c r="D30" s="125">
        <f>D16-D29</f>
        <v>2304</v>
      </c>
      <c r="E30" s="125">
        <f>E16-E29</f>
        <v>0</v>
      </c>
    </row>
    <row r="31" spans="2:5" ht="15.75">
      <c r="B31" s="298" t="str">
        <f>CONCATENATE("",E$1-2,"/",E$1-1," Budget Authority Amount:")</f>
        <v>2010/2011 Budget Authority Amount:</v>
      </c>
      <c r="C31" s="290">
        <f>inputOth!B56</f>
        <v>10097</v>
      </c>
      <c r="D31" s="290">
        <f>inputPrYr!D43</f>
        <v>5589</v>
      </c>
      <c r="E31" s="511">
        <f>IF(E30&lt;0,"See Tab E","")</f>
      </c>
    </row>
    <row r="32" spans="2:5" ht="15.75">
      <c r="B32" s="298"/>
      <c r="C32" s="332">
        <f>IF(C29&gt;C31,"See Tab A","")</f>
      </c>
      <c r="D32" s="332">
        <f>IF(D29&gt;D31,"See Tab C","")</f>
      </c>
      <c r="E32" s="150"/>
    </row>
    <row r="33" spans="2:5" ht="15.75">
      <c r="B33" s="298"/>
      <c r="C33" s="332">
        <f>IF(C30&lt;0,"See Tab B","")</f>
      </c>
      <c r="D33" s="332">
        <f>IF(D30&lt;0,"See Tab D","")</f>
      </c>
      <c r="E33" s="150"/>
    </row>
    <row r="34" spans="2:5" ht="15.75">
      <c r="B34" s="90"/>
      <c r="C34" s="150"/>
      <c r="D34" s="150"/>
      <c r="E34" s="150"/>
    </row>
    <row r="35" spans="2:5" ht="15.75">
      <c r="B35" s="89" t="s">
        <v>123</v>
      </c>
      <c r="C35" s="338"/>
      <c r="D35" s="338"/>
      <c r="E35" s="338"/>
    </row>
    <row r="36" spans="2:5" ht="15.75">
      <c r="B36" s="90"/>
      <c r="C36" s="577" t="str">
        <f aca="true" t="shared" si="0" ref="C36:E37">C5</f>
        <v>Prior Year Actual</v>
      </c>
      <c r="D36" s="482" t="str">
        <f t="shared" si="0"/>
        <v>Current Year Estimate</v>
      </c>
      <c r="E36" s="482" t="str">
        <f t="shared" si="0"/>
        <v>Proposed Budget Year</v>
      </c>
    </row>
    <row r="37" spans="2:5" ht="15.75">
      <c r="B37" s="515" t="str">
        <f>inputPrYr!B44</f>
        <v>Special Alcohol</v>
      </c>
      <c r="C37" s="326">
        <f t="shared" si="0"/>
        <v>2010</v>
      </c>
      <c r="D37" s="326">
        <f t="shared" si="0"/>
        <v>2011</v>
      </c>
      <c r="E37" s="313">
        <f t="shared" si="0"/>
        <v>2012</v>
      </c>
    </row>
    <row r="38" spans="2:5" ht="15.75">
      <c r="B38" s="153" t="s">
        <v>253</v>
      </c>
      <c r="C38" s="117">
        <v>22943</v>
      </c>
      <c r="D38" s="276">
        <f>C61</f>
        <v>15351</v>
      </c>
      <c r="E38" s="276">
        <f>D61</f>
        <v>12351</v>
      </c>
    </row>
    <row r="39" spans="2:5" ht="15.75">
      <c r="B39" s="153" t="s">
        <v>255</v>
      </c>
      <c r="C39" s="113"/>
      <c r="D39" s="113"/>
      <c r="E39" s="113"/>
    </row>
    <row r="40" spans="2:5" ht="15.75">
      <c r="B40" s="329" t="s">
        <v>914</v>
      </c>
      <c r="C40" s="117">
        <v>10134</v>
      </c>
      <c r="D40" s="117">
        <v>12000</v>
      </c>
      <c r="E40" s="117">
        <v>12500</v>
      </c>
    </row>
    <row r="41" spans="2:5" ht="15.75">
      <c r="B41" s="329"/>
      <c r="C41" s="117"/>
      <c r="D41" s="117"/>
      <c r="E41" s="117"/>
    </row>
    <row r="42" spans="2:5" ht="15.75">
      <c r="B42" s="329"/>
      <c r="C42" s="117"/>
      <c r="D42" s="117"/>
      <c r="E42" s="117"/>
    </row>
    <row r="43" spans="2:5" ht="15.75">
      <c r="B43" s="319" t="s">
        <v>131</v>
      </c>
      <c r="C43" s="117"/>
      <c r="D43" s="117"/>
      <c r="E43" s="117"/>
    </row>
    <row r="44" spans="2:5" ht="15.75">
      <c r="B44" s="320" t="s">
        <v>870</v>
      </c>
      <c r="C44" s="117"/>
      <c r="D44" s="315"/>
      <c r="E44" s="315"/>
    </row>
    <row r="45" spans="2:5" ht="15.75">
      <c r="B45" s="320" t="s">
        <v>722</v>
      </c>
      <c r="C45" s="512">
        <f>IF(C46*0.1&lt;C44,"Exceed 10% Rule","")</f>
      </c>
      <c r="D45" s="321">
        <f>IF(D46*0.1&lt;D44,"Exceed 10% Rule","")</f>
      </c>
      <c r="E45" s="321">
        <f>IF(E46*0.1&lt;E44,"Exceed 10% Rule","")</f>
      </c>
    </row>
    <row r="46" spans="2:5" ht="15.75">
      <c r="B46" s="322" t="s">
        <v>132</v>
      </c>
      <c r="C46" s="363">
        <f>SUM(C40:C44)</f>
        <v>10134</v>
      </c>
      <c r="D46" s="363">
        <f>SUM(D40:D44)</f>
        <v>12000</v>
      </c>
      <c r="E46" s="363">
        <f>SUM(E40:E44)</f>
        <v>12500</v>
      </c>
    </row>
    <row r="47" spans="2:5" ht="15.75">
      <c r="B47" s="322" t="s">
        <v>133</v>
      </c>
      <c r="C47" s="363">
        <f>C38+C46</f>
        <v>33077</v>
      </c>
      <c r="D47" s="363">
        <f>D38+D46</f>
        <v>27351</v>
      </c>
      <c r="E47" s="363">
        <f>E38+E46</f>
        <v>24851</v>
      </c>
    </row>
    <row r="48" spans="2:5" ht="15.75">
      <c r="B48" s="153" t="s">
        <v>136</v>
      </c>
      <c r="C48" s="276"/>
      <c r="D48" s="276"/>
      <c r="E48" s="276"/>
    </row>
    <row r="49" spans="2:5" ht="15.75">
      <c r="B49" s="329" t="s">
        <v>916</v>
      </c>
      <c r="C49" s="117">
        <v>0</v>
      </c>
      <c r="D49" s="117">
        <v>1000</v>
      </c>
      <c r="E49" s="117">
        <v>1000</v>
      </c>
    </row>
    <row r="50" spans="2:5" ht="15.75">
      <c r="B50" s="329" t="s">
        <v>402</v>
      </c>
      <c r="C50" s="117">
        <v>1508</v>
      </c>
      <c r="D50" s="117">
        <v>1000</v>
      </c>
      <c r="E50" s="117">
        <v>1000</v>
      </c>
    </row>
    <row r="51" spans="2:5" ht="15.75">
      <c r="B51" s="329" t="s">
        <v>403</v>
      </c>
      <c r="C51" s="117">
        <v>1178</v>
      </c>
      <c r="D51" s="117">
        <v>1000</v>
      </c>
      <c r="E51" s="117">
        <v>1000</v>
      </c>
    </row>
    <row r="52" spans="2:5" ht="15.75">
      <c r="B52" s="329" t="s">
        <v>917</v>
      </c>
      <c r="C52" s="117">
        <v>15040</v>
      </c>
      <c r="D52" s="117">
        <v>12000</v>
      </c>
      <c r="E52" s="117">
        <v>21851</v>
      </c>
    </row>
    <row r="53" spans="2:5" ht="15.75">
      <c r="B53" s="329"/>
      <c r="C53" s="117"/>
      <c r="D53" s="117"/>
      <c r="E53" s="117"/>
    </row>
    <row r="54" spans="2:5" ht="15.75">
      <c r="B54" s="329"/>
      <c r="C54" s="117"/>
      <c r="D54" s="117"/>
      <c r="E54" s="117"/>
    </row>
    <row r="55" spans="2:5" ht="15.75">
      <c r="B55" s="329"/>
      <c r="C55" s="117"/>
      <c r="D55" s="117"/>
      <c r="E55" s="117"/>
    </row>
    <row r="56" spans="2:5" ht="15.75">
      <c r="B56" s="329"/>
      <c r="C56" s="117"/>
      <c r="D56" s="117"/>
      <c r="E56" s="117"/>
    </row>
    <row r="57" spans="2:5" ht="15.75">
      <c r="B57" s="329"/>
      <c r="C57" s="117"/>
      <c r="D57" s="117"/>
      <c r="E57" s="117"/>
    </row>
    <row r="58" spans="2:5" ht="15.75">
      <c r="B58" s="320" t="s">
        <v>870</v>
      </c>
      <c r="C58" s="117"/>
      <c r="D58" s="315"/>
      <c r="E58" s="315"/>
    </row>
    <row r="59" spans="2:5" ht="15.75">
      <c r="B59" s="320" t="s">
        <v>721</v>
      </c>
      <c r="C59" s="512">
        <f>IF(C60*0.1&lt;C58,"Exceed 10% Rule","")</f>
      </c>
      <c r="D59" s="321">
        <f>IF(D60*0.1&lt;D58,"Exceed 10% Rule","")</f>
      </c>
      <c r="E59" s="321">
        <f>IF(E60*0.1&lt;E58,"Exceed 10% Rule","")</f>
      </c>
    </row>
    <row r="60" spans="2:5" ht="15.75">
      <c r="B60" s="322" t="s">
        <v>137</v>
      </c>
      <c r="C60" s="363">
        <f>SUM(C49:C58)</f>
        <v>17726</v>
      </c>
      <c r="D60" s="363">
        <f>SUM(D49:D58)</f>
        <v>15000</v>
      </c>
      <c r="E60" s="363">
        <f>SUM(E49:E58)</f>
        <v>24851</v>
      </c>
    </row>
    <row r="61" spans="2:5" ht="15.75">
      <c r="B61" s="153" t="s">
        <v>254</v>
      </c>
      <c r="C61" s="125">
        <f>C47-C60</f>
        <v>15351</v>
      </c>
      <c r="D61" s="125">
        <f>D47-D60</f>
        <v>12351</v>
      </c>
      <c r="E61" s="125">
        <f>E47-E60</f>
        <v>0</v>
      </c>
    </row>
    <row r="62" spans="2:5" ht="15.75">
      <c r="B62" s="298" t="str">
        <f>CONCATENATE("",E$1-2,"/",E$1-1," Budget Authority Amount:")</f>
        <v>2010/2011 Budget Authority Amount:</v>
      </c>
      <c r="C62" s="290">
        <f>inputOth!B57</f>
        <v>35879</v>
      </c>
      <c r="D62" s="290">
        <f>inputPrYr!D44</f>
        <v>32943</v>
      </c>
      <c r="E62" s="510">
        <f>IF(E61&lt;0,"See Tab E","")</f>
      </c>
    </row>
    <row r="63" spans="2:5" ht="15.75">
      <c r="B63" s="298"/>
      <c r="C63" s="332">
        <f>IF(C60&gt;C62,"See Tab A","")</f>
      </c>
      <c r="D63" s="332">
        <f>IF(D60&gt;D62,"See Tab C","")</f>
      </c>
      <c r="E63" s="90"/>
    </row>
    <row r="64" spans="2:5" ht="15.75">
      <c r="B64" s="298"/>
      <c r="C64" s="332">
        <f>IF(C61&lt;0,"See Tab B","")</f>
      </c>
      <c r="D64" s="332">
        <f>IF(D61&lt;0,"See Tab D","")</f>
      </c>
      <c r="E64" s="90"/>
    </row>
    <row r="65" spans="2:5" ht="15.75">
      <c r="B65" s="90"/>
      <c r="C65" s="90"/>
      <c r="D65" s="90"/>
      <c r="E65" s="90"/>
    </row>
    <row r="66" spans="2:5" ht="15.75">
      <c r="B66" s="298" t="s">
        <v>160</v>
      </c>
      <c r="C66" s="360">
        <v>14</v>
      </c>
      <c r="D66" s="90"/>
      <c r="E66" s="90"/>
    </row>
  </sheetData>
  <sheetProtection/>
  <conditionalFormatting sqref="C58">
    <cfRule type="cellIs" priority="16" dxfId="405" operator="greaterThan" stopIfTrue="1">
      <formula>$C$60*0.1</formula>
    </cfRule>
  </conditionalFormatting>
  <conditionalFormatting sqref="D58">
    <cfRule type="cellIs" priority="17" dxfId="405" operator="greaterThan" stopIfTrue="1">
      <formula>$D$60*0.1</formula>
    </cfRule>
  </conditionalFormatting>
  <conditionalFormatting sqref="E58">
    <cfRule type="cellIs" priority="18" dxfId="405" operator="greaterThan" stopIfTrue="1">
      <formula>$E$60*0.1</formula>
    </cfRule>
  </conditionalFormatting>
  <conditionalFormatting sqref="C61:E61 E30 C30">
    <cfRule type="cellIs" priority="19" dxfId="2" operator="lessThan" stopIfTrue="1">
      <formula>0</formula>
    </cfRule>
  </conditionalFormatting>
  <conditionalFormatting sqref="D60">
    <cfRule type="cellIs" priority="20" dxfId="2" operator="greaterThan" stopIfTrue="1">
      <formula>$D$62</formula>
    </cfRule>
  </conditionalFormatting>
  <conditionalFormatting sqref="C60">
    <cfRule type="cellIs" priority="21" dxfId="2" operator="greaterThan" stopIfTrue="1">
      <formula>$C$62</formula>
    </cfRule>
  </conditionalFormatting>
  <conditionalFormatting sqref="C27">
    <cfRule type="cellIs" priority="7" dxfId="405" operator="greaterThan" stopIfTrue="1">
      <formula>$C$29*0.1</formula>
    </cfRule>
  </conditionalFormatting>
  <conditionalFormatting sqref="D27">
    <cfRule type="cellIs" priority="8" dxfId="405" operator="greaterThan" stopIfTrue="1">
      <formula>$D$29*0.1</formula>
    </cfRule>
  </conditionalFormatting>
  <conditionalFormatting sqref="E27">
    <cfRule type="cellIs" priority="9" dxfId="405" operator="greaterThan" stopIfTrue="1">
      <formula>$E$29*0.1</formula>
    </cfRule>
  </conditionalFormatting>
  <conditionalFormatting sqref="C13">
    <cfRule type="cellIs" priority="10" dxfId="405" operator="greaterThan" stopIfTrue="1">
      <formula>$C$15*0.1</formula>
    </cfRule>
  </conditionalFormatting>
  <conditionalFormatting sqref="D13">
    <cfRule type="cellIs" priority="11" dxfId="405" operator="greaterThan" stopIfTrue="1">
      <formula>$D$15*0.1</formula>
    </cfRule>
  </conditionalFormatting>
  <conditionalFormatting sqref="E13">
    <cfRule type="cellIs" priority="12" dxfId="405" operator="greaterThan" stopIfTrue="1">
      <formula>$E$15*0.1</formula>
    </cfRule>
  </conditionalFormatting>
  <conditionalFormatting sqref="C44">
    <cfRule type="cellIs" priority="13" dxfId="405" operator="greaterThan" stopIfTrue="1">
      <formula>$C$46*0.1</formula>
    </cfRule>
  </conditionalFormatting>
  <conditionalFormatting sqref="D44">
    <cfRule type="cellIs" priority="14" dxfId="405" operator="greaterThan" stopIfTrue="1">
      <formula>$D$46*0.1</formula>
    </cfRule>
  </conditionalFormatting>
  <conditionalFormatting sqref="E44">
    <cfRule type="cellIs" priority="15" dxfId="405" operator="greaterThan" stopIfTrue="1">
      <formula>$E$46*0.1</formula>
    </cfRule>
  </conditionalFormatting>
  <conditionalFormatting sqref="C29">
    <cfRule type="cellIs" priority="6" dxfId="0" operator="greaterThan" stopIfTrue="1">
      <formula>$C$31</formula>
    </cfRule>
  </conditionalFormatting>
  <conditionalFormatting sqref="D29">
    <cfRule type="cellIs" priority="5" dxfId="0" operator="greaterThan" stopIfTrue="1">
      <formula>$D$31</formula>
    </cfRule>
  </conditionalFormatting>
  <conditionalFormatting sqref="D30">
    <cfRule type="cellIs" priority="2" dxfId="0" operator="lessThan" stopIfTrue="1">
      <formula>0</formula>
    </cfRule>
    <cfRule type="cellIs" priority="3"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6"/>
  <sheetViews>
    <sheetView tabSelected="1" zoomScalePageLayoutView="0" workbookViewId="0" topLeftCell="A13">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212</v>
      </c>
      <c r="C3" s="344"/>
      <c r="D3" s="344"/>
      <c r="E3" s="345"/>
    </row>
    <row r="4" spans="2:5" ht="15.75">
      <c r="B4" s="90"/>
      <c r="C4" s="338"/>
      <c r="D4" s="338"/>
      <c r="E4" s="338"/>
    </row>
    <row r="5" spans="2:5" ht="15.75">
      <c r="B5" s="89" t="s">
        <v>123</v>
      </c>
      <c r="C5" s="577" t="str">
        <f>general!C4</f>
        <v>Prior Year Actual</v>
      </c>
      <c r="D5" s="482" t="str">
        <f>general!D4</f>
        <v>Current Year Estimate</v>
      </c>
      <c r="E5" s="482" t="str">
        <f>general!E4</f>
        <v>Proposed Budget Year</v>
      </c>
    </row>
    <row r="6" spans="2:5" ht="15.75">
      <c r="B6" s="516" t="str">
        <f>inputPrYr!B45</f>
        <v>Bridge Improvement Sales Tax</v>
      </c>
      <c r="C6" s="326">
        <f>general!C5</f>
        <v>2010</v>
      </c>
      <c r="D6" s="326">
        <f>general!D5</f>
        <v>2011</v>
      </c>
      <c r="E6" s="313">
        <f>general!E5</f>
        <v>2012</v>
      </c>
    </row>
    <row r="7" spans="2:5" ht="15.75">
      <c r="B7" s="153" t="s">
        <v>253</v>
      </c>
      <c r="C7" s="117">
        <v>1296480</v>
      </c>
      <c r="D7" s="276">
        <f>C30</f>
        <v>1359533</v>
      </c>
      <c r="E7" s="276">
        <f>D30</f>
        <v>1387738</v>
      </c>
    </row>
    <row r="8" spans="2:5" ht="15.75">
      <c r="B8" s="347" t="s">
        <v>255</v>
      </c>
      <c r="C8" s="113"/>
      <c r="D8" s="113"/>
      <c r="E8" s="113"/>
    </row>
    <row r="9" spans="2:5" ht="15.75">
      <c r="B9" s="329" t="s">
        <v>426</v>
      </c>
      <c r="C9" s="117">
        <v>514086</v>
      </c>
      <c r="D9" s="117">
        <v>480000</v>
      </c>
      <c r="E9" s="117">
        <v>500000</v>
      </c>
    </row>
    <row r="10" spans="2:5" ht="15.75">
      <c r="B10" s="329"/>
      <c r="C10" s="117"/>
      <c r="D10" s="117"/>
      <c r="E10" s="117"/>
    </row>
    <row r="11" spans="2:5" ht="15.75">
      <c r="B11" s="329"/>
      <c r="C11" s="117"/>
      <c r="D11" s="117"/>
      <c r="E11" s="117"/>
    </row>
    <row r="12" spans="2:5" ht="15.75">
      <c r="B12" s="319" t="s">
        <v>131</v>
      </c>
      <c r="C12" s="117"/>
      <c r="D12" s="117"/>
      <c r="E12" s="117"/>
    </row>
    <row r="13" spans="2:5" ht="15.75">
      <c r="B13" s="320" t="s">
        <v>870</v>
      </c>
      <c r="C13" s="117"/>
      <c r="D13" s="315"/>
      <c r="E13" s="315"/>
    </row>
    <row r="14" spans="2:5" ht="15.75">
      <c r="B14" s="320" t="s">
        <v>722</v>
      </c>
      <c r="C14" s="512">
        <f>IF(C15*0.1&lt;C13,"Exceed 10% Rule","")</f>
      </c>
      <c r="D14" s="321">
        <f>IF(D15*0.1&lt;D13,"Exceed 10% Rule","")</f>
      </c>
      <c r="E14" s="321">
        <f>IF(E15*0.1&lt;E13,"Exceed 10% Rule","")</f>
      </c>
    </row>
    <row r="15" spans="2:5" ht="15.75">
      <c r="B15" s="322" t="s">
        <v>132</v>
      </c>
      <c r="C15" s="363">
        <f>SUM(C9:C13)</f>
        <v>514086</v>
      </c>
      <c r="D15" s="363">
        <f>SUM(D9:D13)</f>
        <v>480000</v>
      </c>
      <c r="E15" s="363">
        <f>SUM(E9:E13)</f>
        <v>500000</v>
      </c>
    </row>
    <row r="16" spans="2:5" ht="15.75">
      <c r="B16" s="322" t="s">
        <v>133</v>
      </c>
      <c r="C16" s="363">
        <f>C15+C7</f>
        <v>1810566</v>
      </c>
      <c r="D16" s="363">
        <f>D15+D7</f>
        <v>1839533</v>
      </c>
      <c r="E16" s="363">
        <f>E15+E7</f>
        <v>1887738</v>
      </c>
    </row>
    <row r="17" spans="2:5" ht="15.75">
      <c r="B17" s="153" t="s">
        <v>136</v>
      </c>
      <c r="C17" s="276"/>
      <c r="D17" s="276"/>
      <c r="E17" s="276"/>
    </row>
    <row r="18" spans="2:5" ht="15.75">
      <c r="B18" s="329" t="s">
        <v>415</v>
      </c>
      <c r="C18" s="117">
        <v>191250</v>
      </c>
      <c r="D18" s="117">
        <v>199750</v>
      </c>
      <c r="E18" s="117">
        <f>245000*0.85</f>
        <v>208250</v>
      </c>
    </row>
    <row r="19" spans="2:5" ht="15.75">
      <c r="B19" s="329" t="s">
        <v>416</v>
      </c>
      <c r="C19" s="117">
        <v>24886</v>
      </c>
      <c r="D19" s="117">
        <v>17140</v>
      </c>
      <c r="E19" s="117">
        <f>10413*0.85</f>
        <v>8851.05</v>
      </c>
    </row>
    <row r="20" spans="2:5" ht="15.75">
      <c r="B20" s="329" t="s">
        <v>425</v>
      </c>
      <c r="C20" s="117">
        <v>2</v>
      </c>
      <c r="D20" s="117">
        <v>10</v>
      </c>
      <c r="E20" s="117">
        <v>10</v>
      </c>
    </row>
    <row r="21" spans="2:5" ht="15.75">
      <c r="B21" s="329" t="s">
        <v>427</v>
      </c>
      <c r="C21" s="117">
        <v>234895</v>
      </c>
      <c r="D21" s="117">
        <v>234895</v>
      </c>
      <c r="E21" s="117">
        <f>171423+63472</f>
        <v>234895</v>
      </c>
    </row>
    <row r="22" spans="2:5" ht="15.75">
      <c r="B22" s="329"/>
      <c r="C22" s="117"/>
      <c r="D22" s="117"/>
      <c r="E22" s="117"/>
    </row>
    <row r="23" spans="2:5" ht="15.75">
      <c r="B23" s="329" t="s">
        <v>428</v>
      </c>
      <c r="C23" s="117">
        <v>0</v>
      </c>
      <c r="D23" s="117">
        <v>0</v>
      </c>
      <c r="E23" s="117">
        <v>350000</v>
      </c>
    </row>
    <row r="24" spans="2:5" ht="15.75">
      <c r="B24" s="329"/>
      <c r="C24" s="117"/>
      <c r="D24" s="117"/>
      <c r="E24" s="117"/>
    </row>
    <row r="25" spans="2:5" ht="15.75">
      <c r="B25" s="329"/>
      <c r="C25" s="117"/>
      <c r="D25" s="117"/>
      <c r="E25" s="117"/>
    </row>
    <row r="26" spans="2:5" ht="15.75">
      <c r="B26" s="329"/>
      <c r="C26" s="117"/>
      <c r="D26" s="117"/>
      <c r="E26" s="117"/>
    </row>
    <row r="27" spans="2:5" ht="15.75">
      <c r="B27" s="320" t="s">
        <v>870</v>
      </c>
      <c r="C27" s="117"/>
      <c r="D27" s="315"/>
      <c r="E27" s="315"/>
    </row>
    <row r="28" spans="2:5" ht="15.75">
      <c r="B28" s="320" t="s">
        <v>721</v>
      </c>
      <c r="C28" s="512">
        <f>IF(C29*0.1&lt;C27,"Exceed 10% Rule","")</f>
      </c>
      <c r="D28" s="321">
        <f>IF(D29*0.1&lt;D27,"Exceed 10% Rule","")</f>
      </c>
      <c r="E28" s="321">
        <f>IF(E29*0.1&lt;E27,"Exceed 10% Rule","")</f>
      </c>
    </row>
    <row r="29" spans="2:5" ht="15.75">
      <c r="B29" s="322" t="s">
        <v>137</v>
      </c>
      <c r="C29" s="363">
        <f>SUM(C18:C27)</f>
        <v>451033</v>
      </c>
      <c r="D29" s="363">
        <f>SUM(D18:D27)</f>
        <v>451795</v>
      </c>
      <c r="E29" s="363">
        <f>SUM(E18:E27)</f>
        <v>802006.05</v>
      </c>
    </row>
    <row r="30" spans="2:5" ht="15.75">
      <c r="B30" s="153" t="s">
        <v>254</v>
      </c>
      <c r="C30" s="125">
        <f>C16-C29</f>
        <v>1359533</v>
      </c>
      <c r="D30" s="125">
        <f>D16-D29</f>
        <v>1387738</v>
      </c>
      <c r="E30" s="125">
        <f>E16-E29</f>
        <v>1085731.95</v>
      </c>
    </row>
    <row r="31" spans="2:5" ht="15.75">
      <c r="B31" s="298" t="str">
        <f>CONCATENATE("",E$1-2,"/",E$1-1," Budget Authority Amount:")</f>
        <v>2010/2011 Budget Authority Amount:</v>
      </c>
      <c r="C31" s="290">
        <f>inputOth!B58</f>
        <v>451051</v>
      </c>
      <c r="D31" s="290">
        <f>inputPrYr!D45</f>
        <v>451795</v>
      </c>
      <c r="E31" s="511">
        <f>IF(E30&lt;0,"See Tab E","")</f>
      </c>
    </row>
    <row r="32" spans="2:5" ht="15.75">
      <c r="B32" s="298"/>
      <c r="C32" s="332">
        <f>IF(C29&gt;C31,"See Tab A","")</f>
      </c>
      <c r="D32" s="332">
        <f>IF(D29&gt;D31,"See Tab C","")</f>
      </c>
      <c r="E32" s="150"/>
    </row>
    <row r="33" spans="2:5" ht="15.75">
      <c r="B33" s="298"/>
      <c r="C33" s="332">
        <f>IF(C30&lt;0,"See Tab B","")</f>
      </c>
      <c r="D33" s="332">
        <f>IF(D30&lt;0,"See Tab D","")</f>
      </c>
      <c r="E33" s="150"/>
    </row>
    <row r="34" spans="2:5" ht="15.75">
      <c r="B34" s="90"/>
      <c r="C34" s="150"/>
      <c r="D34" s="150"/>
      <c r="E34" s="150"/>
    </row>
    <row r="35" spans="2:5" ht="15.75">
      <c r="B35" s="89" t="s">
        <v>123</v>
      </c>
      <c r="C35" s="338"/>
      <c r="D35" s="338"/>
      <c r="E35" s="338"/>
    </row>
    <row r="36" spans="2:5" ht="15.75">
      <c r="B36" s="90"/>
      <c r="C36" s="577" t="str">
        <f aca="true" t="shared" si="0" ref="C36:E37">C5</f>
        <v>Prior Year Actual</v>
      </c>
      <c r="D36" s="482" t="str">
        <f t="shared" si="0"/>
        <v>Current Year Estimate</v>
      </c>
      <c r="E36" s="482" t="str">
        <f t="shared" si="0"/>
        <v>Proposed Budget Year</v>
      </c>
    </row>
    <row r="37" spans="2:5" ht="15.75">
      <c r="B37" s="515" t="str">
        <f>inputPrYr!B46</f>
        <v>Noxious Weed Capital Outlay</v>
      </c>
      <c r="C37" s="326">
        <f t="shared" si="0"/>
        <v>2010</v>
      </c>
      <c r="D37" s="326">
        <f t="shared" si="0"/>
        <v>2011</v>
      </c>
      <c r="E37" s="326">
        <f t="shared" si="0"/>
        <v>2012</v>
      </c>
    </row>
    <row r="38" spans="2:5" ht="15.75">
      <c r="B38" s="153" t="s">
        <v>253</v>
      </c>
      <c r="C38" s="117">
        <v>67604</v>
      </c>
      <c r="D38" s="276">
        <f>C61</f>
        <v>74957</v>
      </c>
      <c r="E38" s="276">
        <f>D61</f>
        <v>86957</v>
      </c>
    </row>
    <row r="39" spans="2:5" ht="15.75">
      <c r="B39" s="153" t="s">
        <v>255</v>
      </c>
      <c r="C39" s="113"/>
      <c r="D39" s="113"/>
      <c r="E39" s="113"/>
    </row>
    <row r="40" spans="2:5" ht="15.75">
      <c r="B40" s="329" t="s">
        <v>918</v>
      </c>
      <c r="C40" s="117">
        <v>12000</v>
      </c>
      <c r="D40" s="117">
        <v>12000</v>
      </c>
      <c r="E40" s="117">
        <v>12000</v>
      </c>
    </row>
    <row r="41" spans="2:5" ht="15.75">
      <c r="B41" s="329"/>
      <c r="C41" s="117"/>
      <c r="D41" s="117"/>
      <c r="E41" s="117"/>
    </row>
    <row r="42" spans="2:5" ht="15.75">
      <c r="B42" s="329"/>
      <c r="C42" s="117"/>
      <c r="D42" s="117"/>
      <c r="E42" s="117"/>
    </row>
    <row r="43" spans="2:5" ht="15.75">
      <c r="B43" s="319" t="s">
        <v>131</v>
      </c>
      <c r="C43" s="117"/>
      <c r="D43" s="117"/>
      <c r="E43" s="117"/>
    </row>
    <row r="44" spans="2:5" ht="15.75">
      <c r="B44" s="320" t="s">
        <v>870</v>
      </c>
      <c r="C44" s="117"/>
      <c r="D44" s="315"/>
      <c r="E44" s="315"/>
    </row>
    <row r="45" spans="2:5" ht="15.75">
      <c r="B45" s="320" t="s">
        <v>722</v>
      </c>
      <c r="C45" s="512">
        <f>IF(C46*0.1&lt;C44,"Exceed 10% Rule","")</f>
      </c>
      <c r="D45" s="321">
        <f>IF(D46*0.1&lt;D44,"Exceed 10% Rule","")</f>
      </c>
      <c r="E45" s="321">
        <f>IF(E46*0.1&lt;E44,"Exceed 10% Rule","")</f>
      </c>
    </row>
    <row r="46" spans="2:5" ht="15.75">
      <c r="B46" s="322" t="s">
        <v>132</v>
      </c>
      <c r="C46" s="363">
        <f>SUM(C40:C44)</f>
        <v>12000</v>
      </c>
      <c r="D46" s="363">
        <f>SUM(D40:D44)</f>
        <v>12000</v>
      </c>
      <c r="E46" s="363">
        <f>SUM(E40:E44)</f>
        <v>12000</v>
      </c>
    </row>
    <row r="47" spans="2:5" ht="15.75">
      <c r="B47" s="322" t="s">
        <v>133</v>
      </c>
      <c r="C47" s="363">
        <f>C38+C46</f>
        <v>79604</v>
      </c>
      <c r="D47" s="363">
        <f>D38+D46</f>
        <v>86957</v>
      </c>
      <c r="E47" s="363">
        <f>E38+E46</f>
        <v>98957</v>
      </c>
    </row>
    <row r="48" spans="2:5" ht="15.75">
      <c r="B48" s="153" t="s">
        <v>136</v>
      </c>
      <c r="C48" s="276"/>
      <c r="D48" s="276"/>
      <c r="E48" s="276"/>
    </row>
    <row r="49" spans="2:5" ht="15.75">
      <c r="B49" s="329" t="s">
        <v>404</v>
      </c>
      <c r="C49" s="117">
        <v>4647</v>
      </c>
      <c r="D49" s="117">
        <v>0</v>
      </c>
      <c r="E49" s="117">
        <v>98957</v>
      </c>
    </row>
    <row r="50" spans="2:5" ht="15.75">
      <c r="B50" s="329"/>
      <c r="C50" s="117"/>
      <c r="D50" s="117"/>
      <c r="E50" s="117"/>
    </row>
    <row r="51" spans="2:5" ht="15.75">
      <c r="B51" s="329"/>
      <c r="C51" s="117"/>
      <c r="D51" s="117"/>
      <c r="E51" s="117"/>
    </row>
    <row r="52" spans="2:5" ht="15.75">
      <c r="B52" s="329"/>
      <c r="C52" s="117"/>
      <c r="D52" s="117"/>
      <c r="E52" s="117"/>
    </row>
    <row r="53" spans="2:5" ht="15.75">
      <c r="B53" s="329"/>
      <c r="C53" s="117"/>
      <c r="D53" s="117"/>
      <c r="E53" s="117"/>
    </row>
    <row r="54" spans="2:5" ht="15.75">
      <c r="B54" s="329"/>
      <c r="C54" s="117"/>
      <c r="D54" s="117"/>
      <c r="E54" s="117"/>
    </row>
    <row r="55" spans="2:5" ht="15.75">
      <c r="B55" s="329"/>
      <c r="C55" s="117"/>
      <c r="D55" s="117"/>
      <c r="E55" s="117"/>
    </row>
    <row r="56" spans="2:5" ht="15.75">
      <c r="B56" s="329"/>
      <c r="C56" s="117"/>
      <c r="D56" s="117"/>
      <c r="E56" s="117"/>
    </row>
    <row r="57" spans="2:5" ht="15.75">
      <c r="B57" s="329"/>
      <c r="C57" s="117"/>
      <c r="D57" s="117"/>
      <c r="E57" s="117"/>
    </row>
    <row r="58" spans="2:5" ht="15.75">
      <c r="B58" s="320" t="s">
        <v>870</v>
      </c>
      <c r="C58" s="117"/>
      <c r="D58" s="315"/>
      <c r="E58" s="315"/>
    </row>
    <row r="59" spans="2:5" ht="15.75">
      <c r="B59" s="320" t="s">
        <v>721</v>
      </c>
      <c r="C59" s="512">
        <f>IF(C60*0.1&lt;C58,"Exceed 10% Rule","")</f>
      </c>
      <c r="D59" s="321">
        <f>IF(D60*0.1&lt;D58,"Exceed 10% Rule","")</f>
      </c>
      <c r="E59" s="321">
        <f>IF(E60*0.1&lt;E58,"Exceed 10% Rule","")</f>
      </c>
    </row>
    <row r="60" spans="2:5" ht="15.75">
      <c r="B60" s="322" t="s">
        <v>137</v>
      </c>
      <c r="C60" s="363">
        <f>SUM(C49:C58)</f>
        <v>4647</v>
      </c>
      <c r="D60" s="363">
        <f>SUM(D49:D58)</f>
        <v>0</v>
      </c>
      <c r="E60" s="363">
        <f>SUM(E49:E58)</f>
        <v>98957</v>
      </c>
    </row>
    <row r="61" spans="2:5" ht="15.75">
      <c r="B61" s="153" t="s">
        <v>254</v>
      </c>
      <c r="C61" s="125">
        <f>C47-C60</f>
        <v>74957</v>
      </c>
      <c r="D61" s="125">
        <f>D47-D60</f>
        <v>86957</v>
      </c>
      <c r="E61" s="125">
        <f>E47-E60</f>
        <v>0</v>
      </c>
    </row>
    <row r="62" spans="2:5" ht="15.75">
      <c r="B62" s="298" t="str">
        <f>CONCATENATE("",E$1-2,"/",E$1-1," Budget Authority Amount:")</f>
        <v>2010/2011 Budget Authority Amount:</v>
      </c>
      <c r="C62" s="290">
        <f>inputOth!B59</f>
        <v>103458</v>
      </c>
      <c r="D62" s="290">
        <f>inputPrYr!D46</f>
        <v>81604</v>
      </c>
      <c r="E62" s="510">
        <f>IF(E61&lt;0,"See Tab E","")</f>
      </c>
    </row>
    <row r="63" spans="2:5" ht="15.75">
      <c r="B63" s="298"/>
      <c r="C63" s="332">
        <f>IF(C60&gt;C62,"See Tab A","")</f>
      </c>
      <c r="D63" s="332">
        <f>IF(D60&gt;D62,"See Tab C","")</f>
      </c>
      <c r="E63" s="90"/>
    </row>
    <row r="64" spans="2:5" ht="15.75">
      <c r="B64" s="298"/>
      <c r="C64" s="332">
        <f>IF(C61&lt;0,"See Tab B","")</f>
      </c>
      <c r="D64" s="332">
        <f>IF(D61&lt;0,"See Tab D","")</f>
      </c>
      <c r="E64" s="90"/>
    </row>
    <row r="65" spans="2:5" ht="15.75">
      <c r="B65" s="90"/>
      <c r="C65" s="90"/>
      <c r="D65" s="90"/>
      <c r="E65" s="90"/>
    </row>
    <row r="66" spans="2:5" ht="15.75">
      <c r="B66" s="298" t="s">
        <v>160</v>
      </c>
      <c r="C66" s="360">
        <v>15</v>
      </c>
      <c r="D66" s="90"/>
      <c r="E66" s="90"/>
    </row>
  </sheetData>
  <sheetProtection sheet="1"/>
  <conditionalFormatting sqref="C27">
    <cfRule type="cellIs" priority="3" dxfId="405" operator="greaterThan" stopIfTrue="1">
      <formula>$C$29*0.1</formula>
    </cfRule>
  </conditionalFormatting>
  <conditionalFormatting sqref="D27">
    <cfRule type="cellIs" priority="4" dxfId="405" operator="greaterThan" stopIfTrue="1">
      <formula>$D$29*0.1</formula>
    </cfRule>
  </conditionalFormatting>
  <conditionalFormatting sqref="E27">
    <cfRule type="cellIs" priority="5" dxfId="405" operator="greaterThan" stopIfTrue="1">
      <formula>$E$29*0.1</formula>
    </cfRule>
  </conditionalFormatting>
  <conditionalFormatting sqref="C13">
    <cfRule type="cellIs" priority="6" dxfId="405" operator="greaterThan" stopIfTrue="1">
      <formula>$C$15*0.1</formula>
    </cfRule>
  </conditionalFormatting>
  <conditionalFormatting sqref="D13">
    <cfRule type="cellIs" priority="7" dxfId="405" operator="greaterThan" stopIfTrue="1">
      <formula>$D$15*0.1</formula>
    </cfRule>
  </conditionalFormatting>
  <conditionalFormatting sqref="E13">
    <cfRule type="cellIs" priority="8" dxfId="405" operator="greaterThan" stopIfTrue="1">
      <formula>$E$15*0.1</formula>
    </cfRule>
  </conditionalFormatting>
  <conditionalFormatting sqref="C44">
    <cfRule type="cellIs" priority="9" dxfId="405" operator="greaterThan" stopIfTrue="1">
      <formula>$C$46*0.1</formula>
    </cfRule>
  </conditionalFormatting>
  <conditionalFormatting sqref="D44">
    <cfRule type="cellIs" priority="10" dxfId="405" operator="greaterThan" stopIfTrue="1">
      <formula>$D$46*0.1</formula>
    </cfRule>
  </conditionalFormatting>
  <conditionalFormatting sqref="E44">
    <cfRule type="cellIs" priority="11" dxfId="405" operator="greaterThan" stopIfTrue="1">
      <formula>$E$46*0.1</formula>
    </cfRule>
  </conditionalFormatting>
  <conditionalFormatting sqref="C58">
    <cfRule type="cellIs" priority="12" dxfId="405" operator="greaterThan" stopIfTrue="1">
      <formula>$C$60*0.1</formula>
    </cfRule>
  </conditionalFormatting>
  <conditionalFormatting sqref="D58">
    <cfRule type="cellIs" priority="13" dxfId="405" operator="greaterThan" stopIfTrue="1">
      <formula>$D$60*0.1</formula>
    </cfRule>
  </conditionalFormatting>
  <conditionalFormatting sqref="E58">
    <cfRule type="cellIs" priority="14" dxfId="405"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6"/>
  <sheetViews>
    <sheetView tabSelected="1" zoomScalePageLayoutView="0" workbookViewId="0" topLeftCell="A16">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212</v>
      </c>
      <c r="C3" s="344"/>
      <c r="D3" s="344"/>
      <c r="E3" s="345"/>
    </row>
    <row r="4" spans="2:5" ht="15.75">
      <c r="B4" s="90"/>
      <c r="C4" s="338"/>
      <c r="D4" s="338"/>
      <c r="E4" s="338"/>
    </row>
    <row r="5" spans="2:5" ht="15.75">
      <c r="B5" s="89" t="s">
        <v>123</v>
      </c>
      <c r="C5" s="577" t="str">
        <f>general!C4</f>
        <v>Prior Year Actual</v>
      </c>
      <c r="D5" s="482" t="str">
        <f>general!D4</f>
        <v>Current Year Estimate</v>
      </c>
      <c r="E5" s="482" t="str">
        <f>general!E4</f>
        <v>Proposed Budget Year</v>
      </c>
    </row>
    <row r="6" spans="2:5" ht="15.75">
      <c r="B6" s="516" t="str">
        <f>inputPrYr!B47</f>
        <v>Solid Waste</v>
      </c>
      <c r="C6" s="326">
        <f>general!C5</f>
        <v>2010</v>
      </c>
      <c r="D6" s="326">
        <f>general!D5</f>
        <v>2011</v>
      </c>
      <c r="E6" s="313">
        <f>general!E5</f>
        <v>2012</v>
      </c>
    </row>
    <row r="7" spans="2:5" ht="15.75">
      <c r="B7" s="153" t="s">
        <v>253</v>
      </c>
      <c r="C7" s="117">
        <v>122357</v>
      </c>
      <c r="D7" s="276">
        <f>C30</f>
        <v>110508</v>
      </c>
      <c r="E7" s="276">
        <f>D30</f>
        <v>35741</v>
      </c>
    </row>
    <row r="8" spans="2:5" ht="15.75">
      <c r="B8" s="347" t="s">
        <v>255</v>
      </c>
      <c r="C8" s="113"/>
      <c r="D8" s="113"/>
      <c r="E8" s="113"/>
    </row>
    <row r="9" spans="2:5" ht="15.75">
      <c r="B9" s="329" t="s">
        <v>405</v>
      </c>
      <c r="C9" s="117">
        <v>226036</v>
      </c>
      <c r="D9" s="117">
        <v>250000</v>
      </c>
      <c r="E9" s="117">
        <f>225000+37169</f>
        <v>262169</v>
      </c>
    </row>
    <row r="10" spans="2:5" ht="15.75">
      <c r="B10" s="329" t="s">
        <v>919</v>
      </c>
      <c r="C10" s="117">
        <v>179775</v>
      </c>
      <c r="D10" s="117">
        <v>185000</v>
      </c>
      <c r="E10" s="117">
        <v>175000</v>
      </c>
    </row>
    <row r="11" spans="2:5" ht="15.75">
      <c r="B11" s="329" t="s">
        <v>920</v>
      </c>
      <c r="C11" s="117">
        <v>0</v>
      </c>
      <c r="D11" s="117">
        <v>4000</v>
      </c>
      <c r="E11" s="117">
        <v>0</v>
      </c>
    </row>
    <row r="12" spans="2:5" ht="15.75">
      <c r="B12" s="319" t="s">
        <v>131</v>
      </c>
      <c r="C12" s="117"/>
      <c r="D12" s="117"/>
      <c r="E12" s="117"/>
    </row>
    <row r="13" spans="2:5" ht="15.75">
      <c r="B13" s="320" t="s">
        <v>870</v>
      </c>
      <c r="C13" s="117">
        <v>0</v>
      </c>
      <c r="D13" s="315">
        <v>2160</v>
      </c>
      <c r="E13" s="315">
        <v>0</v>
      </c>
    </row>
    <row r="14" spans="2:5" ht="15.75">
      <c r="B14" s="320" t="s">
        <v>722</v>
      </c>
      <c r="C14" s="512">
        <f>IF(C15*0.1&lt;C13,"Exceed 10% Rule","")</f>
      </c>
      <c r="D14" s="321">
        <f>IF(D15*0.1&lt;D13,"Exceed 10% Rule","")</f>
      </c>
      <c r="E14" s="321">
        <f>IF(E15*0.1&lt;E13,"Exceed 10% Rule","")</f>
      </c>
    </row>
    <row r="15" spans="2:5" ht="15.75">
      <c r="B15" s="322" t="s">
        <v>132</v>
      </c>
      <c r="C15" s="363">
        <f>SUM(C9:C13)</f>
        <v>405811</v>
      </c>
      <c r="D15" s="363">
        <f>SUM(D9:D13)</f>
        <v>441160</v>
      </c>
      <c r="E15" s="363">
        <f>SUM(E9:E13)</f>
        <v>437169</v>
      </c>
    </row>
    <row r="16" spans="2:5" ht="15.75">
      <c r="B16" s="322" t="s">
        <v>133</v>
      </c>
      <c r="C16" s="363">
        <f>C15+C7</f>
        <v>528168</v>
      </c>
      <c r="D16" s="363">
        <f>D15+D7</f>
        <v>551668</v>
      </c>
      <c r="E16" s="363">
        <f>E15+E7</f>
        <v>472910</v>
      </c>
    </row>
    <row r="17" spans="2:5" ht="15.75">
      <c r="B17" s="153" t="s">
        <v>136</v>
      </c>
      <c r="C17" s="276"/>
      <c r="D17" s="276"/>
      <c r="E17" s="276"/>
    </row>
    <row r="18" spans="2:5" ht="15.75">
      <c r="B18" s="329" t="s">
        <v>916</v>
      </c>
      <c r="C18" s="117">
        <v>148604</v>
      </c>
      <c r="D18" s="117">
        <f>192436-13269</f>
        <v>179167</v>
      </c>
      <c r="E18" s="117">
        <v>150000</v>
      </c>
    </row>
    <row r="19" spans="2:5" ht="15.75">
      <c r="B19" s="329" t="s">
        <v>402</v>
      </c>
      <c r="C19" s="117">
        <v>114750</v>
      </c>
      <c r="D19" s="117">
        <v>118300</v>
      </c>
      <c r="E19" s="117">
        <v>110250</v>
      </c>
    </row>
    <row r="20" spans="2:5" ht="15.75">
      <c r="B20" s="329" t="s">
        <v>403</v>
      </c>
      <c r="C20" s="117">
        <v>55806</v>
      </c>
      <c r="D20" s="117">
        <v>68870</v>
      </c>
      <c r="E20" s="117">
        <v>63070</v>
      </c>
    </row>
    <row r="21" spans="2:5" ht="15.75">
      <c r="B21" s="329" t="s">
        <v>404</v>
      </c>
      <c r="C21" s="117">
        <v>0</v>
      </c>
      <c r="D21" s="117">
        <v>0</v>
      </c>
      <c r="E21" s="117">
        <v>0</v>
      </c>
    </row>
    <row r="22" spans="2:5" ht="15.75">
      <c r="B22" s="329" t="s">
        <v>921</v>
      </c>
      <c r="C22" s="117">
        <v>0</v>
      </c>
      <c r="D22" s="117">
        <v>48590</v>
      </c>
      <c r="E22" s="117">
        <v>48590</v>
      </c>
    </row>
    <row r="23" spans="2:5" ht="15.75">
      <c r="B23" s="329" t="s">
        <v>922</v>
      </c>
      <c r="C23" s="117">
        <v>46000</v>
      </c>
      <c r="D23" s="117">
        <v>50000</v>
      </c>
      <c r="E23" s="117">
        <v>50000</v>
      </c>
    </row>
    <row r="24" spans="2:5" ht="15.75">
      <c r="B24" s="329" t="s">
        <v>923</v>
      </c>
      <c r="C24" s="117">
        <v>52500</v>
      </c>
      <c r="D24" s="117">
        <v>51000</v>
      </c>
      <c r="E24" s="117">
        <v>51000</v>
      </c>
    </row>
    <row r="25" spans="2:5" ht="15.75">
      <c r="B25" s="329"/>
      <c r="C25" s="117"/>
      <c r="D25" s="117"/>
      <c r="E25" s="117"/>
    </row>
    <row r="26" spans="2:5" ht="15.75">
      <c r="B26" s="329"/>
      <c r="C26" s="117"/>
      <c r="D26" s="117"/>
      <c r="E26" s="117"/>
    </row>
    <row r="27" spans="2:5" ht="15.75">
      <c r="B27" s="320" t="s">
        <v>870</v>
      </c>
      <c r="C27" s="117"/>
      <c r="D27" s="315"/>
      <c r="E27" s="315"/>
    </row>
    <row r="28" spans="2:5" ht="15.75">
      <c r="B28" s="320" t="s">
        <v>721</v>
      </c>
      <c r="C28" s="512">
        <f>IF(C29*0.1&lt;C27,"Exceed 10% Rule","")</f>
      </c>
      <c r="D28" s="321">
        <f>IF(D29*0.1&lt;D27,"Exceed 10% Rule","")</f>
      </c>
      <c r="E28" s="321">
        <f>IF(E29*0.1&lt;E27,"Exceed 10% Rule","")</f>
      </c>
    </row>
    <row r="29" spans="2:5" ht="15.75">
      <c r="B29" s="322" t="s">
        <v>137</v>
      </c>
      <c r="C29" s="363">
        <f>SUM(C18:C27)</f>
        <v>417660</v>
      </c>
      <c r="D29" s="363">
        <f>SUM(D18:D27)</f>
        <v>515927</v>
      </c>
      <c r="E29" s="363">
        <f>SUM(E18:E27)</f>
        <v>472910</v>
      </c>
    </row>
    <row r="30" spans="2:5" ht="15.75">
      <c r="B30" s="153" t="s">
        <v>254</v>
      </c>
      <c r="C30" s="125">
        <f>C16-C29</f>
        <v>110508</v>
      </c>
      <c r="D30" s="125">
        <f>D16-D29</f>
        <v>35741</v>
      </c>
      <c r="E30" s="125">
        <f>E16-E29</f>
        <v>0</v>
      </c>
    </row>
    <row r="31" spans="2:5" ht="15.75">
      <c r="B31" s="298" t="str">
        <f>CONCATENATE("",E$1-2,"/",E$1-1," Budget Authority Amount:")</f>
        <v>2010/2011 Budget Authority Amount:</v>
      </c>
      <c r="C31" s="290">
        <f>inputOth!B60</f>
        <v>432730</v>
      </c>
      <c r="D31" s="290">
        <f>inputPrYr!D47</f>
        <v>549196</v>
      </c>
      <c r="E31" s="511">
        <f>IF(E30&lt;0,"See Tab E","")</f>
      </c>
    </row>
    <row r="32" spans="2:5" ht="15.75">
      <c r="B32" s="298"/>
      <c r="C32" s="332">
        <f>IF(C29&gt;C31,"See Tab A","")</f>
      </c>
      <c r="D32" s="332">
        <f>IF(D29&gt;D31,"See Tab C","")</f>
      </c>
      <c r="E32" s="150"/>
    </row>
    <row r="33" spans="2:5" ht="15.75">
      <c r="B33" s="298"/>
      <c r="C33" s="332">
        <f>IF(C30&lt;0,"See Tab B","")</f>
      </c>
      <c r="D33" s="332">
        <f>IF(D30&lt;0,"See Tab D","")</f>
      </c>
      <c r="E33" s="150"/>
    </row>
    <row r="34" spans="2:5" ht="15.75">
      <c r="B34" s="90"/>
      <c r="C34" s="150"/>
      <c r="D34" s="150"/>
      <c r="E34" s="150"/>
    </row>
    <row r="35" spans="2:5" ht="15.75">
      <c r="B35" s="89" t="s">
        <v>123</v>
      </c>
      <c r="C35" s="338"/>
      <c r="D35" s="338"/>
      <c r="E35" s="338"/>
    </row>
    <row r="36" spans="2:5" ht="15.75">
      <c r="B36" s="90"/>
      <c r="C36" s="577" t="str">
        <f aca="true" t="shared" si="0" ref="C36:E37">C5</f>
        <v>Prior Year Actual</v>
      </c>
      <c r="D36" s="482" t="str">
        <f t="shared" si="0"/>
        <v>Current Year Estimate</v>
      </c>
      <c r="E36" s="482" t="str">
        <f t="shared" si="0"/>
        <v>Proposed Budget Year</v>
      </c>
    </row>
    <row r="37" spans="2:5" ht="15.75">
      <c r="B37" s="515" t="str">
        <f>inputPrYr!B48</f>
        <v>Solid Waste Capital Outlay</v>
      </c>
      <c r="C37" s="326">
        <f t="shared" si="0"/>
        <v>2010</v>
      </c>
      <c r="D37" s="326">
        <f t="shared" si="0"/>
        <v>2011</v>
      </c>
      <c r="E37" s="326">
        <f t="shared" si="0"/>
        <v>2012</v>
      </c>
    </row>
    <row r="38" spans="2:5" ht="15.75">
      <c r="B38" s="153" t="s">
        <v>253</v>
      </c>
      <c r="C38" s="117">
        <v>90105</v>
      </c>
      <c r="D38" s="276">
        <f>C61</f>
        <v>42</v>
      </c>
      <c r="E38" s="276">
        <f>D61</f>
        <v>51042</v>
      </c>
    </row>
    <row r="39" spans="2:5" ht="15.75">
      <c r="B39" s="153" t="s">
        <v>255</v>
      </c>
      <c r="C39" s="113"/>
      <c r="D39" s="113"/>
      <c r="E39" s="113"/>
    </row>
    <row r="40" spans="2:5" ht="15.75">
      <c r="B40" s="329" t="s">
        <v>924</v>
      </c>
      <c r="C40" s="117">
        <v>52500</v>
      </c>
      <c r="D40" s="117">
        <v>51000</v>
      </c>
      <c r="E40" s="117">
        <v>51000</v>
      </c>
    </row>
    <row r="41" spans="2:5" ht="15.75">
      <c r="B41" s="329" t="s">
        <v>930</v>
      </c>
      <c r="C41" s="117">
        <v>9930</v>
      </c>
      <c r="D41" s="117">
        <v>0</v>
      </c>
      <c r="E41" s="117">
        <v>0</v>
      </c>
    </row>
    <row r="42" spans="2:5" ht="15.75">
      <c r="B42" s="329"/>
      <c r="C42" s="117"/>
      <c r="D42" s="117"/>
      <c r="E42" s="117"/>
    </row>
    <row r="43" spans="2:5" ht="15.75">
      <c r="B43" s="319" t="s">
        <v>131</v>
      </c>
      <c r="C43" s="117"/>
      <c r="D43" s="117"/>
      <c r="E43" s="117"/>
    </row>
    <row r="44" spans="2:5" ht="15.75">
      <c r="B44" s="320" t="s">
        <v>870</v>
      </c>
      <c r="C44" s="117"/>
      <c r="D44" s="315"/>
      <c r="E44" s="315"/>
    </row>
    <row r="45" spans="2:5" ht="15.75">
      <c r="B45" s="320" t="s">
        <v>722</v>
      </c>
      <c r="C45" s="512">
        <f>IF(C46*0.1&lt;C44,"Exceed 10% Rule","")</f>
      </c>
      <c r="D45" s="321">
        <f>IF(D46*0.1&lt;D44,"Exceed 10% Rule","")</f>
      </c>
      <c r="E45" s="321">
        <f>IF(E46*0.1&lt;E44,"Exceed 10% Rule","")</f>
      </c>
    </row>
    <row r="46" spans="2:5" ht="15.75">
      <c r="B46" s="322" t="s">
        <v>132</v>
      </c>
      <c r="C46" s="363">
        <f>SUM(C40:C44)</f>
        <v>62430</v>
      </c>
      <c r="D46" s="363">
        <f>SUM(D40:D44)</f>
        <v>51000</v>
      </c>
      <c r="E46" s="363">
        <f>SUM(E40:E44)</f>
        <v>51000</v>
      </c>
    </row>
    <row r="47" spans="2:5" ht="15.75">
      <c r="B47" s="322" t="s">
        <v>133</v>
      </c>
      <c r="C47" s="363">
        <f>C38+C46</f>
        <v>152535</v>
      </c>
      <c r="D47" s="363">
        <f>D38+D46</f>
        <v>51042</v>
      </c>
      <c r="E47" s="363">
        <f>E38+E46</f>
        <v>102042</v>
      </c>
    </row>
    <row r="48" spans="2:5" ht="15.75">
      <c r="B48" s="153" t="s">
        <v>136</v>
      </c>
      <c r="C48" s="276"/>
      <c r="D48" s="276"/>
      <c r="E48" s="276"/>
    </row>
    <row r="49" spans="2:5" ht="15.75">
      <c r="B49" s="329" t="s">
        <v>404</v>
      </c>
      <c r="C49" s="117">
        <v>152493</v>
      </c>
      <c r="D49" s="117">
        <v>0</v>
      </c>
      <c r="E49" s="117">
        <v>102042</v>
      </c>
    </row>
    <row r="50" spans="2:5" ht="15.75">
      <c r="B50" s="329"/>
      <c r="C50" s="117"/>
      <c r="D50" s="117"/>
      <c r="E50" s="117"/>
    </row>
    <row r="51" spans="2:5" ht="15.75">
      <c r="B51" s="329"/>
      <c r="C51" s="117"/>
      <c r="D51" s="117"/>
      <c r="E51" s="117"/>
    </row>
    <row r="52" spans="2:5" ht="15.75">
      <c r="B52" s="329"/>
      <c r="C52" s="117"/>
      <c r="D52" s="117"/>
      <c r="E52" s="117"/>
    </row>
    <row r="53" spans="2:5" ht="15.75">
      <c r="B53" s="329"/>
      <c r="C53" s="117"/>
      <c r="D53" s="117"/>
      <c r="E53" s="117"/>
    </row>
    <row r="54" spans="2:5" ht="15.75">
      <c r="B54" s="329"/>
      <c r="C54" s="117"/>
      <c r="D54" s="117"/>
      <c r="E54" s="117"/>
    </row>
    <row r="55" spans="2:5" ht="15.75">
      <c r="B55" s="329"/>
      <c r="C55" s="117"/>
      <c r="D55" s="117"/>
      <c r="E55" s="117"/>
    </row>
    <row r="56" spans="2:5" ht="15.75">
      <c r="B56" s="329"/>
      <c r="C56" s="117"/>
      <c r="D56" s="117"/>
      <c r="E56" s="117"/>
    </row>
    <row r="57" spans="2:5" ht="15.75">
      <c r="B57" s="329"/>
      <c r="C57" s="117"/>
      <c r="D57" s="117"/>
      <c r="E57" s="117"/>
    </row>
    <row r="58" spans="2:5" ht="15.75">
      <c r="B58" s="320" t="s">
        <v>870</v>
      </c>
      <c r="C58" s="117"/>
      <c r="D58" s="315"/>
      <c r="E58" s="315"/>
    </row>
    <row r="59" spans="2:5" ht="15.75">
      <c r="B59" s="320" t="s">
        <v>721</v>
      </c>
      <c r="C59" s="512">
        <f>IF(C60*0.1&lt;C58,"Exceed 10% Rule","")</f>
      </c>
      <c r="D59" s="321">
        <f>IF(D60*0.1&lt;D58,"Exceed 10% Rule","")</f>
      </c>
      <c r="E59" s="321">
        <f>IF(E60*0.1&lt;E58,"Exceed 10% Rule","")</f>
      </c>
    </row>
    <row r="60" spans="2:5" ht="15.75">
      <c r="B60" s="322" t="s">
        <v>137</v>
      </c>
      <c r="C60" s="363">
        <f>SUM(C49:C58)</f>
        <v>152493</v>
      </c>
      <c r="D60" s="363">
        <f>SUM(D49:D58)</f>
        <v>0</v>
      </c>
      <c r="E60" s="363">
        <f>SUM(E49:E58)</f>
        <v>102042</v>
      </c>
    </row>
    <row r="61" spans="2:5" ht="15.75">
      <c r="B61" s="153" t="s">
        <v>254</v>
      </c>
      <c r="C61" s="125">
        <f>C47-C60</f>
        <v>42</v>
      </c>
      <c r="D61" s="125">
        <f>D47-D60</f>
        <v>51042</v>
      </c>
      <c r="E61" s="125">
        <f>E47-E60</f>
        <v>0</v>
      </c>
    </row>
    <row r="62" spans="2:5" ht="15.75">
      <c r="B62" s="298" t="str">
        <f>CONCATENATE("",E$1-2,"/",E$1-1," Budget Authority Amount:")</f>
        <v>2010/2011 Budget Authority Amount:</v>
      </c>
      <c r="C62" s="290">
        <f>inputOth!B61</f>
        <v>181236</v>
      </c>
      <c r="D62" s="290">
        <f>inputPrYr!D48</f>
        <v>192105</v>
      </c>
      <c r="E62" s="510">
        <f>IF(E61&lt;0,"See Tab E","")</f>
      </c>
    </row>
    <row r="63" spans="2:5" ht="15.75">
      <c r="B63" s="298"/>
      <c r="C63" s="332">
        <f>IF(C60&gt;C62,"See Tab A","")</f>
      </c>
      <c r="D63" s="332">
        <f>IF(D60&gt;D62,"See Tab C","")</f>
      </c>
      <c r="E63" s="90"/>
    </row>
    <row r="64" spans="2:5" ht="15.75">
      <c r="B64" s="298"/>
      <c r="C64" s="332">
        <f>IF(C61&lt;0,"See Tab B","")</f>
      </c>
      <c r="D64" s="332">
        <f>IF(D61&lt;0,"See Tab D","")</f>
      </c>
      <c r="E64" s="90"/>
    </row>
    <row r="65" spans="2:5" ht="15.75">
      <c r="B65" s="90"/>
      <c r="C65" s="90"/>
      <c r="D65" s="90"/>
      <c r="E65" s="90"/>
    </row>
    <row r="66" spans="2:5" ht="15.75">
      <c r="B66" s="298" t="s">
        <v>160</v>
      </c>
      <c r="C66" s="360">
        <v>16</v>
      </c>
      <c r="D66" s="90"/>
      <c r="E66" s="90"/>
    </row>
  </sheetData>
  <sheetProtection sheet="1"/>
  <conditionalFormatting sqref="C27">
    <cfRule type="cellIs" priority="3" dxfId="405" operator="greaterThan" stopIfTrue="1">
      <formula>$C$29*0.1</formula>
    </cfRule>
  </conditionalFormatting>
  <conditionalFormatting sqref="D27">
    <cfRule type="cellIs" priority="4" dxfId="405" operator="greaterThan" stopIfTrue="1">
      <formula>$D$29*0.1</formula>
    </cfRule>
  </conditionalFormatting>
  <conditionalFormatting sqref="E27">
    <cfRule type="cellIs" priority="5" dxfId="405" operator="greaterThan" stopIfTrue="1">
      <formula>$E$29*0.1</formula>
    </cfRule>
  </conditionalFormatting>
  <conditionalFormatting sqref="C13">
    <cfRule type="cellIs" priority="6" dxfId="405" operator="greaterThan" stopIfTrue="1">
      <formula>$C$15*0.1</formula>
    </cfRule>
  </conditionalFormatting>
  <conditionalFormatting sqref="D13">
    <cfRule type="cellIs" priority="7" dxfId="405" operator="greaterThan" stopIfTrue="1">
      <formula>$D$15*0.1</formula>
    </cfRule>
  </conditionalFormatting>
  <conditionalFormatting sqref="E13">
    <cfRule type="cellIs" priority="8" dxfId="405" operator="greaterThan" stopIfTrue="1">
      <formula>$E$15*0.1</formula>
    </cfRule>
  </conditionalFormatting>
  <conditionalFormatting sqref="C44">
    <cfRule type="cellIs" priority="9" dxfId="405" operator="greaterThan" stopIfTrue="1">
      <formula>$C$46*0.1</formula>
    </cfRule>
  </conditionalFormatting>
  <conditionalFormatting sqref="D44">
    <cfRule type="cellIs" priority="10" dxfId="405" operator="greaterThan" stopIfTrue="1">
      <formula>$D$46*0.1</formula>
    </cfRule>
  </conditionalFormatting>
  <conditionalFormatting sqref="E44">
    <cfRule type="cellIs" priority="11" dxfId="405" operator="greaterThan" stopIfTrue="1">
      <formula>$E$46*0.1</formula>
    </cfRule>
  </conditionalFormatting>
  <conditionalFormatting sqref="C58">
    <cfRule type="cellIs" priority="12" dxfId="405" operator="greaterThan" stopIfTrue="1">
      <formula>$C$60*0.1</formula>
    </cfRule>
  </conditionalFormatting>
  <conditionalFormatting sqref="D58">
    <cfRule type="cellIs" priority="13" dxfId="405" operator="greaterThan" stopIfTrue="1">
      <formula>$D$60*0.1</formula>
    </cfRule>
  </conditionalFormatting>
  <conditionalFormatting sqref="E58">
    <cfRule type="cellIs" priority="14" dxfId="405"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6"/>
  <sheetViews>
    <sheetView tabSelected="1" zoomScalePageLayoutView="0" workbookViewId="0" topLeftCell="A16">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212</v>
      </c>
      <c r="C3" s="344"/>
      <c r="D3" s="344"/>
      <c r="E3" s="345"/>
    </row>
    <row r="4" spans="2:5" ht="15.75">
      <c r="B4" s="90"/>
      <c r="C4" s="338"/>
      <c r="D4" s="338"/>
      <c r="E4" s="338"/>
    </row>
    <row r="5" spans="2:5" ht="15.75">
      <c r="B5" s="89" t="s">
        <v>123</v>
      </c>
      <c r="C5" s="577" t="str">
        <f>general!C4</f>
        <v>Prior Year Actual</v>
      </c>
      <c r="D5" s="482" t="str">
        <f>general!D4</f>
        <v>Current Year Estimate</v>
      </c>
      <c r="E5" s="482" t="str">
        <f>general!E4</f>
        <v>Proposed Budget Year</v>
      </c>
    </row>
    <row r="6" spans="2:5" ht="15.75">
      <c r="B6" s="516" t="str">
        <f>inputPrYr!B49</f>
        <v>Emergency 911</v>
      </c>
      <c r="C6" s="326">
        <f>general!C5</f>
        <v>2010</v>
      </c>
      <c r="D6" s="326">
        <f>general!D5</f>
        <v>2011</v>
      </c>
      <c r="E6" s="313">
        <f>general!E5</f>
        <v>2012</v>
      </c>
    </row>
    <row r="7" spans="2:5" ht="15.75">
      <c r="B7" s="153" t="s">
        <v>253</v>
      </c>
      <c r="C7" s="117">
        <v>54017</v>
      </c>
      <c r="D7" s="276">
        <f>C30</f>
        <v>64369</v>
      </c>
      <c r="E7" s="276">
        <f>D30</f>
        <v>74369</v>
      </c>
    </row>
    <row r="8" spans="2:5" ht="15.75">
      <c r="B8" s="347" t="s">
        <v>255</v>
      </c>
      <c r="C8" s="113"/>
      <c r="D8" s="113"/>
      <c r="E8" s="113"/>
    </row>
    <row r="9" spans="2:5" ht="15.75">
      <c r="B9" s="329" t="s">
        <v>925</v>
      </c>
      <c r="C9" s="117">
        <v>29481</v>
      </c>
      <c r="D9" s="117">
        <v>30000</v>
      </c>
      <c r="E9" s="117">
        <v>40000</v>
      </c>
    </row>
    <row r="10" spans="2:5" ht="15.75">
      <c r="B10" s="329"/>
      <c r="C10" s="117"/>
      <c r="D10" s="117"/>
      <c r="E10" s="117"/>
    </row>
    <row r="11" spans="2:5" ht="15.75">
      <c r="B11" s="329"/>
      <c r="C11" s="117"/>
      <c r="D11" s="117"/>
      <c r="E11" s="117"/>
    </row>
    <row r="12" spans="2:5" ht="15.75">
      <c r="B12" s="319" t="s">
        <v>131</v>
      </c>
      <c r="C12" s="117"/>
      <c r="D12" s="117"/>
      <c r="E12" s="117"/>
    </row>
    <row r="13" spans="2:5" ht="15.75">
      <c r="B13" s="320" t="s">
        <v>870</v>
      </c>
      <c r="C13" s="117"/>
      <c r="D13" s="315"/>
      <c r="E13" s="315"/>
    </row>
    <row r="14" spans="2:5" ht="15.75">
      <c r="B14" s="320" t="s">
        <v>722</v>
      </c>
      <c r="C14" s="512">
        <f>IF(C15*0.1&lt;C13,"Exceed 10% Rule","")</f>
      </c>
      <c r="D14" s="321">
        <f>IF(D15*0.1&lt;D13,"Exceed 10% Rule","")</f>
      </c>
      <c r="E14" s="321">
        <f>IF(E15*0.1&lt;E13,"Exceed 10% Rule","")</f>
      </c>
    </row>
    <row r="15" spans="2:5" ht="15.75">
      <c r="B15" s="322" t="s">
        <v>132</v>
      </c>
      <c r="C15" s="363">
        <f>SUM(C9:C13)</f>
        <v>29481</v>
      </c>
      <c r="D15" s="363">
        <f>SUM(D9:D13)</f>
        <v>30000</v>
      </c>
      <c r="E15" s="363">
        <f>SUM(E9:E13)</f>
        <v>40000</v>
      </c>
    </row>
    <row r="16" spans="2:5" ht="15.75">
      <c r="B16" s="322" t="s">
        <v>133</v>
      </c>
      <c r="C16" s="363">
        <f>C15+C7</f>
        <v>83498</v>
      </c>
      <c r="D16" s="363">
        <f>D15+D7</f>
        <v>94369</v>
      </c>
      <c r="E16" s="363">
        <f>E15+E7</f>
        <v>114369</v>
      </c>
    </row>
    <row r="17" spans="2:5" ht="15.75">
      <c r="B17" s="153" t="s">
        <v>136</v>
      </c>
      <c r="C17" s="276"/>
      <c r="D17" s="276"/>
      <c r="E17" s="276"/>
    </row>
    <row r="18" spans="2:5" ht="15.75">
      <c r="B18" s="329" t="s">
        <v>926</v>
      </c>
      <c r="C18" s="117">
        <v>19129</v>
      </c>
      <c r="D18" s="117">
        <v>20000</v>
      </c>
      <c r="E18" s="117">
        <v>112938</v>
      </c>
    </row>
    <row r="19" spans="2:5" ht="15.75">
      <c r="B19" s="329"/>
      <c r="C19" s="117"/>
      <c r="D19" s="117"/>
      <c r="E19" s="117"/>
    </row>
    <row r="20" spans="2:5" ht="15.75">
      <c r="B20" s="329"/>
      <c r="C20" s="117"/>
      <c r="D20" s="117"/>
      <c r="E20" s="117"/>
    </row>
    <row r="21" spans="2:5" ht="15.75">
      <c r="B21" s="329"/>
      <c r="C21" s="117"/>
      <c r="D21" s="117"/>
      <c r="E21" s="117"/>
    </row>
    <row r="22" spans="2:5" ht="15.75">
      <c r="B22" s="329"/>
      <c r="C22" s="117"/>
      <c r="D22" s="117"/>
      <c r="E22" s="117"/>
    </row>
    <row r="23" spans="2:5" ht="15.75">
      <c r="B23" s="329"/>
      <c r="C23" s="117"/>
      <c r="D23" s="117"/>
      <c r="E23" s="117"/>
    </row>
    <row r="24" spans="2:5" ht="15.75">
      <c r="B24" s="329"/>
      <c r="C24" s="117"/>
      <c r="D24" s="117"/>
      <c r="E24" s="117"/>
    </row>
    <row r="25" spans="2:5" ht="15.75">
      <c r="B25" s="329"/>
      <c r="C25" s="117"/>
      <c r="D25" s="117"/>
      <c r="E25" s="117"/>
    </row>
    <row r="26" spans="2:5" ht="15.75">
      <c r="B26" s="329"/>
      <c r="C26" s="117"/>
      <c r="D26" s="117"/>
      <c r="E26" s="117"/>
    </row>
    <row r="27" spans="2:5" ht="15.75">
      <c r="B27" s="320" t="s">
        <v>870</v>
      </c>
      <c r="C27" s="117"/>
      <c r="D27" s="315"/>
      <c r="E27" s="315"/>
    </row>
    <row r="28" spans="2:5" ht="15.75">
      <c r="B28" s="320" t="s">
        <v>721</v>
      </c>
      <c r="C28" s="512">
        <f>IF(C29*0.1&lt;C27,"Exceed 10% Rule","")</f>
      </c>
      <c r="D28" s="321">
        <f>IF(D29*0.1&lt;D27,"Exceed 10% Rule","")</f>
      </c>
      <c r="E28" s="321">
        <f>IF(E29*0.1&lt;E27,"Exceed 10% Rule","")</f>
      </c>
    </row>
    <row r="29" spans="2:5" ht="15.75">
      <c r="B29" s="322" t="s">
        <v>137</v>
      </c>
      <c r="C29" s="363">
        <f>SUM(C18:C27)</f>
        <v>19129</v>
      </c>
      <c r="D29" s="363">
        <f>SUM(D18:D27)</f>
        <v>20000</v>
      </c>
      <c r="E29" s="363">
        <f>SUM(E18:E27)</f>
        <v>112938</v>
      </c>
    </row>
    <row r="30" spans="2:5" ht="15.75">
      <c r="B30" s="153" t="s">
        <v>254</v>
      </c>
      <c r="C30" s="125">
        <f>C16-C29</f>
        <v>64369</v>
      </c>
      <c r="D30" s="125">
        <f>D16-D29</f>
        <v>74369</v>
      </c>
      <c r="E30" s="125">
        <f>E16-E29</f>
        <v>1431</v>
      </c>
    </row>
    <row r="31" spans="2:5" ht="15.75">
      <c r="B31" s="298" t="str">
        <f>CONCATENATE("",E$1-2,"/",E$1-1," Budget Authority Amount:")</f>
        <v>2010/2011 Budget Authority Amount:</v>
      </c>
      <c r="C31" s="290">
        <f>inputOth!B62</f>
        <v>111268</v>
      </c>
      <c r="D31" s="290">
        <f>inputPrYr!D49</f>
        <v>124017</v>
      </c>
      <c r="E31" s="511">
        <f>IF(E30&lt;0,"See Tab E","")</f>
      </c>
    </row>
    <row r="32" spans="2:5" ht="15.75">
      <c r="B32" s="298"/>
      <c r="C32" s="332">
        <f>IF(C29&gt;C31,"See Tab A","")</f>
      </c>
      <c r="D32" s="332">
        <f>IF(D29&gt;D31,"See Tab C","")</f>
      </c>
      <c r="E32" s="150"/>
    </row>
    <row r="33" spans="2:5" ht="15.75">
      <c r="B33" s="298"/>
      <c r="C33" s="332">
        <f>IF(C30&lt;0,"See Tab B","")</f>
      </c>
      <c r="D33" s="332">
        <f>IF(D30&lt;0,"See Tab D","")</f>
      </c>
      <c r="E33" s="150"/>
    </row>
    <row r="34" spans="2:5" ht="15.75">
      <c r="B34" s="90"/>
      <c r="C34" s="150"/>
      <c r="D34" s="150"/>
      <c r="E34" s="150"/>
    </row>
    <row r="35" spans="2:5" ht="15.75">
      <c r="B35" s="89" t="s">
        <v>123</v>
      </c>
      <c r="C35" s="338"/>
      <c r="D35" s="338"/>
      <c r="E35" s="338"/>
    </row>
    <row r="36" spans="2:5" ht="15.75">
      <c r="B36" s="90"/>
      <c r="C36" s="577" t="str">
        <f aca="true" t="shared" si="0" ref="C36:E37">C5</f>
        <v>Prior Year Actual</v>
      </c>
      <c r="D36" s="482" t="str">
        <f t="shared" si="0"/>
        <v>Current Year Estimate</v>
      </c>
      <c r="E36" s="482" t="str">
        <f t="shared" si="0"/>
        <v>Proposed Budget Year</v>
      </c>
    </row>
    <row r="37" spans="2:5" ht="15.75">
      <c r="B37" s="515" t="str">
        <f>inputPrYr!B50</f>
        <v>Cell Phone 911</v>
      </c>
      <c r="C37" s="326">
        <f t="shared" si="0"/>
        <v>2010</v>
      </c>
      <c r="D37" s="326">
        <f t="shared" si="0"/>
        <v>2011</v>
      </c>
      <c r="E37" s="326">
        <f t="shared" si="0"/>
        <v>2012</v>
      </c>
    </row>
    <row r="38" spans="2:5" ht="15.75">
      <c r="B38" s="153" t="s">
        <v>253</v>
      </c>
      <c r="C38" s="117">
        <v>44422</v>
      </c>
      <c r="D38" s="276">
        <f>C61</f>
        <v>-101582</v>
      </c>
      <c r="E38" s="276">
        <f>D61</f>
        <v>23480</v>
      </c>
    </row>
    <row r="39" spans="2:5" ht="15.75">
      <c r="B39" s="153" t="s">
        <v>255</v>
      </c>
      <c r="C39" s="113"/>
      <c r="D39" s="113"/>
      <c r="E39" s="113"/>
    </row>
    <row r="40" spans="2:5" ht="15.75">
      <c r="B40" s="329" t="s">
        <v>925</v>
      </c>
      <c r="C40" s="117">
        <v>17041</v>
      </c>
      <c r="D40" s="117">
        <v>25000</v>
      </c>
      <c r="E40" s="117">
        <v>25000</v>
      </c>
    </row>
    <row r="41" spans="2:5" ht="15.75">
      <c r="B41" s="329" t="s">
        <v>927</v>
      </c>
      <c r="C41" s="117">
        <v>38126</v>
      </c>
      <c r="D41" s="117">
        <v>145062</v>
      </c>
      <c r="E41" s="117">
        <v>0</v>
      </c>
    </row>
    <row r="42" spans="2:5" ht="15.75">
      <c r="B42" s="329"/>
      <c r="C42" s="117"/>
      <c r="D42" s="117"/>
      <c r="E42" s="117"/>
    </row>
    <row r="43" spans="2:5" ht="15.75">
      <c r="B43" s="319" t="s">
        <v>131</v>
      </c>
      <c r="C43" s="117">
        <v>551</v>
      </c>
      <c r="D43" s="117">
        <v>0</v>
      </c>
      <c r="E43" s="117">
        <v>0</v>
      </c>
    </row>
    <row r="44" spans="2:5" ht="15.75">
      <c r="B44" s="320" t="s">
        <v>870</v>
      </c>
      <c r="C44" s="117"/>
      <c r="D44" s="315"/>
      <c r="E44" s="315"/>
    </row>
    <row r="45" spans="2:5" ht="15.75">
      <c r="B45" s="320" t="s">
        <v>722</v>
      </c>
      <c r="C45" s="512">
        <f>IF(C46*0.1&lt;C44,"Exceed 10% Rule","")</f>
      </c>
      <c r="D45" s="321">
        <f>IF(D46*0.1&lt;D44,"Exceed 10% Rule","")</f>
      </c>
      <c r="E45" s="321">
        <f>IF(E46*0.1&lt;E44,"Exceed 10% Rule","")</f>
      </c>
    </row>
    <row r="46" spans="2:5" ht="15.75">
      <c r="B46" s="322" t="s">
        <v>132</v>
      </c>
      <c r="C46" s="363">
        <f>SUM(C40:C44)</f>
        <v>55718</v>
      </c>
      <c r="D46" s="363">
        <f>SUM(D40:D44)</f>
        <v>170062</v>
      </c>
      <c r="E46" s="363">
        <f>SUM(E40:E44)</f>
        <v>25000</v>
      </c>
    </row>
    <row r="47" spans="2:5" ht="15.75">
      <c r="B47" s="322" t="s">
        <v>133</v>
      </c>
      <c r="C47" s="363">
        <f>C38+C46</f>
        <v>100140</v>
      </c>
      <c r="D47" s="363">
        <f>D38+D46</f>
        <v>68480</v>
      </c>
      <c r="E47" s="363">
        <f>E38+E46</f>
        <v>48480</v>
      </c>
    </row>
    <row r="48" spans="2:5" ht="15.75">
      <c r="B48" s="153" t="s">
        <v>136</v>
      </c>
      <c r="C48" s="276"/>
      <c r="D48" s="276"/>
      <c r="E48" s="276"/>
    </row>
    <row r="49" spans="2:5" ht="15.75">
      <c r="B49" s="329" t="s">
        <v>417</v>
      </c>
      <c r="C49" s="117">
        <v>31536</v>
      </c>
      <c r="D49" s="117">
        <v>30000</v>
      </c>
      <c r="E49" s="117">
        <v>30000</v>
      </c>
    </row>
    <row r="50" spans="2:5" ht="15.75">
      <c r="B50" s="329" t="s">
        <v>403</v>
      </c>
      <c r="C50" s="117">
        <v>18352</v>
      </c>
      <c r="D50" s="117">
        <v>15000</v>
      </c>
      <c r="E50" s="117">
        <v>18480</v>
      </c>
    </row>
    <row r="51" spans="2:5" ht="15.75">
      <c r="B51" s="329" t="s">
        <v>404</v>
      </c>
      <c r="C51" s="117">
        <v>151834</v>
      </c>
      <c r="D51" s="117">
        <v>0</v>
      </c>
      <c r="E51" s="117">
        <v>0</v>
      </c>
    </row>
    <row r="52" spans="2:5" ht="15.75">
      <c r="B52" s="329"/>
      <c r="C52" s="117"/>
      <c r="D52" s="117"/>
      <c r="E52" s="117"/>
    </row>
    <row r="53" spans="2:5" ht="15.75">
      <c r="B53" s="329"/>
      <c r="C53" s="117"/>
      <c r="D53" s="117"/>
      <c r="E53" s="117"/>
    </row>
    <row r="54" spans="2:5" ht="15.75">
      <c r="B54" s="329"/>
      <c r="C54" s="117"/>
      <c r="D54" s="117"/>
      <c r="E54" s="117"/>
    </row>
    <row r="55" spans="2:5" ht="15.75">
      <c r="B55" s="329"/>
      <c r="C55" s="117"/>
      <c r="D55" s="117"/>
      <c r="E55" s="117"/>
    </row>
    <row r="56" spans="2:5" ht="15.75">
      <c r="B56" s="329"/>
      <c r="C56" s="117"/>
      <c r="D56" s="117"/>
      <c r="E56" s="117"/>
    </row>
    <row r="57" spans="2:5" ht="15.75">
      <c r="B57" s="329"/>
      <c r="C57" s="117"/>
      <c r="D57" s="117"/>
      <c r="E57" s="117"/>
    </row>
    <row r="58" spans="2:5" ht="15.75">
      <c r="B58" s="320" t="s">
        <v>870</v>
      </c>
      <c r="C58" s="117"/>
      <c r="D58" s="315"/>
      <c r="E58" s="315"/>
    </row>
    <row r="59" spans="2:5" ht="15.75">
      <c r="B59" s="320" t="s">
        <v>721</v>
      </c>
      <c r="C59" s="512">
        <f>IF(C60*0.1&lt;C58,"Exceed 10% Rule","")</f>
      </c>
      <c r="D59" s="321">
        <f>IF(D60*0.1&lt;D58,"Exceed 10% Rule","")</f>
      </c>
      <c r="E59" s="321">
        <f>IF(E60*0.1&lt;E58,"Exceed 10% Rule","")</f>
      </c>
    </row>
    <row r="60" spans="2:5" ht="15.75">
      <c r="B60" s="322" t="s">
        <v>137</v>
      </c>
      <c r="C60" s="363">
        <f>SUM(C49:C58)</f>
        <v>201722</v>
      </c>
      <c r="D60" s="363">
        <f>SUM(D49:D58)</f>
        <v>45000</v>
      </c>
      <c r="E60" s="363">
        <f>SUM(E49:E58)</f>
        <v>48480</v>
      </c>
    </row>
    <row r="61" spans="2:5" ht="15.75">
      <c r="B61" s="153" t="s">
        <v>254</v>
      </c>
      <c r="C61" s="125">
        <f>C47-C60</f>
        <v>-101582</v>
      </c>
      <c r="D61" s="125">
        <f>D47-D60</f>
        <v>23480</v>
      </c>
      <c r="E61" s="125">
        <f>E47-E60</f>
        <v>0</v>
      </c>
    </row>
    <row r="62" spans="2:5" ht="15.75">
      <c r="B62" s="298" t="str">
        <f>CONCATENATE("",E$1-2,"/",E$1-1," Budget Authority Amount:")</f>
        <v>2010/2011 Budget Authority Amount:</v>
      </c>
      <c r="C62" s="290">
        <f>inputOth!B63</f>
        <v>75747</v>
      </c>
      <c r="D62" s="290">
        <f>inputPrYr!D50</f>
        <v>84622</v>
      </c>
      <c r="E62" s="510">
        <f>IF(E61&lt;0,"See Tab E","")</f>
      </c>
    </row>
    <row r="63" spans="2:5" ht="15.75">
      <c r="B63" s="298"/>
      <c r="C63" s="332" t="str">
        <f>IF(C60&gt;C62,"See Tab A","")</f>
        <v>See Tab A</v>
      </c>
      <c r="D63" s="332">
        <f>IF(D60&gt;D62,"See Tab C","")</f>
      </c>
      <c r="E63" s="90"/>
    </row>
    <row r="64" spans="2:5" ht="15.75">
      <c r="B64" s="298"/>
      <c r="C64" s="332" t="str">
        <f>IF(C61&lt;0,"See Tab B","")</f>
        <v>See Tab B</v>
      </c>
      <c r="D64" s="332">
        <f>IF(D61&lt;0,"See Tab D","")</f>
      </c>
      <c r="E64" s="90"/>
    </row>
    <row r="65" spans="2:5" ht="15.75">
      <c r="B65" s="90"/>
      <c r="C65" s="90"/>
      <c r="D65" s="90"/>
      <c r="E65" s="90"/>
    </row>
    <row r="66" spans="2:5" ht="15.75">
      <c r="B66" s="298" t="s">
        <v>160</v>
      </c>
      <c r="C66" s="360">
        <v>17</v>
      </c>
      <c r="D66" s="90"/>
      <c r="E66" s="90"/>
    </row>
  </sheetData>
  <sheetProtection sheet="1"/>
  <conditionalFormatting sqref="C27">
    <cfRule type="cellIs" priority="3" dxfId="405" operator="greaterThan" stopIfTrue="1">
      <formula>$C$29*0.1</formula>
    </cfRule>
  </conditionalFormatting>
  <conditionalFormatting sqref="D27">
    <cfRule type="cellIs" priority="4" dxfId="405" operator="greaterThan" stopIfTrue="1">
      <formula>$D$29*0.1</formula>
    </cfRule>
  </conditionalFormatting>
  <conditionalFormatting sqref="E27">
    <cfRule type="cellIs" priority="5" dxfId="405" operator="greaterThan" stopIfTrue="1">
      <formula>$E$29*0.1</formula>
    </cfRule>
  </conditionalFormatting>
  <conditionalFormatting sqref="C13">
    <cfRule type="cellIs" priority="6" dxfId="405" operator="greaterThan" stopIfTrue="1">
      <formula>$C$15*0.1</formula>
    </cfRule>
  </conditionalFormatting>
  <conditionalFormatting sqref="D13">
    <cfRule type="cellIs" priority="7" dxfId="405" operator="greaterThan" stopIfTrue="1">
      <formula>$D$15*0.1</formula>
    </cfRule>
  </conditionalFormatting>
  <conditionalFormatting sqref="E13">
    <cfRule type="cellIs" priority="8" dxfId="405" operator="greaterThan" stopIfTrue="1">
      <formula>$E$15*0.1</formula>
    </cfRule>
  </conditionalFormatting>
  <conditionalFormatting sqref="C44">
    <cfRule type="cellIs" priority="9" dxfId="405" operator="greaterThan" stopIfTrue="1">
      <formula>$C$46*0.1</formula>
    </cfRule>
  </conditionalFormatting>
  <conditionalFormatting sqref="D44">
    <cfRule type="cellIs" priority="10" dxfId="405" operator="greaterThan" stopIfTrue="1">
      <formula>$D$46*0.1</formula>
    </cfRule>
  </conditionalFormatting>
  <conditionalFormatting sqref="E44">
    <cfRule type="cellIs" priority="11" dxfId="405" operator="greaterThan" stopIfTrue="1">
      <formula>$E$46*0.1</formula>
    </cfRule>
  </conditionalFormatting>
  <conditionalFormatting sqref="C58">
    <cfRule type="cellIs" priority="12" dxfId="405" operator="greaterThan" stopIfTrue="1">
      <formula>$C$60*0.1</formula>
    </cfRule>
  </conditionalFormatting>
  <conditionalFormatting sqref="D58">
    <cfRule type="cellIs" priority="13" dxfId="405" operator="greaterThan" stopIfTrue="1">
      <formula>$D$60*0.1</formula>
    </cfRule>
  </conditionalFormatting>
  <conditionalFormatting sqref="E58">
    <cfRule type="cellIs" priority="14" dxfId="405"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6"/>
  <sheetViews>
    <sheetView tabSelected="1" zoomScalePageLayoutView="0" workbookViewId="0" topLeftCell="A1">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212</v>
      </c>
      <c r="C3" s="344"/>
      <c r="D3" s="344"/>
      <c r="E3" s="345"/>
    </row>
    <row r="4" spans="2:5" ht="15.75">
      <c r="B4" s="90"/>
      <c r="C4" s="338"/>
      <c r="D4" s="338"/>
      <c r="E4" s="338"/>
    </row>
    <row r="5" spans="2:5" ht="15.75">
      <c r="B5" s="89" t="s">
        <v>123</v>
      </c>
      <c r="C5" s="577" t="str">
        <f>general!C4</f>
        <v>Prior Year Actual</v>
      </c>
      <c r="D5" s="482" t="str">
        <f>general!D4</f>
        <v>Current Year Estimate</v>
      </c>
      <c r="E5" s="482" t="str">
        <f>general!E4</f>
        <v>Proposed Budget Year</v>
      </c>
    </row>
    <row r="6" spans="2:5" ht="15.75">
      <c r="B6" s="516" t="str">
        <f>inputPrYr!B51</f>
        <v>Convention &amp; Tourism</v>
      </c>
      <c r="C6" s="326">
        <f>general!C5</f>
        <v>2010</v>
      </c>
      <c r="D6" s="326">
        <f>general!D5</f>
        <v>2011</v>
      </c>
      <c r="E6" s="326">
        <f>general!E5</f>
        <v>2012</v>
      </c>
    </row>
    <row r="7" spans="2:5" ht="15.75">
      <c r="B7" s="153" t="s">
        <v>253</v>
      </c>
      <c r="C7" s="117">
        <v>18778</v>
      </c>
      <c r="D7" s="276">
        <f>C30</f>
        <v>17474</v>
      </c>
      <c r="E7" s="276">
        <f>D30</f>
        <v>18474</v>
      </c>
    </row>
    <row r="8" spans="2:5" ht="15.75">
      <c r="B8" s="347" t="s">
        <v>255</v>
      </c>
      <c r="C8" s="113"/>
      <c r="D8" s="113"/>
      <c r="E8" s="113"/>
    </row>
    <row r="9" spans="2:5" ht="15.75">
      <c r="B9" s="329" t="s">
        <v>76</v>
      </c>
      <c r="C9" s="117">
        <v>11287</v>
      </c>
      <c r="D9" s="117">
        <v>12500</v>
      </c>
      <c r="E9" s="117">
        <v>12500</v>
      </c>
    </row>
    <row r="10" spans="2:5" ht="15.75">
      <c r="B10" s="329"/>
      <c r="C10" s="117"/>
      <c r="D10" s="117"/>
      <c r="E10" s="117"/>
    </row>
    <row r="11" spans="2:5" ht="15.75">
      <c r="B11" s="329"/>
      <c r="C11" s="117"/>
      <c r="D11" s="117"/>
      <c r="E11" s="117"/>
    </row>
    <row r="12" spans="2:5" ht="15.75">
      <c r="B12" s="319" t="s">
        <v>131</v>
      </c>
      <c r="C12" s="117"/>
      <c r="D12" s="117"/>
      <c r="E12" s="117"/>
    </row>
    <row r="13" spans="2:5" ht="15.75">
      <c r="B13" s="320" t="s">
        <v>870</v>
      </c>
      <c r="C13" s="117"/>
      <c r="D13" s="315"/>
      <c r="E13" s="315"/>
    </row>
    <row r="14" spans="2:5" ht="15.75">
      <c r="B14" s="320" t="s">
        <v>722</v>
      </c>
      <c r="C14" s="512">
        <f>IF(C15*0.1&lt;C13,"Exceed 10% Rule","")</f>
      </c>
      <c r="D14" s="321">
        <f>IF(D15*0.1&lt;D13,"Exceed 10% Rule","")</f>
      </c>
      <c r="E14" s="321">
        <f>IF(E15*0.1&lt;E13,"Exceed 10% Rule","")</f>
      </c>
    </row>
    <row r="15" spans="2:5" ht="15.75">
      <c r="B15" s="322" t="s">
        <v>132</v>
      </c>
      <c r="C15" s="363">
        <f>SUM(C9:C13)</f>
        <v>11287</v>
      </c>
      <c r="D15" s="363">
        <f>SUM(D9:D13)</f>
        <v>12500</v>
      </c>
      <c r="E15" s="363">
        <f>SUM(E9:E13)</f>
        <v>12500</v>
      </c>
    </row>
    <row r="16" spans="2:5" ht="15.75">
      <c r="B16" s="322" t="s">
        <v>133</v>
      </c>
      <c r="C16" s="363">
        <f>C15+C7</f>
        <v>30065</v>
      </c>
      <c r="D16" s="363">
        <f>D15+D7</f>
        <v>29974</v>
      </c>
      <c r="E16" s="363">
        <f>E15+E7</f>
        <v>30974</v>
      </c>
    </row>
    <row r="17" spans="2:5" ht="15.75">
      <c r="B17" s="153" t="s">
        <v>136</v>
      </c>
      <c r="C17" s="276"/>
      <c r="D17" s="276"/>
      <c r="E17" s="276"/>
    </row>
    <row r="18" spans="2:5" ht="15.75">
      <c r="B18" s="329" t="s">
        <v>916</v>
      </c>
      <c r="C18" s="117">
        <v>0</v>
      </c>
      <c r="D18" s="117">
        <v>0</v>
      </c>
      <c r="E18" s="117">
        <v>0</v>
      </c>
    </row>
    <row r="19" spans="2:5" ht="15.75">
      <c r="B19" s="329" t="s">
        <v>417</v>
      </c>
      <c r="C19" s="117">
        <v>10876</v>
      </c>
      <c r="D19" s="117">
        <v>10000</v>
      </c>
      <c r="E19" s="117">
        <v>20000</v>
      </c>
    </row>
    <row r="20" spans="2:5" ht="15.75">
      <c r="B20" s="329" t="s">
        <v>403</v>
      </c>
      <c r="C20" s="117">
        <v>1715</v>
      </c>
      <c r="D20" s="117">
        <v>1500</v>
      </c>
      <c r="E20" s="117">
        <v>10974</v>
      </c>
    </row>
    <row r="21" spans="2:5" ht="15.75">
      <c r="B21" s="329"/>
      <c r="C21" s="117"/>
      <c r="D21" s="117"/>
      <c r="E21" s="117"/>
    </row>
    <row r="22" spans="2:5" ht="15.75">
      <c r="B22" s="329"/>
      <c r="C22" s="117"/>
      <c r="D22" s="117"/>
      <c r="E22" s="117"/>
    </row>
    <row r="23" spans="2:5" ht="15.75">
      <c r="B23" s="329"/>
      <c r="C23" s="117"/>
      <c r="D23" s="117"/>
      <c r="E23" s="117"/>
    </row>
    <row r="24" spans="2:5" ht="15.75">
      <c r="B24" s="329"/>
      <c r="C24" s="117"/>
      <c r="D24" s="117"/>
      <c r="E24" s="117"/>
    </row>
    <row r="25" spans="2:5" ht="15.75">
      <c r="B25" s="329"/>
      <c r="C25" s="117"/>
      <c r="D25" s="117"/>
      <c r="E25" s="117"/>
    </row>
    <row r="26" spans="2:5" ht="15.75">
      <c r="B26" s="329"/>
      <c r="C26" s="117"/>
      <c r="D26" s="117"/>
      <c r="E26" s="117"/>
    </row>
    <row r="27" spans="2:5" ht="15.75">
      <c r="B27" s="320" t="s">
        <v>870</v>
      </c>
      <c r="C27" s="117"/>
      <c r="D27" s="315"/>
      <c r="E27" s="315"/>
    </row>
    <row r="28" spans="2:5" ht="15.75">
      <c r="B28" s="320" t="s">
        <v>721</v>
      </c>
      <c r="C28" s="512">
        <f>IF(C29*0.1&lt;C27,"Exceed 10% Rule","")</f>
      </c>
      <c r="D28" s="321">
        <f>IF(D29*0.1&lt;D27,"Exceed 10% Rule","")</f>
      </c>
      <c r="E28" s="321">
        <f>IF(E29*0.1&lt;E27,"Exceed 10% Rule","")</f>
      </c>
    </row>
    <row r="29" spans="2:5" ht="15.75">
      <c r="B29" s="322" t="s">
        <v>137</v>
      </c>
      <c r="C29" s="363">
        <f>SUM(C18:C27)</f>
        <v>12591</v>
      </c>
      <c r="D29" s="363">
        <f>SUM(D18:D27)</f>
        <v>11500</v>
      </c>
      <c r="E29" s="363">
        <f>SUM(E18:E27)</f>
        <v>30974</v>
      </c>
    </row>
    <row r="30" spans="2:5" ht="15.75">
      <c r="B30" s="153" t="s">
        <v>254</v>
      </c>
      <c r="C30" s="125">
        <f>C16-C29</f>
        <v>17474</v>
      </c>
      <c r="D30" s="125">
        <f>D16-D29</f>
        <v>18474</v>
      </c>
      <c r="E30" s="125">
        <f>E16-E29</f>
        <v>0</v>
      </c>
    </row>
    <row r="31" spans="2:5" ht="15.75">
      <c r="B31" s="298" t="str">
        <f>CONCATENATE("",E$1-2,"/",E$1-1," Budget Authority Amount:")</f>
        <v>2010/2011 Budget Authority Amount:</v>
      </c>
      <c r="C31" s="290">
        <f>inputOth!B64</f>
        <v>0</v>
      </c>
      <c r="D31" s="290">
        <f>inputPrYr!D51</f>
        <v>29278</v>
      </c>
      <c r="E31" s="511">
        <f>IF(E30&lt;0,"See Tab E","")</f>
      </c>
    </row>
    <row r="32" spans="2:5" ht="15.75">
      <c r="B32" s="298"/>
      <c r="C32" s="332" t="str">
        <f>IF(C29&gt;C31,"See Tab A","")</f>
        <v>See Tab A</v>
      </c>
      <c r="D32" s="332">
        <f>IF(D29&gt;D31,"See Tab C","")</f>
      </c>
      <c r="E32" s="150"/>
    </row>
    <row r="33" spans="2:5" ht="15.75">
      <c r="B33" s="298"/>
      <c r="C33" s="332">
        <f>IF(C30&lt;0,"See Tab B","")</f>
      </c>
      <c r="D33" s="332">
        <f>IF(D30&lt;0,"See Tab D","")</f>
      </c>
      <c r="E33" s="150"/>
    </row>
    <row r="34" spans="2:5" ht="15.75">
      <c r="B34" s="90"/>
      <c r="C34" s="150"/>
      <c r="D34" s="150"/>
      <c r="E34" s="150"/>
    </row>
    <row r="35" spans="2:5" ht="15.75">
      <c r="B35" s="89" t="s">
        <v>123</v>
      </c>
      <c r="C35" s="338"/>
      <c r="D35" s="338"/>
      <c r="E35" s="338"/>
    </row>
    <row r="36" spans="2:5" ht="15.75">
      <c r="B36" s="90"/>
      <c r="C36" s="577" t="str">
        <f aca="true" t="shared" si="0" ref="C36:E37">C5</f>
        <v>Prior Year Actual</v>
      </c>
      <c r="D36" s="482" t="str">
        <f t="shared" si="0"/>
        <v>Current Year Estimate</v>
      </c>
      <c r="E36" s="482" t="str">
        <f t="shared" si="0"/>
        <v>Proposed Budget Year</v>
      </c>
    </row>
    <row r="37" spans="2:5" ht="15.75">
      <c r="B37" s="515" t="str">
        <f>inputPrYr!B52</f>
        <v> </v>
      </c>
      <c r="C37" s="576">
        <f t="shared" si="0"/>
        <v>2010</v>
      </c>
      <c r="D37" s="576">
        <f t="shared" si="0"/>
        <v>2011</v>
      </c>
      <c r="E37" s="576">
        <f t="shared" si="0"/>
        <v>2012</v>
      </c>
    </row>
    <row r="38" spans="2:5" ht="15.75">
      <c r="B38" s="153" t="s">
        <v>253</v>
      </c>
      <c r="C38" s="117"/>
      <c r="D38" s="276">
        <f>C61</f>
        <v>0</v>
      </c>
      <c r="E38" s="276">
        <f>D61</f>
        <v>0</v>
      </c>
    </row>
    <row r="39" spans="2:5" ht="15.75">
      <c r="B39" s="153" t="s">
        <v>255</v>
      </c>
      <c r="C39" s="113"/>
      <c r="D39" s="113"/>
      <c r="E39" s="113"/>
    </row>
    <row r="40" spans="2:5" ht="15.75">
      <c r="B40" s="329"/>
      <c r="C40" s="117"/>
      <c r="D40" s="117"/>
      <c r="E40" s="117"/>
    </row>
    <row r="41" spans="2:5" ht="15.75">
      <c r="B41" s="329"/>
      <c r="C41" s="117"/>
      <c r="D41" s="117"/>
      <c r="E41" s="117"/>
    </row>
    <row r="42" spans="2:5" ht="15.75">
      <c r="B42" s="329"/>
      <c r="C42" s="117"/>
      <c r="D42" s="117"/>
      <c r="E42" s="117"/>
    </row>
    <row r="43" spans="2:5" ht="15.75">
      <c r="B43" s="319" t="s">
        <v>131</v>
      </c>
      <c r="C43" s="117"/>
      <c r="D43" s="117"/>
      <c r="E43" s="117"/>
    </row>
    <row r="44" spans="2:5" ht="15.75">
      <c r="B44" s="320" t="s">
        <v>870</v>
      </c>
      <c r="C44" s="117"/>
      <c r="D44" s="315"/>
      <c r="E44" s="315"/>
    </row>
    <row r="45" spans="2:5" ht="15.75">
      <c r="B45" s="320" t="s">
        <v>722</v>
      </c>
      <c r="C45" s="512">
        <f>IF(C46*0.1&lt;C44,"Exceed 10% Rule","")</f>
      </c>
      <c r="D45" s="321">
        <f>IF(D46*0.1&lt;D44,"Exceed 10% Rule","")</f>
      </c>
      <c r="E45" s="321">
        <f>IF(E46*0.1&lt;E44,"Exceed 10% Rule","")</f>
      </c>
    </row>
    <row r="46" spans="2:5" ht="15.75">
      <c r="B46" s="322" t="s">
        <v>132</v>
      </c>
      <c r="C46" s="363">
        <f>SUM(C40:C44)</f>
        <v>0</v>
      </c>
      <c r="D46" s="363">
        <f>SUM(D40:D44)</f>
        <v>0</v>
      </c>
      <c r="E46" s="363">
        <f>SUM(E40:E44)</f>
        <v>0</v>
      </c>
    </row>
    <row r="47" spans="2:5" ht="15.75">
      <c r="B47" s="322" t="s">
        <v>133</v>
      </c>
      <c r="C47" s="363">
        <f>C38+C46</f>
        <v>0</v>
      </c>
      <c r="D47" s="363">
        <f>D38+D46</f>
        <v>0</v>
      </c>
      <c r="E47" s="363">
        <f>E38+E46</f>
        <v>0</v>
      </c>
    </row>
    <row r="48" spans="2:5" ht="15.75">
      <c r="B48" s="153" t="s">
        <v>136</v>
      </c>
      <c r="C48" s="276"/>
      <c r="D48" s="276"/>
      <c r="E48" s="276"/>
    </row>
    <row r="49" spans="2:5" ht="15.75">
      <c r="B49" s="329"/>
      <c r="C49" s="117"/>
      <c r="D49" s="117"/>
      <c r="E49" s="117"/>
    </row>
    <row r="50" spans="2:5" ht="15.75">
      <c r="B50" s="329"/>
      <c r="C50" s="117"/>
      <c r="D50" s="117"/>
      <c r="E50" s="117"/>
    </row>
    <row r="51" spans="2:5" ht="15.75">
      <c r="B51" s="329"/>
      <c r="C51" s="117"/>
      <c r="D51" s="117"/>
      <c r="E51" s="117"/>
    </row>
    <row r="52" spans="2:5" ht="15.75">
      <c r="B52" s="329"/>
      <c r="C52" s="117"/>
      <c r="D52" s="117"/>
      <c r="E52" s="117"/>
    </row>
    <row r="53" spans="2:5" ht="15.75">
      <c r="B53" s="329"/>
      <c r="C53" s="117"/>
      <c r="D53" s="117"/>
      <c r="E53" s="117"/>
    </row>
    <row r="54" spans="2:5" ht="15.75">
      <c r="B54" s="329"/>
      <c r="C54" s="117"/>
      <c r="D54" s="117"/>
      <c r="E54" s="117"/>
    </row>
    <row r="55" spans="2:5" ht="15.75">
      <c r="B55" s="329"/>
      <c r="C55" s="117"/>
      <c r="D55" s="117"/>
      <c r="E55" s="117"/>
    </row>
    <row r="56" spans="2:5" ht="15.75">
      <c r="B56" s="329"/>
      <c r="C56" s="117"/>
      <c r="D56" s="117"/>
      <c r="E56" s="117"/>
    </row>
    <row r="57" spans="2:5" ht="15.75">
      <c r="B57" s="329"/>
      <c r="C57" s="117"/>
      <c r="D57" s="117"/>
      <c r="E57" s="117"/>
    </row>
    <row r="58" spans="2:5" ht="15.75">
      <c r="B58" s="320" t="s">
        <v>870</v>
      </c>
      <c r="C58" s="117"/>
      <c r="D58" s="315"/>
      <c r="E58" s="315"/>
    </row>
    <row r="59" spans="2:5" ht="15.75">
      <c r="B59" s="320" t="s">
        <v>721</v>
      </c>
      <c r="C59" s="512">
        <f>IF(C60*0.1&lt;C58,"Exceed 10% Rule","")</f>
      </c>
      <c r="D59" s="321">
        <f>IF(D60*0.1&lt;D58,"Exceed 10% Rule","")</f>
      </c>
      <c r="E59" s="321">
        <f>IF(E60*0.1&lt;E58,"Exceed 10% Rule","")</f>
      </c>
    </row>
    <row r="60" spans="2:5" ht="15.75">
      <c r="B60" s="322" t="s">
        <v>137</v>
      </c>
      <c r="C60" s="363">
        <f>SUM(C49:C58)</f>
        <v>0</v>
      </c>
      <c r="D60" s="363">
        <f>SUM(D49:D58)</f>
        <v>0</v>
      </c>
      <c r="E60" s="363">
        <f>SUM(E49:E58)</f>
        <v>0</v>
      </c>
    </row>
    <row r="61" spans="2:5" ht="15.75">
      <c r="B61" s="153" t="s">
        <v>254</v>
      </c>
      <c r="C61" s="125">
        <f>C47-C60</f>
        <v>0</v>
      </c>
      <c r="D61" s="125">
        <f>D47-D60</f>
        <v>0</v>
      </c>
      <c r="E61" s="125">
        <f>E47-E60</f>
        <v>0</v>
      </c>
    </row>
    <row r="62" spans="2:5" ht="15.75">
      <c r="B62" s="298" t="str">
        <f>CONCATENATE("",E$1-2,"/",E$1-1," Budget Authority Amount:")</f>
        <v>2010/2011 Budget Authority Amount:</v>
      </c>
      <c r="C62" s="290">
        <f>inputOth!B65</f>
        <v>0</v>
      </c>
      <c r="D62" s="290">
        <f>inputPrYr!D52</f>
        <v>0</v>
      </c>
      <c r="E62" s="510">
        <f>IF(E61&lt;0,"See Tab E","")</f>
      </c>
    </row>
    <row r="63" spans="2:5" ht="15.75">
      <c r="B63" s="298"/>
      <c r="C63" s="332">
        <f>IF(C60&gt;C62,"See Tab A","")</f>
      </c>
      <c r="D63" s="332">
        <f>IF(D60&gt;D62,"See Tab C","")</f>
      </c>
      <c r="E63" s="90"/>
    </row>
    <row r="64" spans="2:5" ht="15.75">
      <c r="B64" s="298"/>
      <c r="C64" s="332">
        <f>IF(C61&lt;0,"See Tab B","")</f>
      </c>
      <c r="D64" s="332">
        <f>IF(D61&lt;0,"See Tab D","")</f>
      </c>
      <c r="E64" s="90"/>
    </row>
    <row r="65" spans="2:5" ht="15.75">
      <c r="B65" s="90"/>
      <c r="C65" s="90"/>
      <c r="D65" s="90"/>
      <c r="E65" s="90"/>
    </row>
    <row r="66" spans="2:5" ht="15.75">
      <c r="B66" s="298" t="s">
        <v>160</v>
      </c>
      <c r="C66" s="360">
        <v>18</v>
      </c>
      <c r="D66" s="90"/>
      <c r="E66" s="90"/>
    </row>
  </sheetData>
  <sheetProtection sheet="1"/>
  <conditionalFormatting sqref="C27">
    <cfRule type="cellIs" priority="2" dxfId="405" operator="greaterThan" stopIfTrue="1">
      <formula>$C$29*0.1</formula>
    </cfRule>
  </conditionalFormatting>
  <conditionalFormatting sqref="D27">
    <cfRule type="cellIs" priority="3" dxfId="405" operator="greaterThan" stopIfTrue="1">
      <formula>$D$29*0.1</formula>
    </cfRule>
  </conditionalFormatting>
  <conditionalFormatting sqref="E27">
    <cfRule type="cellIs" priority="4" dxfId="405" operator="greaterThan" stopIfTrue="1">
      <formula>$E$29*0.1</formula>
    </cfRule>
  </conditionalFormatting>
  <conditionalFormatting sqref="C13">
    <cfRule type="cellIs" priority="5" dxfId="405" operator="greaterThan" stopIfTrue="1">
      <formula>$C$15*0.1</formula>
    </cfRule>
  </conditionalFormatting>
  <conditionalFormatting sqref="D13">
    <cfRule type="cellIs" priority="6" dxfId="405" operator="greaterThan" stopIfTrue="1">
      <formula>$D$15*0.1</formula>
    </cfRule>
  </conditionalFormatting>
  <conditionalFormatting sqref="E13">
    <cfRule type="cellIs" priority="7" dxfId="405" operator="greaterThan" stopIfTrue="1">
      <formula>$E$15*0.1</formula>
    </cfRule>
  </conditionalFormatting>
  <conditionalFormatting sqref="C44">
    <cfRule type="cellIs" priority="8" dxfId="405" operator="greaterThan" stopIfTrue="1">
      <formula>$C$46*0.1</formula>
    </cfRule>
  </conditionalFormatting>
  <conditionalFormatting sqref="D44">
    <cfRule type="cellIs" priority="9" dxfId="405" operator="greaterThan" stopIfTrue="1">
      <formula>$D$46*0.1</formula>
    </cfRule>
  </conditionalFormatting>
  <conditionalFormatting sqref="E44">
    <cfRule type="cellIs" priority="10" dxfId="405" operator="greaterThan" stopIfTrue="1">
      <formula>$E$46*0.1</formula>
    </cfRule>
  </conditionalFormatting>
  <conditionalFormatting sqref="C58">
    <cfRule type="cellIs" priority="11" dxfId="405" operator="greaterThan" stopIfTrue="1">
      <formula>$C$60*0.1</formula>
    </cfRule>
  </conditionalFormatting>
  <conditionalFormatting sqref="D58">
    <cfRule type="cellIs" priority="12" dxfId="405" operator="greaterThan" stopIfTrue="1">
      <formula>$D$60*0.1</formula>
    </cfRule>
  </conditionalFormatting>
  <conditionalFormatting sqref="E58">
    <cfRule type="cellIs" priority="13" dxfId="405" operator="greaterThan" stopIfTrue="1">
      <formula>$E$60*0.1</formula>
    </cfRule>
  </conditionalFormatting>
  <conditionalFormatting sqref="E30 C30 E61 C61">
    <cfRule type="cellIs" priority="14" dxfId="2" operator="lessThan" stopIfTrue="1">
      <formula>0</formula>
    </cfRule>
  </conditionalFormatting>
  <conditionalFormatting sqref="D29">
    <cfRule type="cellIs" priority="15" dxfId="2" operator="greaterThan" stopIfTrue="1">
      <formula>$D$31</formula>
    </cfRule>
  </conditionalFormatting>
  <conditionalFormatting sqref="C29">
    <cfRule type="cellIs" priority="16" dxfId="2" operator="greaterThan" stopIfTrue="1">
      <formula>$C$31</formula>
    </cfRule>
  </conditionalFormatting>
  <conditionalFormatting sqref="D60">
    <cfRule type="cellIs" priority="17" dxfId="2" operator="greaterThan" stopIfTrue="1">
      <formula>$D$62</formula>
    </cfRule>
  </conditionalFormatting>
  <conditionalFormatting sqref="C60">
    <cfRule type="cellIs" priority="18" dxfId="2" operator="greaterThan" stopIfTrue="1">
      <formula>$C$62</formula>
    </cfRule>
  </conditionalFormatting>
  <conditionalFormatting sqref="D30">
    <cfRule type="cellIs" priority="1" dxfId="0" operator="lessThan" stopIfTrue="1">
      <formula>0</formula>
    </cfRule>
  </conditionalFormatting>
  <printOptions/>
  <pageMargins left="1.12" right="0.5" top="0.74" bottom="0.34" header="0.5" footer="0"/>
  <pageSetup blackAndWhite="1" fitToHeight="1" fitToWidth="1" horizontalDpi="120" verticalDpi="120" orientation="portrait" scale="66" r:id="rId1"/>
  <headerFooter alignWithMargins="0">
    <oddHeader>&amp;RState of Kansas
County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1">
      <selection activeCell="F49" sqref="F49"/>
    </sheetView>
  </sheetViews>
  <sheetFormatPr defaultColWidth="8.796875" defaultRowHeight="15"/>
  <cols>
    <col min="1" max="1" width="11.59765625" style="77" customWidth="1"/>
    <col min="2" max="2" width="7.3984375" style="77" customWidth="1"/>
    <col min="3" max="3" width="11.59765625" style="77" customWidth="1"/>
    <col min="4" max="4" width="7.3984375" style="77" customWidth="1"/>
    <col min="5" max="5" width="11.59765625" style="77" customWidth="1"/>
    <col min="6" max="6" width="7.3984375" style="77" customWidth="1"/>
    <col min="7" max="7" width="11.59765625" style="77" customWidth="1"/>
    <col min="8" max="8" width="7.3984375" style="77" customWidth="1"/>
    <col min="9" max="9" width="11.59765625" style="77" customWidth="1"/>
    <col min="10" max="16384" width="8.8984375" style="77" customWidth="1"/>
  </cols>
  <sheetData>
    <row r="1" spans="1:11" ht="15.75">
      <c r="A1" s="149" t="str">
        <f>inputPrYr!$C$2</f>
        <v>Clay County</v>
      </c>
      <c r="B1" s="368"/>
      <c r="C1" s="130"/>
      <c r="D1" s="130"/>
      <c r="E1" s="130"/>
      <c r="F1" s="369" t="s">
        <v>586</v>
      </c>
      <c r="G1" s="130"/>
      <c r="H1" s="130"/>
      <c r="I1" s="130"/>
      <c r="J1" s="130"/>
      <c r="K1" s="130">
        <f>inputPrYr!$C$4</f>
        <v>2012</v>
      </c>
    </row>
    <row r="2" spans="1:11" ht="15.75">
      <c r="A2" s="130"/>
      <c r="B2" s="130"/>
      <c r="C2" s="130"/>
      <c r="D2" s="130"/>
      <c r="E2" s="130"/>
      <c r="F2" s="370" t="str">
        <f>CONCATENATE("(Only the actual budget year for ",K1-2," is to be shown)")</f>
        <v>(Only the actual budget year for 2010 is to be shown)</v>
      </c>
      <c r="G2" s="130"/>
      <c r="H2" s="130"/>
      <c r="I2" s="130"/>
      <c r="J2" s="130"/>
      <c r="K2" s="130"/>
    </row>
    <row r="3" spans="1:11" ht="15.75">
      <c r="A3" s="130" t="s">
        <v>587</v>
      </c>
      <c r="B3" s="130"/>
      <c r="C3" s="130"/>
      <c r="D3" s="130"/>
      <c r="E3" s="130"/>
      <c r="F3" s="368"/>
      <c r="G3" s="130"/>
      <c r="H3" s="130"/>
      <c r="I3" s="130"/>
      <c r="J3" s="130"/>
      <c r="K3" s="130"/>
    </row>
    <row r="4" spans="1:11" ht="15.75">
      <c r="A4" s="130" t="s">
        <v>588</v>
      </c>
      <c r="B4" s="130"/>
      <c r="C4" s="130" t="s">
        <v>589</v>
      </c>
      <c r="D4" s="130"/>
      <c r="E4" s="130" t="s">
        <v>590</v>
      </c>
      <c r="F4" s="368"/>
      <c r="G4" s="130" t="s">
        <v>591</v>
      </c>
      <c r="H4" s="130"/>
      <c r="I4" s="130" t="s">
        <v>592</v>
      </c>
      <c r="J4" s="130"/>
      <c r="K4" s="130"/>
    </row>
    <row r="5" spans="1:11" ht="15.75">
      <c r="A5" s="737" t="str">
        <f>IF(inputPrYr!B62&gt;" ",(inputPrYr!B62)," ")</f>
        <v>Equipment Reserve</v>
      </c>
      <c r="B5" s="738"/>
      <c r="C5" s="737" t="str">
        <f>IF(inputPrYr!B63&gt;" ",(inputPrYr!B63)," ")</f>
        <v>Spec Highway Improvement</v>
      </c>
      <c r="D5" s="738"/>
      <c r="E5" s="737" t="str">
        <f>IF(inputPrYr!B64&gt;" ",(inputPrYr!B64)," ")</f>
        <v>Sheriffs Drug Asset Forfiet</v>
      </c>
      <c r="F5" s="738"/>
      <c r="G5" s="737" t="str">
        <f>IF(inputPrYr!B65&gt;" ",(inputPrYr!B65)," ")</f>
        <v>2002 Series A Bond Money</v>
      </c>
      <c r="H5" s="738"/>
      <c r="I5" s="737" t="str">
        <f>IF(inputPrYr!B66&gt;" ",(inputPrYr!B66)," ")</f>
        <v>Solid Waste Landfill Improve</v>
      </c>
      <c r="J5" s="738"/>
      <c r="K5" s="372"/>
    </row>
    <row r="6" spans="1:11" ht="15.75">
      <c r="A6" s="373" t="s">
        <v>593</v>
      </c>
      <c r="B6" s="374"/>
      <c r="C6" s="375" t="s">
        <v>593</v>
      </c>
      <c r="D6" s="376"/>
      <c r="E6" s="375" t="s">
        <v>593</v>
      </c>
      <c r="F6" s="371"/>
      <c r="G6" s="375" t="s">
        <v>593</v>
      </c>
      <c r="H6" s="377"/>
      <c r="I6" s="375" t="s">
        <v>593</v>
      </c>
      <c r="J6" s="130"/>
      <c r="K6" s="378" t="s">
        <v>441</v>
      </c>
    </row>
    <row r="7" spans="1:11" ht="15.75">
      <c r="A7" s="379" t="s">
        <v>881</v>
      </c>
      <c r="B7" s="380">
        <v>327278</v>
      </c>
      <c r="C7" s="381" t="s">
        <v>881</v>
      </c>
      <c r="D7" s="380">
        <v>0</v>
      </c>
      <c r="E7" s="381" t="s">
        <v>881</v>
      </c>
      <c r="F7" s="380">
        <v>2956</v>
      </c>
      <c r="G7" s="381" t="s">
        <v>881</v>
      </c>
      <c r="H7" s="380">
        <v>211616</v>
      </c>
      <c r="I7" s="381" t="s">
        <v>881</v>
      </c>
      <c r="J7" s="380">
        <v>315723</v>
      </c>
      <c r="K7" s="382">
        <f>SUM(B7+D7+F7+H7+J7)</f>
        <v>857573</v>
      </c>
    </row>
    <row r="8" spans="1:11" ht="15.75">
      <c r="A8" s="383" t="s">
        <v>255</v>
      </c>
      <c r="B8" s="384"/>
      <c r="C8" s="383" t="s">
        <v>255</v>
      </c>
      <c r="D8" s="385"/>
      <c r="E8" s="383" t="s">
        <v>255</v>
      </c>
      <c r="F8" s="368"/>
      <c r="G8" s="383" t="s">
        <v>255</v>
      </c>
      <c r="H8" s="130"/>
      <c r="I8" s="383" t="s">
        <v>255</v>
      </c>
      <c r="J8" s="130"/>
      <c r="K8" s="368"/>
    </row>
    <row r="9" spans="1:11" ht="15.75">
      <c r="A9" s="386" t="s">
        <v>73</v>
      </c>
      <c r="B9" s="380">
        <v>10422</v>
      </c>
      <c r="C9" s="386" t="s">
        <v>672</v>
      </c>
      <c r="D9" s="380">
        <v>207533</v>
      </c>
      <c r="E9" s="386"/>
      <c r="F9" s="380"/>
      <c r="G9" s="386" t="s">
        <v>928</v>
      </c>
      <c r="H9" s="380">
        <v>4278</v>
      </c>
      <c r="I9" s="386" t="s">
        <v>74</v>
      </c>
      <c r="J9" s="380">
        <v>46000</v>
      </c>
      <c r="K9" s="368"/>
    </row>
    <row r="10" spans="1:11" ht="15.75">
      <c r="A10" s="386"/>
      <c r="B10" s="380"/>
      <c r="C10" s="386"/>
      <c r="D10" s="380"/>
      <c r="E10" s="386"/>
      <c r="F10" s="380"/>
      <c r="G10" s="386"/>
      <c r="H10" s="380"/>
      <c r="I10" s="386"/>
      <c r="J10" s="380"/>
      <c r="K10" s="368"/>
    </row>
    <row r="11" spans="1:11" ht="15.75">
      <c r="A11" s="386"/>
      <c r="B11" s="380"/>
      <c r="C11" s="387"/>
      <c r="D11" s="380"/>
      <c r="E11" s="387"/>
      <c r="F11" s="380"/>
      <c r="G11" s="387"/>
      <c r="H11" s="380"/>
      <c r="I11" s="388"/>
      <c r="J11" s="380"/>
      <c r="K11" s="368"/>
    </row>
    <row r="12" spans="1:11" ht="15.75">
      <c r="A12" s="386"/>
      <c r="B12" s="380"/>
      <c r="C12" s="386"/>
      <c r="D12" s="380"/>
      <c r="E12" s="389"/>
      <c r="F12" s="380"/>
      <c r="G12" s="389"/>
      <c r="H12" s="380"/>
      <c r="I12" s="389"/>
      <c r="J12" s="380"/>
      <c r="K12" s="368"/>
    </row>
    <row r="13" spans="1:11" ht="15.75">
      <c r="A13" s="390"/>
      <c r="B13" s="380"/>
      <c r="C13" s="391"/>
      <c r="D13" s="380"/>
      <c r="E13" s="391"/>
      <c r="F13" s="380"/>
      <c r="G13" s="391"/>
      <c r="H13" s="380"/>
      <c r="I13" s="388"/>
      <c r="J13" s="380"/>
      <c r="K13" s="368"/>
    </row>
    <row r="14" spans="1:11" ht="15.75">
      <c r="A14" s="386"/>
      <c r="B14" s="380"/>
      <c r="C14" s="389"/>
      <c r="D14" s="380"/>
      <c r="E14" s="389"/>
      <c r="F14" s="380"/>
      <c r="G14" s="389"/>
      <c r="H14" s="380"/>
      <c r="I14" s="389"/>
      <c r="J14" s="380"/>
      <c r="K14" s="368"/>
    </row>
    <row r="15" spans="1:11" ht="15.75">
      <c r="A15" s="386"/>
      <c r="B15" s="380"/>
      <c r="C15" s="389"/>
      <c r="D15" s="380"/>
      <c r="E15" s="389"/>
      <c r="F15" s="380"/>
      <c r="G15" s="389"/>
      <c r="H15" s="380"/>
      <c r="I15" s="389"/>
      <c r="J15" s="380"/>
      <c r="K15" s="368"/>
    </row>
    <row r="16" spans="1:11" ht="15.75">
      <c r="A16" s="386"/>
      <c r="B16" s="380"/>
      <c r="C16" s="386"/>
      <c r="D16" s="380"/>
      <c r="E16" s="386"/>
      <c r="F16" s="380"/>
      <c r="G16" s="389"/>
      <c r="H16" s="380"/>
      <c r="I16" s="386"/>
      <c r="J16" s="380"/>
      <c r="K16" s="368"/>
    </row>
    <row r="17" spans="1:11" ht="15.75">
      <c r="A17" s="383" t="s">
        <v>132</v>
      </c>
      <c r="B17" s="392">
        <f>SUM(B9:B16)</f>
        <v>10422</v>
      </c>
      <c r="C17" s="383" t="s">
        <v>132</v>
      </c>
      <c r="D17" s="382">
        <f>SUM(D9:D16)</f>
        <v>207533</v>
      </c>
      <c r="E17" s="383" t="s">
        <v>132</v>
      </c>
      <c r="F17" s="454">
        <f>SUM(F9:F16)</f>
        <v>0</v>
      </c>
      <c r="G17" s="383" t="s">
        <v>132</v>
      </c>
      <c r="H17" s="382">
        <f>SUM(H9:H16)</f>
        <v>4278</v>
      </c>
      <c r="I17" s="383" t="s">
        <v>132</v>
      </c>
      <c r="J17" s="382">
        <f>SUM(J9:J16)</f>
        <v>46000</v>
      </c>
      <c r="K17" s="382">
        <f>SUM(B17+D17+F17+H17+J17)</f>
        <v>268233</v>
      </c>
    </row>
    <row r="18" spans="1:11" ht="15.75">
      <c r="A18" s="383" t="s">
        <v>133</v>
      </c>
      <c r="B18" s="392">
        <f>SUM(B7+B17)</f>
        <v>337700</v>
      </c>
      <c r="C18" s="383" t="s">
        <v>133</v>
      </c>
      <c r="D18" s="382">
        <f>SUM(D7+D17)</f>
        <v>207533</v>
      </c>
      <c r="E18" s="383" t="s">
        <v>133</v>
      </c>
      <c r="F18" s="382">
        <f>SUM(F7+F17)</f>
        <v>2956</v>
      </c>
      <c r="G18" s="383" t="s">
        <v>133</v>
      </c>
      <c r="H18" s="382">
        <f>SUM(H7+H17)</f>
        <v>215894</v>
      </c>
      <c r="I18" s="383" t="s">
        <v>133</v>
      </c>
      <c r="J18" s="382">
        <f>SUM(J7+J17)</f>
        <v>361723</v>
      </c>
      <c r="K18" s="382">
        <f>SUM(B18+D18+F18+H18+J18)</f>
        <v>1125806</v>
      </c>
    </row>
    <row r="19" spans="1:11" ht="15.75">
      <c r="A19" s="383" t="s">
        <v>136</v>
      </c>
      <c r="B19" s="384"/>
      <c r="C19" s="383" t="s">
        <v>136</v>
      </c>
      <c r="D19" s="385"/>
      <c r="E19" s="383" t="s">
        <v>136</v>
      </c>
      <c r="F19" s="368"/>
      <c r="G19" s="383" t="s">
        <v>136</v>
      </c>
      <c r="H19" s="130"/>
      <c r="I19" s="383" t="s">
        <v>136</v>
      </c>
      <c r="J19" s="130"/>
      <c r="K19" s="368"/>
    </row>
    <row r="20" spans="1:11" ht="15.75">
      <c r="A20" s="386" t="s">
        <v>404</v>
      </c>
      <c r="B20" s="380">
        <v>21298</v>
      </c>
      <c r="C20" s="389"/>
      <c r="D20" s="380"/>
      <c r="E20" s="389"/>
      <c r="F20" s="380"/>
      <c r="G20" s="389"/>
      <c r="H20" s="380"/>
      <c r="I20" s="389" t="s">
        <v>417</v>
      </c>
      <c r="J20" s="380">
        <v>34876</v>
      </c>
      <c r="K20" s="368"/>
    </row>
    <row r="21" spans="1:11" ht="15.75">
      <c r="A21" s="386"/>
      <c r="B21" s="380"/>
      <c r="C21" s="389"/>
      <c r="D21" s="380"/>
      <c r="E21" s="389"/>
      <c r="F21" s="380"/>
      <c r="G21" s="389"/>
      <c r="H21" s="380"/>
      <c r="I21" s="389" t="s">
        <v>75</v>
      </c>
      <c r="J21" s="380">
        <v>9930</v>
      </c>
      <c r="K21" s="368"/>
    </row>
    <row r="22" spans="1:11" ht="15.75">
      <c r="A22" s="386"/>
      <c r="B22" s="380"/>
      <c r="C22" s="391"/>
      <c r="D22" s="380"/>
      <c r="E22" s="391"/>
      <c r="F22" s="380"/>
      <c r="G22" s="391"/>
      <c r="H22" s="380"/>
      <c r="I22" s="388"/>
      <c r="J22" s="380"/>
      <c r="K22" s="368"/>
    </row>
    <row r="23" spans="1:11" ht="15.75">
      <c r="A23" s="386"/>
      <c r="B23" s="380"/>
      <c r="C23" s="389"/>
      <c r="D23" s="380"/>
      <c r="E23" s="389"/>
      <c r="F23" s="380"/>
      <c r="G23" s="389"/>
      <c r="H23" s="380"/>
      <c r="I23" s="389"/>
      <c r="J23" s="380"/>
      <c r="K23" s="368"/>
    </row>
    <row r="24" spans="1:11" ht="15.75">
      <c r="A24" s="386"/>
      <c r="B24" s="380"/>
      <c r="C24" s="391"/>
      <c r="D24" s="380"/>
      <c r="E24" s="391"/>
      <c r="F24" s="380"/>
      <c r="G24" s="391"/>
      <c r="H24" s="380"/>
      <c r="I24" s="388"/>
      <c r="J24" s="380"/>
      <c r="K24" s="368"/>
    </row>
    <row r="25" spans="1:11" ht="15.75">
      <c r="A25" s="386"/>
      <c r="B25" s="380"/>
      <c r="C25" s="389"/>
      <c r="D25" s="380"/>
      <c r="E25" s="389"/>
      <c r="F25" s="380"/>
      <c r="G25" s="389"/>
      <c r="H25" s="380"/>
      <c r="I25" s="389"/>
      <c r="J25" s="380"/>
      <c r="K25" s="368"/>
    </row>
    <row r="26" spans="1:11" ht="15.75">
      <c r="A26" s="386"/>
      <c r="B26" s="380"/>
      <c r="C26" s="389"/>
      <c r="D26" s="380"/>
      <c r="E26" s="389"/>
      <c r="F26" s="380"/>
      <c r="G26" s="389"/>
      <c r="H26" s="380"/>
      <c r="I26" s="389"/>
      <c r="J26" s="380"/>
      <c r="K26" s="368"/>
    </row>
    <row r="27" spans="1:11" ht="15.75">
      <c r="A27" s="386"/>
      <c r="B27" s="380"/>
      <c r="C27" s="386"/>
      <c r="D27" s="380"/>
      <c r="E27" s="386"/>
      <c r="F27" s="380"/>
      <c r="G27" s="389"/>
      <c r="H27" s="380"/>
      <c r="I27" s="389"/>
      <c r="J27" s="380"/>
      <c r="K27" s="368"/>
    </row>
    <row r="28" spans="1:11" ht="15.75">
      <c r="A28" s="383" t="s">
        <v>137</v>
      </c>
      <c r="B28" s="382">
        <f>SUM(B20:B27)</f>
        <v>21298</v>
      </c>
      <c r="C28" s="383" t="s">
        <v>137</v>
      </c>
      <c r="D28" s="382">
        <f>SUM(D20:D27)</f>
        <v>0</v>
      </c>
      <c r="E28" s="383" t="s">
        <v>137</v>
      </c>
      <c r="F28" s="454">
        <f>SUM(F20:F27)</f>
        <v>0</v>
      </c>
      <c r="G28" s="383" t="s">
        <v>137</v>
      </c>
      <c r="H28" s="454">
        <f>SUM(H20:H27)</f>
        <v>0</v>
      </c>
      <c r="I28" s="383" t="s">
        <v>137</v>
      </c>
      <c r="J28" s="382">
        <f>SUM(J20:J27)</f>
        <v>44806</v>
      </c>
      <c r="K28" s="382">
        <f>SUM(B28+D28+F28+H28+J28)</f>
        <v>66104</v>
      </c>
    </row>
    <row r="29" spans="1:12" ht="15.75">
      <c r="A29" s="383" t="s">
        <v>594</v>
      </c>
      <c r="B29" s="382">
        <f>B18-B28</f>
        <v>316402</v>
      </c>
      <c r="C29" s="383" t="s">
        <v>594</v>
      </c>
      <c r="D29" s="382">
        <f>D18-D28</f>
        <v>207533</v>
      </c>
      <c r="E29" s="383" t="s">
        <v>594</v>
      </c>
      <c r="F29" s="382">
        <f>F18-F28</f>
        <v>2956</v>
      </c>
      <c r="G29" s="383" t="s">
        <v>594</v>
      </c>
      <c r="H29" s="382">
        <f>H18-H28</f>
        <v>215894</v>
      </c>
      <c r="I29" s="383" t="s">
        <v>594</v>
      </c>
      <c r="J29" s="382">
        <f>J18-J28</f>
        <v>316917</v>
      </c>
      <c r="K29" s="393">
        <f>SUM(B29+D29+F29+H29+J29)</f>
        <v>1059702</v>
      </c>
      <c r="L29" s="77" t="s">
        <v>854</v>
      </c>
    </row>
    <row r="30" spans="1:12" ht="15.75">
      <c r="A30" s="383"/>
      <c r="B30" s="419">
        <f>IF(B29&lt;0,"See Tab B","")</f>
      </c>
      <c r="C30" s="383"/>
      <c r="D30" s="419">
        <f>IF(D29&lt;0,"See Tab B","")</f>
      </c>
      <c r="E30" s="383"/>
      <c r="F30" s="419">
        <f>IF(F29&lt;0,"See Tab B","")</f>
      </c>
      <c r="G30" s="130"/>
      <c r="H30" s="419">
        <f>IF(H29&lt;0,"See Tab B","")</f>
      </c>
      <c r="I30" s="130"/>
      <c r="J30" s="419">
        <f>IF(J29&lt;0,"See Tab B","")</f>
      </c>
      <c r="K30" s="393">
        <f>SUM(K7+K17-K28)</f>
        <v>1059702</v>
      </c>
      <c r="L30" s="77" t="s">
        <v>854</v>
      </c>
    </row>
    <row r="31" spans="1:11" ht="15.75">
      <c r="A31" s="130"/>
      <c r="B31" s="394"/>
      <c r="C31" s="130"/>
      <c r="D31" s="368"/>
      <c r="E31" s="130"/>
      <c r="F31" s="130"/>
      <c r="G31" s="87" t="s">
        <v>855</v>
      </c>
      <c r="H31" s="87"/>
      <c r="I31" s="87"/>
      <c r="J31" s="87"/>
      <c r="K31" s="130"/>
    </row>
    <row r="32" spans="1:11" ht="15.75">
      <c r="A32" s="130"/>
      <c r="B32" s="394"/>
      <c r="C32" s="130"/>
      <c r="D32" s="130"/>
      <c r="E32" s="130"/>
      <c r="F32" s="130"/>
      <c r="G32" s="130"/>
      <c r="H32" s="130"/>
      <c r="I32" s="130"/>
      <c r="J32" s="130"/>
      <c r="K32" s="130"/>
    </row>
    <row r="33" spans="1:11" ht="15.75">
      <c r="A33" s="130"/>
      <c r="B33" s="394"/>
      <c r="C33" s="130"/>
      <c r="D33" s="130"/>
      <c r="E33" s="333" t="s">
        <v>160</v>
      </c>
      <c r="F33" s="360">
        <v>19</v>
      </c>
      <c r="G33" s="130"/>
      <c r="H33" s="130"/>
      <c r="I33" s="130"/>
      <c r="J33" s="130"/>
      <c r="K33" s="130"/>
    </row>
    <row r="34" ht="15.75">
      <c r="B34" s="395"/>
    </row>
    <row r="35" ht="15.75">
      <c r="B35" s="395"/>
    </row>
    <row r="36" ht="15.75">
      <c r="B36" s="395"/>
    </row>
    <row r="37" ht="15.75">
      <c r="B37" s="395"/>
    </row>
    <row r="38" ht="15.75">
      <c r="B38" s="395"/>
    </row>
    <row r="39" ht="15.75">
      <c r="B39" s="395"/>
    </row>
    <row r="40" ht="15.75">
      <c r="B40" s="395"/>
    </row>
    <row r="41" ht="15.75">
      <c r="B41" s="39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County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1">
      <selection activeCell="F49" sqref="F49"/>
    </sheetView>
  </sheetViews>
  <sheetFormatPr defaultColWidth="8.796875" defaultRowHeight="15"/>
  <cols>
    <col min="1" max="1" width="11.59765625" style="77" customWidth="1"/>
    <col min="2" max="2" width="7.3984375" style="77" customWidth="1"/>
    <col min="3" max="3" width="11.59765625" style="77" customWidth="1"/>
    <col min="4" max="4" width="7.3984375" style="77" customWidth="1"/>
    <col min="5" max="5" width="11.59765625" style="77" customWidth="1"/>
    <col min="6" max="6" width="7.3984375" style="77" customWidth="1"/>
    <col min="7" max="7" width="11.59765625" style="77" customWidth="1"/>
    <col min="8" max="8" width="7.3984375" style="77" customWidth="1"/>
    <col min="9" max="9" width="11.59765625" style="77" customWidth="1"/>
    <col min="10" max="16384" width="8.8984375" style="77" customWidth="1"/>
  </cols>
  <sheetData>
    <row r="1" spans="1:11" ht="15.75">
      <c r="A1" s="149" t="str">
        <f>inputPrYr!$C$2</f>
        <v>Clay County</v>
      </c>
      <c r="B1" s="368"/>
      <c r="C1" s="130"/>
      <c r="D1" s="130"/>
      <c r="E1" s="130"/>
      <c r="F1" s="369" t="s">
        <v>595</v>
      </c>
      <c r="G1" s="130"/>
      <c r="H1" s="130"/>
      <c r="I1" s="130"/>
      <c r="J1" s="130"/>
      <c r="K1" s="130">
        <f>inputPrYr!$C$4</f>
        <v>2012</v>
      </c>
    </row>
    <row r="2" spans="1:11" ht="15.75">
      <c r="A2" s="130"/>
      <c r="B2" s="130"/>
      <c r="C2" s="130"/>
      <c r="D2" s="130"/>
      <c r="E2" s="130"/>
      <c r="F2" s="370" t="str">
        <f>CONCATENATE("(Only the actual budget year for ",K1-2," is to be shown)")</f>
        <v>(Only the actual budget year for 2010 is to be shown)</v>
      </c>
      <c r="G2" s="130"/>
      <c r="H2" s="130"/>
      <c r="I2" s="130"/>
      <c r="J2" s="130"/>
      <c r="K2" s="130"/>
    </row>
    <row r="3" spans="1:11" ht="15.75">
      <c r="A3" s="130" t="s">
        <v>596</v>
      </c>
      <c r="B3" s="130"/>
      <c r="C3" s="130"/>
      <c r="D3" s="130"/>
      <c r="E3" s="130"/>
      <c r="F3" s="368"/>
      <c r="G3" s="130"/>
      <c r="H3" s="130"/>
      <c r="I3" s="130"/>
      <c r="J3" s="130"/>
      <c r="K3" s="130"/>
    </row>
    <row r="4" spans="1:11" ht="15.75">
      <c r="A4" s="130" t="s">
        <v>588</v>
      </c>
      <c r="B4" s="130"/>
      <c r="C4" s="130" t="s">
        <v>589</v>
      </c>
      <c r="D4" s="130"/>
      <c r="E4" s="130" t="s">
        <v>590</v>
      </c>
      <c r="F4" s="368"/>
      <c r="G4" s="130" t="s">
        <v>591</v>
      </c>
      <c r="H4" s="130"/>
      <c r="I4" s="130" t="s">
        <v>592</v>
      </c>
      <c r="J4" s="130"/>
      <c r="K4" s="130"/>
    </row>
    <row r="5" spans="1:11" ht="15.75">
      <c r="A5" s="737" t="str">
        <f>IF(inputPrYr!B68&gt;" ",(inputPrYr!B68)," ")</f>
        <v>Landfill Post Closure Fund</v>
      </c>
      <c r="B5" s="738"/>
      <c r="C5" s="737" t="str">
        <f>IF(inputPrYr!B69&gt;" ",(inputPrYr!B69)," ")</f>
        <v>Reg of Deeds Technology</v>
      </c>
      <c r="D5" s="738"/>
      <c r="E5" s="737" t="str">
        <f>IF(inputPrYr!B70&gt;" ",(inputPrYr!B70)," ")</f>
        <v>Ambulance Grant</v>
      </c>
      <c r="F5" s="738"/>
      <c r="G5" s="737" t="str">
        <f>IF(inputPrYr!B71&gt;" ",(inputPrYr!B71)," ")</f>
        <v>Emergency Mngmt Grant</v>
      </c>
      <c r="H5" s="738"/>
      <c r="I5" s="737" t="str">
        <f>IF(inputPrYr!B72&gt;" ",(inputPrYr!B72)," ")</f>
        <v>Clay Counts - Prevention</v>
      </c>
      <c r="J5" s="738"/>
      <c r="K5" s="372"/>
    </row>
    <row r="6" spans="1:11" ht="15.75">
      <c r="A6" s="373" t="s">
        <v>593</v>
      </c>
      <c r="B6" s="374"/>
      <c r="C6" s="375" t="s">
        <v>593</v>
      </c>
      <c r="D6" s="376"/>
      <c r="E6" s="375" t="s">
        <v>593</v>
      </c>
      <c r="F6" s="371"/>
      <c r="G6" s="375" t="s">
        <v>593</v>
      </c>
      <c r="H6" s="377"/>
      <c r="I6" s="375" t="s">
        <v>593</v>
      </c>
      <c r="J6" s="130"/>
      <c r="K6" s="378" t="s">
        <v>441</v>
      </c>
    </row>
    <row r="7" spans="1:11" ht="15.75">
      <c r="A7" s="379" t="s">
        <v>881</v>
      </c>
      <c r="B7" s="380">
        <v>716765</v>
      </c>
      <c r="C7" s="381" t="s">
        <v>881</v>
      </c>
      <c r="D7" s="380">
        <v>47235</v>
      </c>
      <c r="E7" s="381" t="s">
        <v>881</v>
      </c>
      <c r="F7" s="380">
        <v>4166</v>
      </c>
      <c r="G7" s="381" t="s">
        <v>881</v>
      </c>
      <c r="H7" s="380"/>
      <c r="I7" s="381" t="s">
        <v>881</v>
      </c>
      <c r="J7" s="380"/>
      <c r="K7" s="382">
        <f>SUM(B7+D7+F7+H7+J7)</f>
        <v>768166</v>
      </c>
    </row>
    <row r="8" spans="1:11" ht="15.75">
      <c r="A8" s="383" t="s">
        <v>255</v>
      </c>
      <c r="B8" s="384"/>
      <c r="C8" s="383" t="s">
        <v>255</v>
      </c>
      <c r="D8" s="385"/>
      <c r="E8" s="383" t="s">
        <v>255</v>
      </c>
      <c r="F8" s="368"/>
      <c r="G8" s="383" t="s">
        <v>255</v>
      </c>
      <c r="H8" s="130"/>
      <c r="I8" s="383" t="s">
        <v>255</v>
      </c>
      <c r="J8" s="130"/>
      <c r="K8" s="368"/>
    </row>
    <row r="9" spans="1:11" ht="15.75">
      <c r="A9" s="386" t="s">
        <v>928</v>
      </c>
      <c r="B9" s="380">
        <v>13691</v>
      </c>
      <c r="C9" s="386" t="s">
        <v>931</v>
      </c>
      <c r="D9" s="380">
        <v>10010</v>
      </c>
      <c r="E9" s="386" t="s">
        <v>927</v>
      </c>
      <c r="F9" s="380">
        <v>15330</v>
      </c>
      <c r="G9" s="386" t="s">
        <v>927</v>
      </c>
      <c r="H9" s="380">
        <v>37706</v>
      </c>
      <c r="I9" s="386" t="s">
        <v>927</v>
      </c>
      <c r="J9" s="380">
        <v>104418</v>
      </c>
      <c r="K9" s="368"/>
    </row>
    <row r="10" spans="1:11" ht="15.75">
      <c r="A10" s="386"/>
      <c r="B10" s="380"/>
      <c r="C10" s="386"/>
      <c r="D10" s="380"/>
      <c r="E10" s="386"/>
      <c r="F10" s="380"/>
      <c r="G10" s="386"/>
      <c r="H10" s="380"/>
      <c r="I10" s="386" t="s">
        <v>405</v>
      </c>
      <c r="J10" s="380">
        <v>21594</v>
      </c>
      <c r="K10" s="368"/>
    </row>
    <row r="11" spans="1:11" ht="15.75">
      <c r="A11" s="386"/>
      <c r="B11" s="380"/>
      <c r="C11" s="387"/>
      <c r="D11" s="380"/>
      <c r="E11" s="387"/>
      <c r="F11" s="380"/>
      <c r="G11" s="387"/>
      <c r="H11" s="380"/>
      <c r="I11" s="388"/>
      <c r="J11" s="380"/>
      <c r="K11" s="368"/>
    </row>
    <row r="12" spans="1:11" ht="15.75">
      <c r="A12" s="386"/>
      <c r="B12" s="380"/>
      <c r="C12" s="386"/>
      <c r="D12" s="380"/>
      <c r="E12" s="389"/>
      <c r="F12" s="380"/>
      <c r="G12" s="389"/>
      <c r="H12" s="380"/>
      <c r="I12" s="389"/>
      <c r="J12" s="380"/>
      <c r="K12" s="368"/>
    </row>
    <row r="13" spans="1:11" ht="15.75">
      <c r="A13" s="390"/>
      <c r="B13" s="380"/>
      <c r="C13" s="391"/>
      <c r="D13" s="380"/>
      <c r="E13" s="391"/>
      <c r="F13" s="380"/>
      <c r="G13" s="391"/>
      <c r="H13" s="380"/>
      <c r="I13" s="388"/>
      <c r="J13" s="380"/>
      <c r="K13" s="368"/>
    </row>
    <row r="14" spans="1:11" ht="15.75">
      <c r="A14" s="386"/>
      <c r="B14" s="380"/>
      <c r="C14" s="389"/>
      <c r="D14" s="380"/>
      <c r="E14" s="389"/>
      <c r="F14" s="380"/>
      <c r="G14" s="389"/>
      <c r="H14" s="380"/>
      <c r="I14" s="389"/>
      <c r="J14" s="380"/>
      <c r="K14" s="368"/>
    </row>
    <row r="15" spans="1:11" ht="15.75">
      <c r="A15" s="386"/>
      <c r="B15" s="380"/>
      <c r="C15" s="389"/>
      <c r="D15" s="380"/>
      <c r="E15" s="389"/>
      <c r="F15" s="380"/>
      <c r="G15" s="389"/>
      <c r="H15" s="380"/>
      <c r="I15" s="389"/>
      <c r="J15" s="380"/>
      <c r="K15" s="368"/>
    </row>
    <row r="16" spans="1:11" ht="15.75">
      <c r="A16" s="386"/>
      <c r="B16" s="380"/>
      <c r="C16" s="386"/>
      <c r="D16" s="380"/>
      <c r="E16" s="386"/>
      <c r="F16" s="380"/>
      <c r="G16" s="389"/>
      <c r="H16" s="380"/>
      <c r="I16" s="386"/>
      <c r="J16" s="380"/>
      <c r="K16" s="368"/>
    </row>
    <row r="17" spans="1:11" ht="15.75">
      <c r="A17" s="383" t="s">
        <v>132</v>
      </c>
      <c r="B17" s="382">
        <f>SUM(B9:B16)</f>
        <v>13691</v>
      </c>
      <c r="C17" s="383" t="s">
        <v>132</v>
      </c>
      <c r="D17" s="382">
        <f>SUM(D9:D16)</f>
        <v>10010</v>
      </c>
      <c r="E17" s="383" t="s">
        <v>132</v>
      </c>
      <c r="F17" s="454">
        <f>SUM(F9:F16)</f>
        <v>15330</v>
      </c>
      <c r="G17" s="383" t="s">
        <v>132</v>
      </c>
      <c r="H17" s="382">
        <f>SUM(H9:H16)</f>
        <v>37706</v>
      </c>
      <c r="I17" s="383" t="s">
        <v>132</v>
      </c>
      <c r="J17" s="382">
        <f>SUM(J9:J16)</f>
        <v>126012</v>
      </c>
      <c r="K17" s="382">
        <f>SUM(B17+D17+F17+H17+J17)</f>
        <v>202749</v>
      </c>
    </row>
    <row r="18" spans="1:11" ht="15.75">
      <c r="A18" s="383" t="s">
        <v>133</v>
      </c>
      <c r="B18" s="382">
        <f>SUM(B7+B17)</f>
        <v>730456</v>
      </c>
      <c r="C18" s="383" t="s">
        <v>133</v>
      </c>
      <c r="D18" s="382">
        <f>SUM(D7+D17)</f>
        <v>57245</v>
      </c>
      <c r="E18" s="383" t="s">
        <v>133</v>
      </c>
      <c r="F18" s="382">
        <f>SUM(F7+F17)</f>
        <v>19496</v>
      </c>
      <c r="G18" s="383" t="s">
        <v>133</v>
      </c>
      <c r="H18" s="382">
        <f>SUM(H7+H17)</f>
        <v>37706</v>
      </c>
      <c r="I18" s="383" t="s">
        <v>133</v>
      </c>
      <c r="J18" s="382">
        <f>SUM(J7+J17)</f>
        <v>126012</v>
      </c>
      <c r="K18" s="382">
        <f>SUM(B18+D18+F18+H18+J18)</f>
        <v>970915</v>
      </c>
    </row>
    <row r="19" spans="1:11" ht="15.75">
      <c r="A19" s="383" t="s">
        <v>136</v>
      </c>
      <c r="B19" s="384"/>
      <c r="C19" s="383" t="s">
        <v>136</v>
      </c>
      <c r="D19" s="385"/>
      <c r="E19" s="383" t="s">
        <v>136</v>
      </c>
      <c r="F19" s="368"/>
      <c r="G19" s="383" t="s">
        <v>136</v>
      </c>
      <c r="H19" s="130"/>
      <c r="I19" s="383" t="s">
        <v>136</v>
      </c>
      <c r="J19" s="130"/>
      <c r="K19" s="368"/>
    </row>
    <row r="20" spans="1:11" ht="15.75">
      <c r="A20" s="386"/>
      <c r="B20" s="380"/>
      <c r="C20" s="389" t="s">
        <v>403</v>
      </c>
      <c r="D20" s="380">
        <v>2866</v>
      </c>
      <c r="E20" s="389" t="s">
        <v>402</v>
      </c>
      <c r="F20" s="380">
        <v>15330</v>
      </c>
      <c r="G20" s="389" t="s">
        <v>932</v>
      </c>
      <c r="H20" s="380">
        <v>24313</v>
      </c>
      <c r="I20" s="389" t="s">
        <v>402</v>
      </c>
      <c r="J20" s="380">
        <v>147773</v>
      </c>
      <c r="K20" s="368"/>
    </row>
    <row r="21" spans="1:11" ht="15.75">
      <c r="A21" s="386"/>
      <c r="B21" s="380"/>
      <c r="C21" s="389" t="s">
        <v>404</v>
      </c>
      <c r="D21" s="380">
        <v>4379</v>
      </c>
      <c r="E21" s="389"/>
      <c r="F21" s="380"/>
      <c r="G21" s="389"/>
      <c r="H21" s="380"/>
      <c r="I21" s="389" t="s">
        <v>403</v>
      </c>
      <c r="J21" s="380">
        <v>2761</v>
      </c>
      <c r="K21" s="368"/>
    </row>
    <row r="22" spans="1:11" ht="15.75">
      <c r="A22" s="386"/>
      <c r="B22" s="380"/>
      <c r="C22" s="391"/>
      <c r="D22" s="380"/>
      <c r="E22" s="391"/>
      <c r="F22" s="380"/>
      <c r="G22" s="391"/>
      <c r="H22" s="380"/>
      <c r="I22" s="388"/>
      <c r="J22" s="380"/>
      <c r="K22" s="368"/>
    </row>
    <row r="23" spans="1:11" ht="15.75">
      <c r="A23" s="386"/>
      <c r="B23" s="380"/>
      <c r="C23" s="389"/>
      <c r="D23" s="380"/>
      <c r="E23" s="389"/>
      <c r="F23" s="380"/>
      <c r="G23" s="389"/>
      <c r="H23" s="380"/>
      <c r="I23" s="389"/>
      <c r="J23" s="380"/>
      <c r="K23" s="368"/>
    </row>
    <row r="24" spans="1:11" ht="15.75">
      <c r="A24" s="386"/>
      <c r="B24" s="380"/>
      <c r="C24" s="391"/>
      <c r="D24" s="380"/>
      <c r="E24" s="391"/>
      <c r="F24" s="380"/>
      <c r="G24" s="391"/>
      <c r="H24" s="380"/>
      <c r="I24" s="388"/>
      <c r="J24" s="380"/>
      <c r="K24" s="368"/>
    </row>
    <row r="25" spans="1:11" ht="15.75">
      <c r="A25" s="386"/>
      <c r="B25" s="380"/>
      <c r="C25" s="389"/>
      <c r="D25" s="380"/>
      <c r="E25" s="389"/>
      <c r="F25" s="380"/>
      <c r="G25" s="389"/>
      <c r="H25" s="380"/>
      <c r="I25" s="389"/>
      <c r="J25" s="380"/>
      <c r="K25" s="368"/>
    </row>
    <row r="26" spans="1:11" ht="15.75">
      <c r="A26" s="386"/>
      <c r="B26" s="380"/>
      <c r="C26" s="389"/>
      <c r="D26" s="380"/>
      <c r="E26" s="389"/>
      <c r="F26" s="380"/>
      <c r="G26" s="389"/>
      <c r="H26" s="380"/>
      <c r="I26" s="389"/>
      <c r="J26" s="380"/>
      <c r="K26" s="368"/>
    </row>
    <row r="27" spans="1:11" ht="15.75">
      <c r="A27" s="386"/>
      <c r="B27" s="380"/>
      <c r="C27" s="386"/>
      <c r="D27" s="380"/>
      <c r="E27" s="386"/>
      <c r="F27" s="380"/>
      <c r="G27" s="389"/>
      <c r="H27" s="380"/>
      <c r="I27" s="389"/>
      <c r="J27" s="380"/>
      <c r="K27" s="368"/>
    </row>
    <row r="28" spans="1:11" ht="15.75">
      <c r="A28" s="383" t="s">
        <v>137</v>
      </c>
      <c r="B28" s="382">
        <f>SUM(B20:B27)</f>
        <v>0</v>
      </c>
      <c r="C28" s="383" t="s">
        <v>137</v>
      </c>
      <c r="D28" s="382">
        <f>SUM(D20:D27)</f>
        <v>7245</v>
      </c>
      <c r="E28" s="383" t="s">
        <v>137</v>
      </c>
      <c r="F28" s="454">
        <f>SUM(F20:F27)</f>
        <v>15330</v>
      </c>
      <c r="G28" s="383" t="s">
        <v>137</v>
      </c>
      <c r="H28" s="454">
        <f>SUM(H20:H27)</f>
        <v>24313</v>
      </c>
      <c r="I28" s="383" t="s">
        <v>137</v>
      </c>
      <c r="J28" s="382">
        <f>SUM(J20:J27)</f>
        <v>150534</v>
      </c>
      <c r="K28" s="382">
        <f>SUM(B28+D28+F28+H28+J28)</f>
        <v>197422</v>
      </c>
    </row>
    <row r="29" spans="1:12" ht="15.75">
      <c r="A29" s="383" t="s">
        <v>594</v>
      </c>
      <c r="B29" s="382">
        <f>B18-B28</f>
        <v>730456</v>
      </c>
      <c r="C29" s="383" t="s">
        <v>594</v>
      </c>
      <c r="D29" s="382">
        <f>D18-D28</f>
        <v>50000</v>
      </c>
      <c r="E29" s="383" t="s">
        <v>594</v>
      </c>
      <c r="F29" s="382">
        <f>F18-F28</f>
        <v>4166</v>
      </c>
      <c r="G29" s="383" t="s">
        <v>594</v>
      </c>
      <c r="H29" s="382">
        <f>H18-H28</f>
        <v>13393</v>
      </c>
      <c r="I29" s="383" t="s">
        <v>594</v>
      </c>
      <c r="J29" s="382">
        <f>J18-J28</f>
        <v>-24522</v>
      </c>
      <c r="K29" s="393">
        <f>SUM(B29+D29+F29+H29+J29)</f>
        <v>773493</v>
      </c>
      <c r="L29" s="77" t="s">
        <v>854</v>
      </c>
    </row>
    <row r="30" spans="1:12" ht="15.75">
      <c r="A30" s="383"/>
      <c r="B30" s="419">
        <f>IF(B29&lt;0,"See Tab B","")</f>
      </c>
      <c r="C30" s="383"/>
      <c r="D30" s="419">
        <f>IF(D29&lt;0,"See Tab B","")</f>
      </c>
      <c r="E30" s="383"/>
      <c r="F30" s="419">
        <f>IF(F29&lt;0,"See Tab B","")</f>
      </c>
      <c r="G30" s="130"/>
      <c r="H30" s="419">
        <f>IF(H29&lt;0,"See Tab B","")</f>
      </c>
      <c r="I30" s="130"/>
      <c r="J30" s="419" t="str">
        <f>IF(J29&lt;0,"See Tab B","")</f>
        <v>See Tab B</v>
      </c>
      <c r="K30" s="393">
        <f>SUM(K7+K17-K28)</f>
        <v>773493</v>
      </c>
      <c r="L30" s="77" t="s">
        <v>854</v>
      </c>
    </row>
    <row r="31" spans="1:11" ht="15.75">
      <c r="A31" s="130"/>
      <c r="B31" s="394"/>
      <c r="C31" s="130"/>
      <c r="D31" s="368"/>
      <c r="E31" s="130"/>
      <c r="F31" s="130"/>
      <c r="G31" s="87" t="s">
        <v>855</v>
      </c>
      <c r="H31" s="87"/>
      <c r="I31" s="87"/>
      <c r="J31" s="87"/>
      <c r="K31" s="130"/>
    </row>
    <row r="32" spans="1:11" ht="15.75">
      <c r="A32" s="130"/>
      <c r="B32" s="394"/>
      <c r="C32" s="130"/>
      <c r="D32" s="130"/>
      <c r="E32" s="130"/>
      <c r="F32" s="130"/>
      <c r="G32" s="130"/>
      <c r="H32" s="130"/>
      <c r="I32" s="130"/>
      <c r="J32" s="130"/>
      <c r="K32" s="130"/>
    </row>
    <row r="33" spans="1:11" ht="15.75">
      <c r="A33" s="130"/>
      <c r="B33" s="394"/>
      <c r="C33" s="130"/>
      <c r="D33" s="130"/>
      <c r="E33" s="333" t="s">
        <v>160</v>
      </c>
      <c r="F33" s="360">
        <v>20</v>
      </c>
      <c r="G33" s="130"/>
      <c r="H33" s="130"/>
      <c r="I33" s="130"/>
      <c r="J33" s="130"/>
      <c r="K33" s="130"/>
    </row>
    <row r="34" ht="15.75">
      <c r="B34" s="395"/>
    </row>
    <row r="35" ht="15.75">
      <c r="B35" s="395"/>
    </row>
    <row r="36" ht="15.75">
      <c r="B36" s="395"/>
    </row>
    <row r="37" ht="15.75">
      <c r="B37" s="395"/>
    </row>
    <row r="38" ht="15.75">
      <c r="B38" s="395"/>
    </row>
    <row r="39" ht="15.75">
      <c r="B39" s="395"/>
    </row>
    <row r="40" ht="15.75">
      <c r="B40" s="395"/>
    </row>
    <row r="41" ht="15.75">
      <c r="B41" s="39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County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5">
      <selection activeCell="C2" sqref="C2"/>
    </sheetView>
  </sheetViews>
  <sheetFormatPr defaultColWidth="8.796875" defaultRowHeight="15"/>
  <cols>
    <col min="1" max="1" width="11.59765625" style="77" customWidth="1"/>
    <col min="2" max="2" width="7.3984375" style="77" customWidth="1"/>
    <col min="3" max="3" width="11.59765625" style="77" customWidth="1"/>
    <col min="4" max="4" width="7.3984375" style="77" customWidth="1"/>
    <col min="5" max="5" width="11.59765625" style="77" customWidth="1"/>
    <col min="6" max="6" width="7.3984375" style="77" customWidth="1"/>
    <col min="7" max="7" width="11.59765625" style="77" customWidth="1"/>
    <col min="8" max="8" width="7.3984375" style="77" customWidth="1"/>
    <col min="9" max="9" width="11.59765625" style="77" customWidth="1"/>
    <col min="10" max="16384" width="8.8984375" style="77" customWidth="1"/>
  </cols>
  <sheetData>
    <row r="1" spans="1:11" ht="15.75">
      <c r="A1" s="149" t="str">
        <f>inputPrYr!$C$2</f>
        <v>Clay County</v>
      </c>
      <c r="B1" s="368"/>
      <c r="C1" s="130"/>
      <c r="D1" s="130"/>
      <c r="E1" s="130"/>
      <c r="F1" s="369" t="s">
        <v>597</v>
      </c>
      <c r="G1" s="130"/>
      <c r="H1" s="130"/>
      <c r="I1" s="130"/>
      <c r="J1" s="130"/>
      <c r="K1" s="130">
        <f>inputPrYr!$C$4</f>
        <v>2012</v>
      </c>
    </row>
    <row r="2" spans="1:11" ht="15.75">
      <c r="A2" s="130"/>
      <c r="B2" s="130"/>
      <c r="C2" s="130"/>
      <c r="D2" s="130"/>
      <c r="E2" s="130"/>
      <c r="F2" s="370" t="str">
        <f>CONCATENATE("(Only the actual budget year for ",K1-2," is to be shown)")</f>
        <v>(Only the actual budget year for 2010 is to be shown)</v>
      </c>
      <c r="G2" s="130"/>
      <c r="H2" s="130"/>
      <c r="I2" s="130"/>
      <c r="J2" s="130"/>
      <c r="K2" s="130"/>
    </row>
    <row r="3" spans="1:11" ht="15.75">
      <c r="A3" s="130" t="s">
        <v>598</v>
      </c>
      <c r="B3" s="130"/>
      <c r="C3" s="130"/>
      <c r="D3" s="130"/>
      <c r="E3" s="130"/>
      <c r="F3" s="368"/>
      <c r="G3" s="130"/>
      <c r="H3" s="130"/>
      <c r="I3" s="130"/>
      <c r="J3" s="130"/>
      <c r="K3" s="130"/>
    </row>
    <row r="4" spans="1:11" ht="15.75">
      <c r="A4" s="130" t="s">
        <v>588</v>
      </c>
      <c r="B4" s="130"/>
      <c r="C4" s="130" t="s">
        <v>589</v>
      </c>
      <c r="D4" s="130"/>
      <c r="E4" s="130" t="s">
        <v>590</v>
      </c>
      <c r="F4" s="368"/>
      <c r="G4" s="130" t="s">
        <v>591</v>
      </c>
      <c r="H4" s="130"/>
      <c r="I4" s="130" t="s">
        <v>592</v>
      </c>
      <c r="J4" s="130"/>
      <c r="K4" s="130"/>
    </row>
    <row r="5" spans="1:11" ht="15.75">
      <c r="A5" s="737" t="str">
        <f>IF(inputPrYr!B74&gt;" ",(inputPrYr!B74)," ")</f>
        <v>Inmate Work Release</v>
      </c>
      <c r="B5" s="738"/>
      <c r="C5" s="737" t="str">
        <f>IF(inputPrYr!B75&gt;" ",(inputPrYr!B75)," ")</f>
        <v>Registered Offender</v>
      </c>
      <c r="D5" s="738"/>
      <c r="E5" s="737" t="str">
        <f>IF(inputPrYr!B76&gt;" ",(inputPrYr!B76)," ")</f>
        <v>Concealed Hand Gun Carry</v>
      </c>
      <c r="F5" s="738"/>
      <c r="G5" s="737" t="str">
        <f>IF(inputPrYr!B77&gt;" ",(inputPrYr!B77)," ")</f>
        <v> </v>
      </c>
      <c r="H5" s="738"/>
      <c r="I5" s="737" t="str">
        <f>IF(inputPrYr!B78&gt;" ",(inputPrYr!B78)," ")</f>
        <v> </v>
      </c>
      <c r="J5" s="738"/>
      <c r="K5" s="372"/>
    </row>
    <row r="6" spans="1:11" ht="15.75">
      <c r="A6" s="373" t="s">
        <v>593</v>
      </c>
      <c r="B6" s="374"/>
      <c r="C6" s="375" t="s">
        <v>593</v>
      </c>
      <c r="D6" s="376"/>
      <c r="E6" s="375" t="s">
        <v>593</v>
      </c>
      <c r="F6" s="371"/>
      <c r="G6" s="375" t="s">
        <v>593</v>
      </c>
      <c r="H6" s="377"/>
      <c r="I6" s="375" t="s">
        <v>593</v>
      </c>
      <c r="J6" s="130"/>
      <c r="K6" s="378" t="s">
        <v>441</v>
      </c>
    </row>
    <row r="7" spans="1:11" ht="15.75">
      <c r="A7" s="379" t="s">
        <v>881</v>
      </c>
      <c r="B7" s="380">
        <v>2833</v>
      </c>
      <c r="C7" s="381" t="s">
        <v>881</v>
      </c>
      <c r="D7" s="380">
        <v>1420</v>
      </c>
      <c r="E7" s="381" t="s">
        <v>881</v>
      </c>
      <c r="F7" s="380">
        <v>2800</v>
      </c>
      <c r="G7" s="381" t="s">
        <v>881</v>
      </c>
      <c r="H7" s="380"/>
      <c r="I7" s="381" t="s">
        <v>881</v>
      </c>
      <c r="J7" s="380"/>
      <c r="K7" s="382">
        <f>SUM(B7+D7+F7+H7+J7)</f>
        <v>7053</v>
      </c>
    </row>
    <row r="8" spans="1:11" ht="15.75">
      <c r="A8" s="383" t="s">
        <v>255</v>
      </c>
      <c r="B8" s="384"/>
      <c r="C8" s="383" t="s">
        <v>255</v>
      </c>
      <c r="D8" s="385"/>
      <c r="E8" s="383" t="s">
        <v>255</v>
      </c>
      <c r="F8" s="368"/>
      <c r="G8" s="383" t="s">
        <v>255</v>
      </c>
      <c r="H8" s="130"/>
      <c r="I8" s="383" t="s">
        <v>255</v>
      </c>
      <c r="J8" s="130"/>
      <c r="K8" s="368"/>
    </row>
    <row r="9" spans="1:11" ht="15.75">
      <c r="A9" s="386" t="s">
        <v>405</v>
      </c>
      <c r="B9" s="380">
        <v>1350</v>
      </c>
      <c r="C9" s="386" t="s">
        <v>405</v>
      </c>
      <c r="D9" s="380">
        <v>1240</v>
      </c>
      <c r="E9" s="386" t="s">
        <v>405</v>
      </c>
      <c r="F9" s="380">
        <v>693</v>
      </c>
      <c r="G9" s="386"/>
      <c r="H9" s="380"/>
      <c r="I9" s="386"/>
      <c r="J9" s="380"/>
      <c r="K9" s="368"/>
    </row>
    <row r="10" spans="1:11" ht="15.75">
      <c r="A10" s="386"/>
      <c r="B10" s="380"/>
      <c r="C10" s="386"/>
      <c r="D10" s="380"/>
      <c r="E10" s="386"/>
      <c r="F10" s="380"/>
      <c r="G10" s="386"/>
      <c r="H10" s="380"/>
      <c r="I10" s="386"/>
      <c r="J10" s="380"/>
      <c r="K10" s="368"/>
    </row>
    <row r="11" spans="1:11" ht="15.75">
      <c r="A11" s="386"/>
      <c r="B11" s="380"/>
      <c r="C11" s="387"/>
      <c r="D11" s="380"/>
      <c r="E11" s="387"/>
      <c r="F11" s="380"/>
      <c r="G11" s="387"/>
      <c r="H11" s="380"/>
      <c r="I11" s="388"/>
      <c r="J11" s="380"/>
      <c r="K11" s="368"/>
    </row>
    <row r="12" spans="1:11" ht="15.75">
      <c r="A12" s="386"/>
      <c r="B12" s="380"/>
      <c r="C12" s="386"/>
      <c r="D12" s="380"/>
      <c r="E12" s="389"/>
      <c r="F12" s="380"/>
      <c r="G12" s="389"/>
      <c r="H12" s="380"/>
      <c r="I12" s="389"/>
      <c r="J12" s="380"/>
      <c r="K12" s="368"/>
    </row>
    <row r="13" spans="1:11" ht="15.75">
      <c r="A13" s="390"/>
      <c r="B13" s="380"/>
      <c r="C13" s="391"/>
      <c r="D13" s="380"/>
      <c r="E13" s="391"/>
      <c r="F13" s="380"/>
      <c r="G13" s="391"/>
      <c r="H13" s="380"/>
      <c r="I13" s="388"/>
      <c r="J13" s="380"/>
      <c r="K13" s="368"/>
    </row>
    <row r="14" spans="1:11" ht="15.75">
      <c r="A14" s="386"/>
      <c r="B14" s="380"/>
      <c r="C14" s="389"/>
      <c r="D14" s="380"/>
      <c r="E14" s="389"/>
      <c r="F14" s="380"/>
      <c r="G14" s="389"/>
      <c r="H14" s="380"/>
      <c r="I14" s="389"/>
      <c r="J14" s="380"/>
      <c r="K14" s="368"/>
    </row>
    <row r="15" spans="1:11" ht="15.75">
      <c r="A15" s="386"/>
      <c r="B15" s="380"/>
      <c r="C15" s="389"/>
      <c r="D15" s="380"/>
      <c r="E15" s="389"/>
      <c r="F15" s="380"/>
      <c r="G15" s="389"/>
      <c r="H15" s="380"/>
      <c r="I15" s="389"/>
      <c r="J15" s="380"/>
      <c r="K15" s="368"/>
    </row>
    <row r="16" spans="1:11" ht="15.75">
      <c r="A16" s="386"/>
      <c r="B16" s="380"/>
      <c r="C16" s="386"/>
      <c r="D16" s="380"/>
      <c r="E16" s="386"/>
      <c r="F16" s="380"/>
      <c r="G16" s="389"/>
      <c r="H16" s="380"/>
      <c r="I16" s="386"/>
      <c r="J16" s="380"/>
      <c r="K16" s="368"/>
    </row>
    <row r="17" spans="1:11" ht="15.75">
      <c r="A17" s="383" t="s">
        <v>132</v>
      </c>
      <c r="B17" s="382">
        <f>SUM(B9:B16)</f>
        <v>1350</v>
      </c>
      <c r="C17" s="383" t="s">
        <v>132</v>
      </c>
      <c r="D17" s="382">
        <f>SUM(D9:D16)</f>
        <v>1240</v>
      </c>
      <c r="E17" s="383" t="s">
        <v>132</v>
      </c>
      <c r="F17" s="454">
        <f>SUM(F9:F16)</f>
        <v>693</v>
      </c>
      <c r="G17" s="383" t="s">
        <v>132</v>
      </c>
      <c r="H17" s="382">
        <f>SUM(H9:H16)</f>
        <v>0</v>
      </c>
      <c r="I17" s="383" t="s">
        <v>132</v>
      </c>
      <c r="J17" s="382">
        <f>SUM(J9:J16)</f>
        <v>0</v>
      </c>
      <c r="K17" s="382">
        <f>SUM(B17+D17+F17+H17+J17)</f>
        <v>3283</v>
      </c>
    </row>
    <row r="18" spans="1:11" ht="15.75">
      <c r="A18" s="383" t="s">
        <v>133</v>
      </c>
      <c r="B18" s="382">
        <f>SUM(B7+B17)</f>
        <v>4183</v>
      </c>
      <c r="C18" s="383" t="s">
        <v>133</v>
      </c>
      <c r="D18" s="382">
        <f>SUM(D7+D17)</f>
        <v>2660</v>
      </c>
      <c r="E18" s="383" t="s">
        <v>133</v>
      </c>
      <c r="F18" s="382">
        <f>SUM(F7+F17)</f>
        <v>3493</v>
      </c>
      <c r="G18" s="383" t="s">
        <v>133</v>
      </c>
      <c r="H18" s="382">
        <f>SUM(H7+H17)</f>
        <v>0</v>
      </c>
      <c r="I18" s="383" t="s">
        <v>133</v>
      </c>
      <c r="J18" s="382">
        <f>SUM(J7+J17)</f>
        <v>0</v>
      </c>
      <c r="K18" s="382">
        <f>SUM(B18+D18+F18+H18+J18)</f>
        <v>10336</v>
      </c>
    </row>
    <row r="19" spans="1:11" ht="15.75">
      <c r="A19" s="383" t="s">
        <v>136</v>
      </c>
      <c r="B19" s="384"/>
      <c r="C19" s="383" t="s">
        <v>136</v>
      </c>
      <c r="D19" s="385"/>
      <c r="E19" s="383" t="s">
        <v>136</v>
      </c>
      <c r="F19" s="368"/>
      <c r="G19" s="383" t="s">
        <v>136</v>
      </c>
      <c r="H19" s="130"/>
      <c r="I19" s="383" t="s">
        <v>136</v>
      </c>
      <c r="J19" s="130"/>
      <c r="K19" s="368"/>
    </row>
    <row r="20" spans="1:11" ht="15.75">
      <c r="A20" s="386"/>
      <c r="B20" s="380"/>
      <c r="C20" s="389"/>
      <c r="D20" s="380"/>
      <c r="E20" s="389"/>
      <c r="F20" s="380"/>
      <c r="G20" s="389"/>
      <c r="H20" s="380"/>
      <c r="I20" s="389"/>
      <c r="J20" s="380"/>
      <c r="K20" s="368"/>
    </row>
    <row r="21" spans="1:11" ht="15.75">
      <c r="A21" s="386"/>
      <c r="B21" s="380"/>
      <c r="C21" s="389"/>
      <c r="D21" s="380"/>
      <c r="E21" s="389"/>
      <c r="F21" s="380"/>
      <c r="G21" s="389"/>
      <c r="H21" s="380"/>
      <c r="I21" s="389"/>
      <c r="J21" s="380"/>
      <c r="K21" s="368"/>
    </row>
    <row r="22" spans="1:11" ht="15.75">
      <c r="A22" s="386"/>
      <c r="B22" s="380"/>
      <c r="C22" s="391"/>
      <c r="D22" s="380"/>
      <c r="E22" s="391"/>
      <c r="F22" s="380"/>
      <c r="G22" s="391"/>
      <c r="H22" s="380"/>
      <c r="I22" s="388"/>
      <c r="J22" s="380"/>
      <c r="K22" s="368"/>
    </row>
    <row r="23" spans="1:11" ht="15.75">
      <c r="A23" s="386"/>
      <c r="B23" s="380"/>
      <c r="C23" s="389"/>
      <c r="D23" s="380"/>
      <c r="E23" s="389"/>
      <c r="F23" s="380"/>
      <c r="G23" s="389"/>
      <c r="H23" s="380"/>
      <c r="I23" s="389"/>
      <c r="J23" s="380"/>
      <c r="K23" s="368"/>
    </row>
    <row r="24" spans="1:11" ht="15.75">
      <c r="A24" s="386"/>
      <c r="B24" s="380"/>
      <c r="C24" s="391"/>
      <c r="D24" s="380"/>
      <c r="E24" s="391"/>
      <c r="F24" s="380"/>
      <c r="G24" s="391"/>
      <c r="H24" s="380"/>
      <c r="I24" s="388"/>
      <c r="J24" s="380"/>
      <c r="K24" s="368"/>
    </row>
    <row r="25" spans="1:11" ht="15.75">
      <c r="A25" s="386"/>
      <c r="B25" s="380"/>
      <c r="C25" s="389"/>
      <c r="D25" s="380"/>
      <c r="E25" s="389"/>
      <c r="F25" s="380"/>
      <c r="G25" s="389"/>
      <c r="H25" s="380"/>
      <c r="I25" s="389"/>
      <c r="J25" s="380"/>
      <c r="K25" s="368"/>
    </row>
    <row r="26" spans="1:11" ht="15.75">
      <c r="A26" s="386"/>
      <c r="B26" s="380"/>
      <c r="C26" s="389"/>
      <c r="D26" s="380"/>
      <c r="E26" s="389"/>
      <c r="F26" s="380"/>
      <c r="G26" s="389"/>
      <c r="H26" s="380"/>
      <c r="I26" s="389"/>
      <c r="J26" s="380"/>
      <c r="K26" s="368"/>
    </row>
    <row r="27" spans="1:11" ht="15.75">
      <c r="A27" s="386"/>
      <c r="B27" s="380"/>
      <c r="C27" s="386"/>
      <c r="D27" s="380"/>
      <c r="E27" s="386"/>
      <c r="F27" s="380"/>
      <c r="G27" s="389"/>
      <c r="H27" s="380"/>
      <c r="I27" s="389"/>
      <c r="J27" s="380"/>
      <c r="K27" s="368"/>
    </row>
    <row r="28" spans="1:11" ht="15.75">
      <c r="A28" s="383" t="s">
        <v>137</v>
      </c>
      <c r="B28" s="382">
        <f>SUM(B20:B27)</f>
        <v>0</v>
      </c>
      <c r="C28" s="383" t="s">
        <v>137</v>
      </c>
      <c r="D28" s="382">
        <f>SUM(D20:D27)</f>
        <v>0</v>
      </c>
      <c r="E28" s="383" t="s">
        <v>137</v>
      </c>
      <c r="F28" s="454">
        <f>SUM(F20:F27)</f>
        <v>0</v>
      </c>
      <c r="G28" s="383" t="s">
        <v>137</v>
      </c>
      <c r="H28" s="454">
        <f>SUM(H20:H27)</f>
        <v>0</v>
      </c>
      <c r="I28" s="383" t="s">
        <v>137</v>
      </c>
      <c r="J28" s="382">
        <f>SUM(J20:J27)</f>
        <v>0</v>
      </c>
      <c r="K28" s="382">
        <f>SUM(B28+D28+F28+H28+J28)</f>
        <v>0</v>
      </c>
    </row>
    <row r="29" spans="1:12" ht="15.75">
      <c r="A29" s="383" t="s">
        <v>594</v>
      </c>
      <c r="B29" s="382">
        <f>B18-B28</f>
        <v>4183</v>
      </c>
      <c r="C29" s="383" t="s">
        <v>594</v>
      </c>
      <c r="D29" s="382">
        <f>D18-D28</f>
        <v>2660</v>
      </c>
      <c r="E29" s="383" t="s">
        <v>594</v>
      </c>
      <c r="F29" s="382">
        <f>F18-F28</f>
        <v>3493</v>
      </c>
      <c r="G29" s="383" t="s">
        <v>594</v>
      </c>
      <c r="H29" s="382">
        <f>H18-H28</f>
        <v>0</v>
      </c>
      <c r="I29" s="383" t="s">
        <v>594</v>
      </c>
      <c r="J29" s="382">
        <f>J18-J28</f>
        <v>0</v>
      </c>
      <c r="K29" s="393">
        <f>SUM(B29+D29+F29+H29+J29)</f>
        <v>10336</v>
      </c>
      <c r="L29" s="77" t="s">
        <v>854</v>
      </c>
    </row>
    <row r="30" spans="1:12" ht="15.75">
      <c r="A30" s="383"/>
      <c r="B30" s="419">
        <f>IF(B29&lt;0,"See Tab B","")</f>
      </c>
      <c r="C30" s="383"/>
      <c r="D30" s="419">
        <f>IF(D29&lt;0,"See Tab B","")</f>
      </c>
      <c r="E30" s="383"/>
      <c r="F30" s="419">
        <f>IF(F29&lt;0,"See Tab B","")</f>
      </c>
      <c r="G30" s="130"/>
      <c r="H30" s="419">
        <f>IF(H29&lt;0,"See Tab B","")</f>
      </c>
      <c r="I30" s="130"/>
      <c r="J30" s="419">
        <f>IF(J29&lt;0,"See Tab B","")</f>
      </c>
      <c r="K30" s="393">
        <f>SUM(K7+K17-K28)</f>
        <v>10336</v>
      </c>
      <c r="L30" s="77" t="s">
        <v>854</v>
      </c>
    </row>
    <row r="31" spans="1:11" ht="15.75">
      <c r="A31" s="130"/>
      <c r="B31" s="394"/>
      <c r="C31" s="130"/>
      <c r="D31" s="368"/>
      <c r="E31" s="130"/>
      <c r="F31" s="130"/>
      <c r="G31" s="87" t="s">
        <v>855</v>
      </c>
      <c r="H31" s="87"/>
      <c r="I31" s="87"/>
      <c r="J31" s="87"/>
      <c r="K31" s="130"/>
    </row>
    <row r="32" spans="1:11" ht="15.75">
      <c r="A32" s="130"/>
      <c r="B32" s="394"/>
      <c r="C32" s="130"/>
      <c r="D32" s="130"/>
      <c r="E32" s="130"/>
      <c r="F32" s="130"/>
      <c r="G32" s="130"/>
      <c r="H32" s="130"/>
      <c r="I32" s="130"/>
      <c r="J32" s="130"/>
      <c r="K32" s="130"/>
    </row>
    <row r="33" spans="1:11" ht="15.75">
      <c r="A33" s="130"/>
      <c r="B33" s="394"/>
      <c r="C33" s="130"/>
      <c r="D33" s="130"/>
      <c r="E33" s="333" t="s">
        <v>160</v>
      </c>
      <c r="F33" s="360">
        <v>21</v>
      </c>
      <c r="G33" s="130"/>
      <c r="H33" s="130"/>
      <c r="I33" s="130"/>
      <c r="J33" s="130"/>
      <c r="K33" s="130"/>
    </row>
    <row r="34" ht="15.75">
      <c r="B34" s="395"/>
    </row>
    <row r="35" ht="15.75">
      <c r="B35" s="395"/>
    </row>
    <row r="36" ht="15.75">
      <c r="B36" s="395"/>
    </row>
    <row r="37" ht="15.75">
      <c r="B37" s="395"/>
    </row>
    <row r="38" ht="15.75">
      <c r="B38" s="395"/>
    </row>
    <row r="39" ht="15.75">
      <c r="B39" s="395"/>
    </row>
    <row r="40" ht="15.75">
      <c r="B40" s="395"/>
    </row>
    <row r="41" ht="15.75">
      <c r="B41" s="39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County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A1:M59"/>
  <sheetViews>
    <sheetView tabSelected="1" zoomScale="75" zoomScaleNormal="75" zoomScalePageLayoutView="0" workbookViewId="0" topLeftCell="A1">
      <selection activeCell="F49" sqref="F49"/>
    </sheetView>
  </sheetViews>
  <sheetFormatPr defaultColWidth="8.796875" defaultRowHeight="15"/>
  <cols>
    <col min="1" max="1" width="17.796875" style="77" customWidth="1"/>
    <col min="2" max="2" width="15.69921875" style="77" customWidth="1"/>
    <col min="3" max="3" width="9.3984375" style="77" customWidth="1"/>
    <col min="4" max="4" width="16.796875" style="77" customWidth="1"/>
    <col min="5" max="5" width="9.796875" style="77" customWidth="1"/>
    <col min="6" max="6" width="15.796875" style="77" customWidth="1"/>
    <col min="7" max="7" width="13.69921875" style="77" customWidth="1"/>
    <col min="8" max="8" width="9.796875" style="77" customWidth="1"/>
    <col min="9" max="9" width="8.8984375" style="77" customWidth="1"/>
    <col min="10" max="10" width="12.3984375" style="77" customWidth="1"/>
    <col min="11" max="11" width="12.296875" style="77" customWidth="1"/>
    <col min="12" max="12" width="10.59765625" style="77" customWidth="1"/>
    <col min="13" max="13" width="12.09765625" style="77" customWidth="1"/>
    <col min="14" max="16384" width="8.8984375" style="77" customWidth="1"/>
  </cols>
  <sheetData>
    <row r="1" spans="1:8" ht="15.75">
      <c r="A1" s="90"/>
      <c r="B1" s="90"/>
      <c r="C1" s="90"/>
      <c r="D1" s="90"/>
      <c r="E1" s="90"/>
      <c r="F1" s="90"/>
      <c r="G1" s="90"/>
      <c r="H1" s="297">
        <f>inputPrYr!C4</f>
        <v>2012</v>
      </c>
    </row>
    <row r="2" spans="1:9" ht="15.75">
      <c r="A2" s="683" t="s">
        <v>205</v>
      </c>
      <c r="B2" s="683"/>
      <c r="C2" s="683"/>
      <c r="D2" s="683"/>
      <c r="E2" s="683"/>
      <c r="F2" s="683"/>
      <c r="G2" s="683"/>
      <c r="H2" s="683"/>
      <c r="I2" s="397"/>
    </row>
    <row r="3" spans="1:8" ht="15.75">
      <c r="A3" s="90"/>
      <c r="B3" s="90"/>
      <c r="C3" s="90"/>
      <c r="D3" s="90"/>
      <c r="E3" s="90"/>
      <c r="F3" s="90"/>
      <c r="G3" s="90"/>
      <c r="H3" s="90"/>
    </row>
    <row r="4" spans="1:8" ht="15.75">
      <c r="A4" s="733" t="s">
        <v>236</v>
      </c>
      <c r="B4" s="733"/>
      <c r="C4" s="733"/>
      <c r="D4" s="733"/>
      <c r="E4" s="733"/>
      <c r="F4" s="733"/>
      <c r="G4" s="733"/>
      <c r="H4" s="733"/>
    </row>
    <row r="5" spans="1:8" ht="15.75">
      <c r="A5" s="739" t="str">
        <f>inputPrYr!C2</f>
        <v>Clay County</v>
      </c>
      <c r="B5" s="739"/>
      <c r="C5" s="739"/>
      <c r="D5" s="739"/>
      <c r="E5" s="739"/>
      <c r="F5" s="739"/>
      <c r="G5" s="739"/>
      <c r="H5" s="739"/>
    </row>
    <row r="6" spans="1:8" ht="15.75">
      <c r="A6" s="733" t="str">
        <f>CONCATENATE("will meet on ",inputBudSum!B5," at ",inputBudSum!B7," at ",inputBudSum!B9," for the purpose of hearing and")</f>
        <v>will meet on August 22, 2011 at 9:30 AM at Clay County Courthouse for the purpose of hearing and</v>
      </c>
      <c r="B6" s="733"/>
      <c r="C6" s="733"/>
      <c r="D6" s="733"/>
      <c r="E6" s="733"/>
      <c r="F6" s="733"/>
      <c r="G6" s="733"/>
      <c r="H6" s="733"/>
    </row>
    <row r="7" spans="1:8" ht="15.75">
      <c r="A7" s="733" t="s">
        <v>38</v>
      </c>
      <c r="B7" s="733"/>
      <c r="C7" s="733"/>
      <c r="D7" s="733"/>
      <c r="E7" s="733"/>
      <c r="F7" s="733"/>
      <c r="G7" s="733"/>
      <c r="H7" s="733"/>
    </row>
    <row r="8" spans="1:8" ht="15.75">
      <c r="A8" s="733" t="str">
        <f>CONCATENATE("Detailed budget information is available at ",inputBudSum!B12," and will be available at this hearing.")</f>
        <v>Detailed budget information is available at County Clerk's office and will be available at this hearing.</v>
      </c>
      <c r="B8" s="733"/>
      <c r="C8" s="733"/>
      <c r="D8" s="733"/>
      <c r="E8" s="733"/>
      <c r="F8" s="733"/>
      <c r="G8" s="733"/>
      <c r="H8" s="733"/>
    </row>
    <row r="9" spans="1:8" ht="15.75">
      <c r="A9" s="97" t="s">
        <v>206</v>
      </c>
      <c r="B9" s="98"/>
      <c r="C9" s="98"/>
      <c r="D9" s="223"/>
      <c r="E9" s="98"/>
      <c r="F9" s="98"/>
      <c r="G9" s="98"/>
      <c r="H9" s="98"/>
    </row>
    <row r="10" spans="1:8" ht="15.75">
      <c r="A10" s="733" t="str">
        <f>CONCATENATE("Proposed Budget ",H1," Expenditures and Amount of ",H1-1," Ad Valorem Tax establish the maximum limits of the ",H1," budget.")</f>
        <v>Proposed Budget 2012 Expenditures and Amount of 2011 Ad Valorem Tax establish the maximum limits of the 2012 budget.</v>
      </c>
      <c r="B10" s="733"/>
      <c r="C10" s="733"/>
      <c r="D10" s="733"/>
      <c r="E10" s="733"/>
      <c r="F10" s="733"/>
      <c r="G10" s="733"/>
      <c r="H10" s="733"/>
    </row>
    <row r="11" spans="1:8" ht="15.75">
      <c r="A11" s="733" t="s">
        <v>261</v>
      </c>
      <c r="B11" s="733"/>
      <c r="C11" s="733"/>
      <c r="D11" s="733"/>
      <c r="E11" s="733"/>
      <c r="F11" s="733"/>
      <c r="G11" s="733"/>
      <c r="H11" s="733"/>
    </row>
    <row r="12" spans="1:9" ht="15.75">
      <c r="A12" s="90"/>
      <c r="B12" s="90"/>
      <c r="C12" s="90"/>
      <c r="D12" s="90"/>
      <c r="E12" s="90"/>
      <c r="F12" s="90"/>
      <c r="G12" s="90"/>
      <c r="H12" s="90"/>
      <c r="I12" s="148"/>
    </row>
    <row r="13" spans="1:8" ht="15.75">
      <c r="A13" s="90"/>
      <c r="B13" s="398" t="str">
        <f>CONCATENATE("Prior Year Actual for ",H1-2,"")</f>
        <v>Prior Year Actual for 2010</v>
      </c>
      <c r="C13" s="226"/>
      <c r="D13" s="399" t="str">
        <f>CONCATENATE("Current Year Estimate for ",H1-1,"")</f>
        <v>Current Year Estimate for 2011</v>
      </c>
      <c r="E13" s="226"/>
      <c r="F13" s="224" t="str">
        <f>CONCATENATE("Proposed Budget Year for ",H1,"")</f>
        <v>Proposed Budget Year for 2012</v>
      </c>
      <c r="G13" s="225"/>
      <c r="H13" s="226"/>
    </row>
    <row r="14" spans="1:8" ht="18.75" customHeight="1">
      <c r="A14" s="89"/>
      <c r="B14" s="334"/>
      <c r="C14" s="227" t="s">
        <v>163</v>
      </c>
      <c r="D14" s="227"/>
      <c r="E14" s="227" t="s">
        <v>163</v>
      </c>
      <c r="F14" s="546" t="s">
        <v>667</v>
      </c>
      <c r="G14" s="746" t="str">
        <f>CONCATENATE("Amount of ",H1-1,"       Ad Valorem Tax")</f>
        <v>Amount of 2011       Ad Valorem Tax</v>
      </c>
      <c r="H14" s="227" t="s">
        <v>164</v>
      </c>
    </row>
    <row r="15" spans="1:8" ht="15.75">
      <c r="A15" s="118" t="s">
        <v>165</v>
      </c>
      <c r="B15" s="274" t="s">
        <v>104</v>
      </c>
      <c r="C15" s="274" t="s">
        <v>166</v>
      </c>
      <c r="D15" s="274" t="s">
        <v>104</v>
      </c>
      <c r="E15" s="274" t="s">
        <v>166</v>
      </c>
      <c r="F15" s="547" t="s">
        <v>668</v>
      </c>
      <c r="G15" s="689"/>
      <c r="H15" s="274" t="s">
        <v>166</v>
      </c>
    </row>
    <row r="16" spans="1:8" ht="15.75">
      <c r="A16" s="132" t="str">
        <f>inputPrYr!B16</f>
        <v>General</v>
      </c>
      <c r="B16" s="132">
        <f>IF(general!$C$100&lt;&gt;0,general!$C$100,"  ")</f>
        <v>2971304</v>
      </c>
      <c r="C16" s="400">
        <f>IF(inputPrYr!D90&lt;&gt;0,inputPrYr!D90,"  ")</f>
        <v>20.409</v>
      </c>
      <c r="D16" s="132">
        <f>IF(general!$D$100&lt;&gt;0,general!$D$100,"  ")</f>
        <v>2767893</v>
      </c>
      <c r="E16" s="400">
        <f>IF(inputPrYr!F16&lt;&gt;0,inputPrYr!F16,"  ")</f>
        <v>18.876</v>
      </c>
      <c r="F16" s="132">
        <f>IF(general!$E$100&lt;&gt;0,general!$E$100,"  ")</f>
        <v>2986513</v>
      </c>
      <c r="G16" s="132">
        <f>IF(general!$E$107&lt;&gt;0,general!$E$107,"  ")</f>
        <v>1674789</v>
      </c>
      <c r="H16" s="400">
        <f>IF(general!E107&lt;&gt;0,ROUND(G16/$F$45*1000,3),"  ")</f>
        <v>21.731</v>
      </c>
    </row>
    <row r="17" spans="1:8" ht="15.75">
      <c r="A17" s="132" t="str">
        <f>inputPrYr!B17</f>
        <v>County Bond &amp; Interest</v>
      </c>
      <c r="B17" s="132">
        <f>IF(DebtService!$C$54&lt;&gt;0,DebtService!$C$54,"  ")</f>
        <v>184455</v>
      </c>
      <c r="C17" s="400">
        <f>IF(inputPrYr!D91&lt;&gt;0,inputPrYr!D91,"  ")</f>
        <v>2.178</v>
      </c>
      <c r="D17" s="132">
        <f>IF(DebtService!$D$54&lt;&gt;0,DebtService!$D$54,"  ")</f>
        <v>190426</v>
      </c>
      <c r="E17" s="400">
        <f>IF(inputPrYr!F17&lt;&gt;0,inputPrYr!F17,"  ")</f>
        <v>2.17</v>
      </c>
      <c r="F17" s="132">
        <f>IF(DebtService!$E$54&lt;&gt;0,DebtService!$E$54,"  ")</f>
        <v>241431.95</v>
      </c>
      <c r="G17" s="132">
        <f>IF(DebtService!$E$61&lt;&gt;0,DebtService!$E$61,"  ")</f>
        <v>172353.95</v>
      </c>
      <c r="H17" s="400">
        <f>IF(DebtService!E61&lt;&gt;0,ROUND(G17/$F$45*1000,3),"  ")</f>
        <v>2.236</v>
      </c>
    </row>
    <row r="18" spans="1:8" ht="15.75">
      <c r="A18" s="132" t="str">
        <f>inputPrYr!B18</f>
        <v>Road &amp; Bridge</v>
      </c>
      <c r="B18" s="132">
        <f>IF(road!$C$110&lt;&gt;0,road!$C$110,"  ")</f>
        <v>1906844</v>
      </c>
      <c r="C18" s="400">
        <f>IF(inputPrYr!D92&lt;&gt;0,inputPrYr!D92,"  ")</f>
        <v>10.649</v>
      </c>
      <c r="D18" s="132">
        <f>IF(road!$D$110&lt;&gt;0,road!$D$110,"  ")</f>
        <v>1630326</v>
      </c>
      <c r="E18" s="400">
        <f>IF(inputPrYr!F18&lt;&gt;0,inputPrYr!F18,"  ")</f>
        <v>15.396</v>
      </c>
      <c r="F18" s="132">
        <f>IF(road!$E$110&lt;&gt;0,road!$E$110,"  ")</f>
        <v>1578955</v>
      </c>
      <c r="G18" s="132">
        <f>IF(road!$E$117&lt;&gt;0,road!$E$117,"  ")</f>
        <v>744483.5</v>
      </c>
      <c r="H18" s="400">
        <f>IF(road!E117&lt;&gt;0,ROUND(G18/$F$45*1000,3),"  ")</f>
        <v>9.66</v>
      </c>
    </row>
    <row r="19" spans="1:8" ht="15.75">
      <c r="A19" s="132" t="str">
        <f>IF((inputPrYr!$B19&gt;" "),(inputPrYr!$B19),"  ")</f>
        <v>Health</v>
      </c>
      <c r="B19" s="132">
        <f>IF('levy page10'!$C$33&lt;&gt;0,'levy page10'!$C$33,"  ")</f>
        <v>685331</v>
      </c>
      <c r="C19" s="400">
        <f>IF(inputPrYr!D93&lt;&gt;0,inputPrYr!D93,"  ")</f>
        <v>0.9</v>
      </c>
      <c r="D19" s="132">
        <f>IF('levy page10'!$D$33&lt;&gt;0,'levy page10'!$D$33,"  ")</f>
        <v>660632</v>
      </c>
      <c r="E19" s="400">
        <f>IF(inputPrYr!F19&lt;&gt;0,inputPrYr!F19,"  ")</f>
        <v>0.939</v>
      </c>
      <c r="F19" s="132">
        <f>IF('levy page10'!$E$33&lt;&gt;0,'levy page10'!$E$33,"  ")</f>
        <v>702841</v>
      </c>
      <c r="G19" s="132">
        <f>IF('levy page10'!$E$40&lt;&gt;0,'levy page10'!$E$40,"  ")</f>
        <v>71391</v>
      </c>
      <c r="H19" s="400">
        <f>IF('levy page10'!E40&lt;&gt;0,ROUND(G19/$F$45*1000,3),"  ")</f>
        <v>0.926</v>
      </c>
    </row>
    <row r="20" spans="1:8" ht="15.75">
      <c r="A20" s="132" t="str">
        <f>IF((inputPrYr!$B20&gt;" "),(inputPrYr!$B20),"  ")</f>
        <v>Noxious Weed</v>
      </c>
      <c r="B20" s="132">
        <f>IF('levy page10'!$C$70&lt;&gt;0,'levy page10'!$C$70,"  ")</f>
        <v>271823</v>
      </c>
      <c r="C20" s="400">
        <f>IF(inputPrYr!D94&lt;&gt;0,inputPrYr!D94,"  ")</f>
        <v>1.5</v>
      </c>
      <c r="D20" s="132">
        <f>IF('levy page10'!$D$70&lt;&gt;0,'levy page10'!$D$70,"  ")</f>
        <v>338738</v>
      </c>
      <c r="E20" s="400">
        <f>IF(inputPrYr!F20&lt;&gt;0,inputPrYr!F20,"  ")</f>
        <v>1.5</v>
      </c>
      <c r="F20" s="132">
        <f>IF('levy page10'!$E$70&lt;&gt;0,'levy page10'!$E$70,"  ")</f>
        <v>382466</v>
      </c>
      <c r="G20" s="132">
        <f>IF('levy page10'!$E$77&lt;&gt;0,'levy page10'!$E$77,"  ")</f>
        <v>115601</v>
      </c>
      <c r="H20" s="400">
        <f>IF('levy page10'!E77&lt;&gt;0,ROUND(G20/$F$45*1000,3),"  ")</f>
        <v>1.5</v>
      </c>
    </row>
    <row r="21" spans="1:8" ht="15.75">
      <c r="A21" s="132" t="str">
        <f>IF((inputPrYr!$B21&gt;" "),(inputPrYr!$B21),"  ")</f>
        <v>Courthouse Maintenance</v>
      </c>
      <c r="B21" s="132">
        <f>IF('levy page11'!$C$33&lt;&gt;0,'levy page11'!$C$33,"  ")</f>
        <v>56742</v>
      </c>
      <c r="C21" s="400">
        <f>IF(inputPrYr!D95&lt;&gt;0,inputPrYr!D95,"  ")</f>
        <v>1</v>
      </c>
      <c r="D21" s="132">
        <f>IF('levy page11'!$D$33&lt;&gt;0,'levy page11'!$D$33,"  ")</f>
        <v>65992</v>
      </c>
      <c r="E21" s="400">
        <f>IF(inputPrYr!F21&lt;&gt;0,inputPrYr!F21,"  ")</f>
        <v>1</v>
      </c>
      <c r="F21" s="132">
        <f>IF('levy page11'!$E$33&lt;&gt;0,'levy page11'!$E$33,"  ")</f>
        <v>467129</v>
      </c>
      <c r="G21" s="132">
        <f>IF('levy page11'!$E$40&lt;&gt;0,'levy page11'!$E$40,"  ")</f>
        <v>77068</v>
      </c>
      <c r="H21" s="400">
        <f>IF('levy page11'!$E$40&lt;&gt;0,ROUND(G21/$F$45*1000,3),"  ")</f>
        <v>1</v>
      </c>
    </row>
    <row r="22" spans="1:8" ht="15.75">
      <c r="A22" s="132" t="str">
        <f>IF((inputPrYr!$B22&gt;" "),(inputPrYr!$B22),"  ")</f>
        <v>Historical</v>
      </c>
      <c r="B22" s="132">
        <f>IF('levy page11'!$C$70&lt;&gt;0,'levy page11'!$C$70,"  ")</f>
        <v>41877</v>
      </c>
      <c r="C22" s="400">
        <f>IF(inputPrYr!D96&lt;&gt;0,inputPrYr!D96,"  ")</f>
        <v>0.5</v>
      </c>
      <c r="D22" s="132">
        <f>IF('levy page11'!$D$70&lt;&gt;0,'levy page11'!$D$70,"  ")</f>
        <v>42091</v>
      </c>
      <c r="E22" s="400">
        <f>IF(inputPrYr!F22&lt;&gt;0,inputPrYr!F22,"  ")</f>
        <v>0.5</v>
      </c>
      <c r="F22" s="132">
        <f>IF('levy page11'!$E$70&lt;&gt;0,'levy page11'!$E$70,"  ")</f>
        <v>43343</v>
      </c>
      <c r="G22" s="132">
        <f>IF('levy page11'!$E$77&lt;&gt;0,'levy page11'!$E$77,"  ")</f>
        <v>38534</v>
      </c>
      <c r="H22" s="400">
        <f>IF('levy page11'!$E$77&lt;&gt;0,ROUND(G22/$F$45*1000,3),"  ")</f>
        <v>0.5</v>
      </c>
    </row>
    <row r="23" spans="1:8" ht="15.75">
      <c r="A23" s="132" t="str">
        <f>IF((inputPrYr!$B23&gt;" "),(inputPrYr!$B23),"  ")</f>
        <v>Employee Benefits</v>
      </c>
      <c r="B23" s="132">
        <f>IF('levy page12'!$C$33&lt;&gt;0,'levy page12'!$C$33,"  ")</f>
        <v>1375589</v>
      </c>
      <c r="C23" s="400">
        <f>IF(inputPrYr!D97&lt;&gt;0,inputPrYr!D97,"  ")</f>
        <v>15.119</v>
      </c>
      <c r="D23" s="132">
        <f>IF('levy page12'!$D$33&lt;&gt;0,'levy page12'!$D$33,"  ")</f>
        <v>1720801</v>
      </c>
      <c r="E23" s="400">
        <f>IF(inputPrYr!F23&lt;&gt;0,inputPrYr!F23,"  ")</f>
        <v>15.391</v>
      </c>
      <c r="F23" s="132">
        <f>IF('levy page12'!$E$33&lt;&gt;0,'levy page12'!$E$33,"  ")</f>
        <v>1890911</v>
      </c>
      <c r="G23" s="132">
        <f>IF('levy page12'!$E$40&lt;&gt;0,'levy page12'!$E$40,"  ")</f>
        <v>1497020</v>
      </c>
      <c r="H23" s="400">
        <f>IF('levy page12'!$E$40&lt;&gt;0,ROUND(G23/$F$45*1000,3),"  ")</f>
        <v>19.425</v>
      </c>
    </row>
    <row r="24" spans="1:8" ht="15.75">
      <c r="A24" s="132" t="str">
        <f>IF((inputPrYr!$B24&gt;" "),(inputPrYr!$B24),"  ")</f>
        <v>Economic Development</v>
      </c>
      <c r="B24" s="132">
        <f>IF('levy page12'!$C$70&lt;&gt;0,'levy page12'!$C$70,"  ")</f>
        <v>171014</v>
      </c>
      <c r="C24" s="400">
        <f>IF(inputPrYr!D98&lt;&gt;0,inputPrYr!D98,"  ")</f>
        <v>1</v>
      </c>
      <c r="D24" s="132">
        <f>IF('levy page12'!$D$70&lt;&gt;0,'levy page12'!$D$70,"  ")</f>
        <v>113099</v>
      </c>
      <c r="E24" s="400">
        <f>IF(inputPrYr!F24&lt;&gt;0,inputPrYr!F24,"  ")</f>
        <v>0.1</v>
      </c>
      <c r="F24" s="132">
        <f>IF('levy page12'!$E$70&lt;&gt;0,'levy page12'!$E$70,"  ")</f>
        <v>202529</v>
      </c>
      <c r="G24" s="132">
        <f>IF('levy page12'!$E$77&lt;&gt;0,'levy page12'!$E$77,"  ")</f>
        <v>77068</v>
      </c>
      <c r="H24" s="400">
        <f>IF('levy page12'!$E$77&lt;&gt;0,ROUND(G24/$F$45*1000,3),"  ")</f>
        <v>1</v>
      </c>
    </row>
    <row r="25" spans="1:8" ht="15.75">
      <c r="A25" s="132" t="str">
        <f>IF((inputPrYr!$B25&gt;" "),(inputPrYr!$B25),"  ")</f>
        <v>Special Bridge</v>
      </c>
      <c r="B25" s="132">
        <f>IF('levy page13'!$C$33&lt;&gt;0,'levy page13'!$C$33,"  ")</f>
        <v>188898</v>
      </c>
      <c r="C25" s="400">
        <f>IF(inputPrYr!D99&lt;&gt;0,inputPrYr!D99,"  ")</f>
        <v>1.5</v>
      </c>
      <c r="D25" s="132">
        <f>IF('levy page13'!$D$33&lt;&gt;0,'levy page13'!$D$33,"  ")</f>
        <v>162640</v>
      </c>
      <c r="E25" s="400">
        <f>IF(inputPrYr!F25&lt;&gt;0,inputPrYr!F25,"  ")</f>
        <v>1.5</v>
      </c>
      <c r="F25" s="132">
        <f>IF('levy page13'!$E$33&lt;&gt;0,'levy page13'!$E$33,"  ")</f>
        <v>158623</v>
      </c>
      <c r="G25" s="132">
        <f>IF('levy page13'!$E$40&lt;&gt;0,'levy page13'!$E$40,"  ")</f>
        <v>77068</v>
      </c>
      <c r="H25" s="400">
        <f>IF('levy page13'!$E$40&lt;&gt;0,ROUND(G25/$F$45*1000,3),"  ")</f>
        <v>1</v>
      </c>
    </row>
    <row r="26" spans="1:8" ht="15.75">
      <c r="A26" s="132" t="str">
        <f>IF((inputPrYr!$B26&gt;" "),(inputPrYr!$B26),"  ")</f>
        <v>  </v>
      </c>
      <c r="B26" s="132" t="str">
        <f>IF('levy page13'!$C$70&lt;&gt;0,'levy page13'!$C$70,"  ")</f>
        <v>  </v>
      </c>
      <c r="C26" s="400" t="str">
        <f>IF(inputPrYr!D100&lt;&gt;0,inputPrYr!D100,"  ")</f>
        <v>  </v>
      </c>
      <c r="D26" s="132" t="str">
        <f>IF('levy page13'!$D$70&lt;&gt;0,'levy page13'!$D$70,"  ")</f>
        <v>  </v>
      </c>
      <c r="E26" s="400" t="str">
        <f>IF(inputPrYr!F26&lt;&gt;0,inputPrYr!F26,"  ")</f>
        <v>  </v>
      </c>
      <c r="F26" s="132" t="str">
        <f>IF('levy page13'!$E$70&lt;&gt;0,'levy page13'!$E$70,"  ")</f>
        <v>  </v>
      </c>
      <c r="G26" s="132" t="str">
        <f>IF('levy page13'!$E$77&lt;&gt;0,'levy page13'!$E$77,"  ")</f>
        <v>  </v>
      </c>
      <c r="H26" s="400" t="str">
        <f>IF('levy page13'!$E$77&lt;&gt;0,ROUND(G26/$F$45*1000,3),"  ")</f>
        <v>  </v>
      </c>
    </row>
    <row r="27" spans="1:8" ht="15.75">
      <c r="A27" s="132" t="str">
        <f>IF((inputPrYr!$B43&gt;" "),(inputPrYr!$B43),"  ")</f>
        <v>Special Parks &amp; Recreation</v>
      </c>
      <c r="B27" s="132">
        <f>IF('no levy page14'!$C$29&lt;&gt;0,'no levy page14'!$C$29,"  ")</f>
        <v>4679</v>
      </c>
      <c r="C27" s="113"/>
      <c r="D27" s="132">
        <f>IF('no levy page14'!$D$29&lt;&gt;0,'no levy page14'!$D$29,"  ")</f>
        <v>3000</v>
      </c>
      <c r="E27" s="113"/>
      <c r="F27" s="132">
        <f>IF('no levy page14'!$E$29&lt;&gt;0,'no levy page14'!$E$29,"  ")</f>
        <v>6304</v>
      </c>
      <c r="G27" s="132"/>
      <c r="H27" s="109"/>
    </row>
    <row r="28" spans="1:8" ht="15.75">
      <c r="A28" s="132" t="str">
        <f>IF((inputPrYr!$B44&gt;" "),(inputPrYr!$B44),"  ")</f>
        <v>Special Alcohol</v>
      </c>
      <c r="B28" s="132">
        <f>IF('no levy page14'!$C$60&lt;&gt;0,'no levy page14'!$C$60,"  ")</f>
        <v>17726</v>
      </c>
      <c r="C28" s="113"/>
      <c r="D28" s="132">
        <f>IF('no levy page14'!$D$60&lt;&gt;0,'no levy page14'!$D$60,"  ")</f>
        <v>15000</v>
      </c>
      <c r="E28" s="113"/>
      <c r="F28" s="132">
        <f>IF('no levy page14'!$E$60&lt;&gt;0,'no levy page14'!$E$60,"  ")</f>
        <v>24851</v>
      </c>
      <c r="G28" s="132"/>
      <c r="H28" s="109"/>
    </row>
    <row r="29" spans="1:8" ht="15.75">
      <c r="A29" s="132" t="str">
        <f>IF((inputPrYr!$B45&gt;" "),(inputPrYr!$B45),"  ")</f>
        <v>Bridge Improvement Sales Tax</v>
      </c>
      <c r="B29" s="132">
        <f>IF('no levy page15'!$C$29&lt;&gt;0,'no levy page15'!$C$29,"  ")</f>
        <v>451033</v>
      </c>
      <c r="C29" s="113"/>
      <c r="D29" s="132">
        <f>IF('no levy page15'!$D$29&lt;&gt;0,'no levy page15'!$D$29,"  ")</f>
        <v>451795</v>
      </c>
      <c r="E29" s="113"/>
      <c r="F29" s="132">
        <f>IF('no levy page15'!$E$29&lt;&gt;0,'no levy page15'!$E$29,"  ")</f>
        <v>802006.05</v>
      </c>
      <c r="G29" s="132"/>
      <c r="H29" s="109"/>
    </row>
    <row r="30" spans="1:8" ht="15.75">
      <c r="A30" s="132" t="str">
        <f>IF((inputPrYr!$B46&gt;" "),(inputPrYr!$B46),"  ")</f>
        <v>Noxious Weed Capital Outlay</v>
      </c>
      <c r="B30" s="132">
        <f>IF('no levy page15'!$C$60&lt;&gt;0,'no levy page15'!$C$60,"  ")</f>
        <v>4647</v>
      </c>
      <c r="C30" s="113"/>
      <c r="D30" s="132" t="str">
        <f>IF('no levy page15'!$D$60&lt;&gt;0,'no levy page15'!$D$60,"  ")</f>
        <v>  </v>
      </c>
      <c r="E30" s="113"/>
      <c r="F30" s="132">
        <f>IF('no levy page15'!$E$60&lt;&gt;0,'no levy page15'!$E$60,"  ")</f>
        <v>98957</v>
      </c>
      <c r="G30" s="132"/>
      <c r="H30" s="109"/>
    </row>
    <row r="31" spans="1:8" ht="15.75">
      <c r="A31" s="132" t="str">
        <f>IF((inputPrYr!$B47&gt;" "),(inputPrYr!$B47),"  ")</f>
        <v>Solid Waste</v>
      </c>
      <c r="B31" s="132">
        <f>IF('no levy page16'!$C$29&lt;&gt;0,'no levy page16'!$C$29,"  ")</f>
        <v>417660</v>
      </c>
      <c r="C31" s="113"/>
      <c r="D31" s="132">
        <f>IF('no levy page16'!$D$29&lt;&gt;0,'no levy page16'!$D$29,"  ")</f>
        <v>515927</v>
      </c>
      <c r="E31" s="113"/>
      <c r="F31" s="132">
        <f>IF('no levy page16'!$E$29&lt;&gt;0,'no levy page16'!$E$29,"  ")</f>
        <v>472910</v>
      </c>
      <c r="G31" s="132"/>
      <c r="H31" s="109"/>
    </row>
    <row r="32" spans="1:8" ht="15.75">
      <c r="A32" s="132" t="str">
        <f>IF((inputPrYr!$B48&gt;" "),(inputPrYr!$B48),"  ")</f>
        <v>Solid Waste Capital Outlay</v>
      </c>
      <c r="B32" s="132">
        <f>IF('no levy page16'!$C$60&lt;&gt;0,'no levy page16'!$C$60,"  ")</f>
        <v>152493</v>
      </c>
      <c r="C32" s="113"/>
      <c r="D32" s="132" t="str">
        <f>IF('no levy page16'!$D$60&lt;&gt;0,'no levy page16'!$D$60,"  ")</f>
        <v>  </v>
      </c>
      <c r="E32" s="113"/>
      <c r="F32" s="132">
        <f>IF('no levy page16'!$E$60&lt;&gt;0,'no levy page16'!$E$60,"  ")</f>
        <v>102042</v>
      </c>
      <c r="G32" s="132"/>
      <c r="H32" s="109"/>
    </row>
    <row r="33" spans="1:8" ht="15.75">
      <c r="A33" s="132" t="str">
        <f>IF((inputPrYr!$B49&gt;" "),(inputPrYr!$B49),"  ")</f>
        <v>Emergency 911</v>
      </c>
      <c r="B33" s="132">
        <f>IF('no levy page17'!$C$29&lt;&gt;0,'no levy page17'!$C$29,"  ")</f>
        <v>19129</v>
      </c>
      <c r="C33" s="113"/>
      <c r="D33" s="132">
        <f>IF('no levy page17'!$D$29&lt;&gt;0,'no levy page17'!$D$29,"  ")</f>
        <v>20000</v>
      </c>
      <c r="E33" s="113"/>
      <c r="F33" s="132">
        <f>IF('no levy page17'!$E$29&lt;&gt;0,'no levy page17'!$E$29,"  ")</f>
        <v>112938</v>
      </c>
      <c r="G33" s="132"/>
      <c r="H33" s="109"/>
    </row>
    <row r="34" spans="1:8" ht="15.75">
      <c r="A34" s="132" t="str">
        <f>IF((inputPrYr!$B50&gt;" "),(inputPrYr!$B50),"  ")</f>
        <v>Cell Phone 911</v>
      </c>
      <c r="B34" s="132">
        <f>IF('no levy page17'!$C$60&lt;&gt;0,'no levy page17'!$C$60,"  ")</f>
        <v>201722</v>
      </c>
      <c r="C34" s="113"/>
      <c r="D34" s="132">
        <f>IF('no levy page17'!$D$60&lt;&gt;0,'no levy page17'!$D$60,"  ")</f>
        <v>45000</v>
      </c>
      <c r="E34" s="113"/>
      <c r="F34" s="132">
        <f>IF('no levy page17'!$E$60&lt;&gt;0,'no levy page17'!$E$60,"  ")</f>
        <v>48480</v>
      </c>
      <c r="G34" s="132"/>
      <c r="H34" s="109"/>
    </row>
    <row r="35" spans="1:8" ht="15.75">
      <c r="A35" s="132" t="str">
        <f>IF((inputPrYr!$B51&gt;" "),(inputPrYr!$B51),"  ")</f>
        <v>Convention &amp; Tourism</v>
      </c>
      <c r="B35" s="132">
        <f>IF('no levy page18'!$C$29&lt;&gt;0,'no levy page18'!$C$29,"  ")</f>
        <v>12591</v>
      </c>
      <c r="C35" s="113"/>
      <c r="D35" s="132">
        <f>IF('no levy page18'!$D$29&lt;&gt;0,'no levy page18'!$D$29,"  ")</f>
        <v>11500</v>
      </c>
      <c r="E35" s="113"/>
      <c r="F35" s="132">
        <f>IF('no levy page18'!$E$29&lt;&gt;0,'no levy page18'!$E$29,"  ")</f>
        <v>30974</v>
      </c>
      <c r="G35" s="132"/>
      <c r="H35" s="109"/>
    </row>
    <row r="36" spans="1:13" ht="15.75">
      <c r="A36" s="132" t="str">
        <f>IF((inputPrYr!$B52&gt;" "),(inputPrYr!$B52),"  ")</f>
        <v>  </v>
      </c>
      <c r="B36" s="132" t="str">
        <f>IF('no levy page18'!$C$60&lt;&gt;0,'no levy page18'!$C$60,"  ")</f>
        <v>  </v>
      </c>
      <c r="C36" s="113"/>
      <c r="D36" s="132" t="str">
        <f>IF('no levy page18'!$D$60&lt;&gt;0,'no levy page18'!$D$60,"  ")</f>
        <v>  </v>
      </c>
      <c r="E36" s="113"/>
      <c r="F36" s="132" t="str">
        <f>IF('no levy page18'!$E$60&lt;&gt;0,'no levy page18'!$E$60,"  ")</f>
        <v>  </v>
      </c>
      <c r="G36" s="132"/>
      <c r="H36" s="109"/>
      <c r="J36" s="740" t="str">
        <f>CONCATENATE("Estimated Value Of One Mill For ",H1,"")</f>
        <v>Estimated Value Of One Mill For 2012</v>
      </c>
      <c r="K36" s="747"/>
      <c r="L36" s="747"/>
      <c r="M36" s="748"/>
    </row>
    <row r="37" spans="1:13" ht="15.75">
      <c r="A37" s="197" t="str">
        <f>IF((inputPrYr!$B62&gt;"  "),(nonbudA!$A3),"  ")</f>
        <v>Non-Budgeted Funds-A</v>
      </c>
      <c r="B37" s="132">
        <f>IF(nonbudA!$K$28&lt;&gt;0,nonbudA!$K$28,"  ")</f>
        <v>66104</v>
      </c>
      <c r="C37" s="113"/>
      <c r="D37" s="132"/>
      <c r="E37" s="113"/>
      <c r="F37" s="132"/>
      <c r="G37" s="132"/>
      <c r="H37" s="109"/>
      <c r="J37" s="559" t="str">
        <f>CONCATENATE("",H1," Tax Levy Fund Expenditures Must Be")</f>
        <v>2012 Tax Levy Fund Expenditures Must Be</v>
      </c>
      <c r="K37" s="560"/>
      <c r="L37" s="560"/>
      <c r="M37" s="557"/>
    </row>
    <row r="38" spans="1:13" ht="15.75">
      <c r="A38" s="197" t="str">
        <f>IF((inputPrYr!$B68&gt;"  "),(nonbudB!$A3),"  ")</f>
        <v>Non-Budgeted Funds-B</v>
      </c>
      <c r="B38" s="132">
        <f>IF(nonbudB!$K$28&lt;&gt;0,nonbudB!$K$28,"  ")</f>
        <v>197422</v>
      </c>
      <c r="C38" s="113"/>
      <c r="D38" s="132"/>
      <c r="E38" s="113"/>
      <c r="F38" s="132"/>
      <c r="G38" s="132"/>
      <c r="H38" s="109"/>
      <c r="J38" s="559" t="e">
        <f>IF(M38&gt;0,"Increased By:","")</f>
        <v>#REF!</v>
      </c>
      <c r="K38" s="560"/>
      <c r="L38" s="560"/>
      <c r="M38" s="658" t="e">
        <f>IF(M45&lt;0,M45*-1,0)</f>
        <v>#REF!</v>
      </c>
    </row>
    <row r="39" spans="1:13" ht="15.75">
      <c r="A39" s="197" t="str">
        <f>IF((inputPrYr!$B74&gt;"  "),(nonbudC!$A3),"  ")</f>
        <v>Non-Budgeted Funds-C</v>
      </c>
      <c r="B39" s="132" t="str">
        <f>IF(nonbudC!$K$28&lt;&gt;0,nonbudC!$K$28,"  ")</f>
        <v>  </v>
      </c>
      <c r="C39" s="113"/>
      <c r="D39" s="132"/>
      <c r="E39" s="113"/>
      <c r="F39" s="132"/>
      <c r="G39" s="132"/>
      <c r="H39" s="109"/>
      <c r="J39" s="659" t="e">
        <f>IF(M39&lt;0,"Reduced By:","")</f>
        <v>#REF!</v>
      </c>
      <c r="K39" s="660"/>
      <c r="L39" s="660"/>
      <c r="M39" s="661" t="e">
        <f>IF(M45&gt;0,M45*-1,0)</f>
        <v>#REF!</v>
      </c>
    </row>
    <row r="40" spans="1:13" ht="16.5" thickBot="1">
      <c r="A40" s="197" t="str">
        <f>IF((inputPrYr!$B80&gt;"  "),(nonbudD!$A3),"  ")</f>
        <v>  </v>
      </c>
      <c r="B40" s="541" t="str">
        <f>IF(nonbudD!$K$28&lt;&gt;0,nonbudD!$K$28,"  ")</f>
        <v>  </v>
      </c>
      <c r="C40" s="540"/>
      <c r="D40" s="541"/>
      <c r="E40" s="540"/>
      <c r="F40" s="541"/>
      <c r="G40" s="541"/>
      <c r="H40" s="539"/>
      <c r="J40" s="563"/>
      <c r="K40" s="563"/>
      <c r="L40" s="563"/>
      <c r="M40" s="563"/>
    </row>
    <row r="41" spans="1:13" ht="15.75">
      <c r="A41" s="108" t="s">
        <v>121</v>
      </c>
      <c r="B41" s="544">
        <f>SUM(B16:B40)</f>
        <v>9399083</v>
      </c>
      <c r="C41" s="542">
        <f>SUM(C16:C26)</f>
        <v>54.754999999999995</v>
      </c>
      <c r="D41" s="544">
        <f>SUM(D16:D40)</f>
        <v>8754860</v>
      </c>
      <c r="E41" s="542">
        <f>SUM(E16:E26)</f>
        <v>57.372</v>
      </c>
      <c r="F41" s="544">
        <f>SUM(F16:F40)</f>
        <v>10354204</v>
      </c>
      <c r="G41" s="544">
        <f>SUM(G16:G26)</f>
        <v>4545376.45</v>
      </c>
      <c r="H41" s="542">
        <f>SUM(H16:H26)</f>
        <v>58.97800000000001</v>
      </c>
      <c r="J41" s="740" t="str">
        <f>CONCATENATE("Impact On Keeping The Same Mill Rate As For ",H1-1,"")</f>
        <v>Impact On Keeping The Same Mill Rate As For 2011</v>
      </c>
      <c r="K41" s="741"/>
      <c r="L41" s="741"/>
      <c r="M41" s="742"/>
    </row>
    <row r="42" spans="1:13" ht="15.75">
      <c r="A42" s="89" t="s">
        <v>167</v>
      </c>
      <c r="B42" s="401">
        <f>transfers!C29</f>
        <v>338385</v>
      </c>
      <c r="C42" s="402"/>
      <c r="D42" s="401">
        <f>transfers!D29</f>
        <v>161590</v>
      </c>
      <c r="E42" s="344"/>
      <c r="F42" s="401">
        <f>transfers!E29</f>
        <v>161590</v>
      </c>
      <c r="G42" s="90"/>
      <c r="H42" s="130"/>
      <c r="J42" s="556"/>
      <c r="K42" s="552"/>
      <c r="L42" s="552"/>
      <c r="M42" s="557"/>
    </row>
    <row r="43" spans="1:13" ht="16.5" thickBot="1">
      <c r="A43" s="89" t="s">
        <v>168</v>
      </c>
      <c r="B43" s="404">
        <f>B41-B42</f>
        <v>9060698</v>
      </c>
      <c r="C43" s="90"/>
      <c r="D43" s="404">
        <f>D41-D42</f>
        <v>8593270</v>
      </c>
      <c r="E43" s="402"/>
      <c r="F43" s="404">
        <f>F41-F42</f>
        <v>10192614</v>
      </c>
      <c r="G43" s="90"/>
      <c r="H43" s="130"/>
      <c r="J43" s="556" t="str">
        <f>CONCATENATE("",H1," Ad Valorem Tax Revenue:")</f>
        <v>2012 Ad Valorem Tax Revenue:</v>
      </c>
      <c r="K43" s="552"/>
      <c r="L43" s="552"/>
      <c r="M43" s="553">
        <f>G41</f>
        <v>4545376.45</v>
      </c>
    </row>
    <row r="44" spans="1:13" ht="16.5" thickTop="1">
      <c r="A44" s="89" t="s">
        <v>169</v>
      </c>
      <c r="B44" s="544">
        <f>inputPrYr!F117</f>
        <v>4063949</v>
      </c>
      <c r="C44" s="90"/>
      <c r="D44" s="544">
        <f>inputPrYr!E41</f>
        <v>4282747</v>
      </c>
      <c r="E44" s="90"/>
      <c r="F44" s="543" t="s">
        <v>862</v>
      </c>
      <c r="G44" s="90"/>
      <c r="H44" s="130"/>
      <c r="J44" s="556" t="str">
        <f>CONCATENATE("",H1-1," Ad Valorem Tax Revenue:")</f>
        <v>2011 Ad Valorem Tax Revenue:</v>
      </c>
      <c r="K44" s="552"/>
      <c r="L44" s="552"/>
      <c r="M44" s="564" t="e">
        <f>ROUND(F45*#REF!/1000,0)</f>
        <v>#REF!</v>
      </c>
    </row>
    <row r="45" spans="1:13" ht="15.75">
      <c r="A45" s="89" t="s">
        <v>170</v>
      </c>
      <c r="B45" s="132">
        <f>inputPrYr!F118</f>
        <v>74453445</v>
      </c>
      <c r="C45" s="90"/>
      <c r="D45" s="132">
        <f>inputPrYr!F85</f>
        <v>74653859</v>
      </c>
      <c r="E45" s="90"/>
      <c r="F45" s="132">
        <f>inputOth!E6</f>
        <v>77067561</v>
      </c>
      <c r="G45" s="90"/>
      <c r="H45" s="130"/>
      <c r="J45" s="561" t="s">
        <v>730</v>
      </c>
      <c r="K45" s="562"/>
      <c r="L45" s="562"/>
      <c r="M45" s="554" t="e">
        <f>SUM(M43-M44)</f>
        <v>#REF!</v>
      </c>
    </row>
    <row r="46" spans="1:13" ht="15.75">
      <c r="A46" s="90"/>
      <c r="B46" s="90"/>
      <c r="C46" s="90"/>
      <c r="D46" s="90"/>
      <c r="E46" s="90"/>
      <c r="F46" s="90"/>
      <c r="G46" s="90"/>
      <c r="H46" s="130"/>
      <c r="J46" s="555"/>
      <c r="K46" s="555"/>
      <c r="L46" s="555"/>
      <c r="M46" s="563"/>
    </row>
    <row r="47" spans="1:13" ht="15.75">
      <c r="A47" s="89" t="s">
        <v>171</v>
      </c>
      <c r="B47" s="90"/>
      <c r="C47" s="90"/>
      <c r="D47" s="90"/>
      <c r="E47" s="90"/>
      <c r="F47" s="90"/>
      <c r="G47" s="90"/>
      <c r="H47" s="142"/>
      <c r="J47" s="740" t="s">
        <v>731</v>
      </c>
      <c r="K47" s="743"/>
      <c r="L47" s="743"/>
      <c r="M47" s="744"/>
    </row>
    <row r="48" spans="1:13" ht="15.75">
      <c r="A48" s="89" t="s">
        <v>172</v>
      </c>
      <c r="B48" s="403">
        <f>H1-3</f>
        <v>2009</v>
      </c>
      <c r="C48" s="90"/>
      <c r="D48" s="403">
        <f>H1-2</f>
        <v>2010</v>
      </c>
      <c r="E48" s="90"/>
      <c r="F48" s="403">
        <f>H1-1</f>
        <v>2011</v>
      </c>
      <c r="G48" s="90"/>
      <c r="H48" s="142"/>
      <c r="J48" s="556"/>
      <c r="K48" s="552"/>
      <c r="L48" s="552"/>
      <c r="M48" s="557"/>
    </row>
    <row r="49" spans="1:13" ht="15.75">
      <c r="A49" s="89" t="s">
        <v>173</v>
      </c>
      <c r="B49" s="132">
        <f>inputPrYr!D122</f>
        <v>2020000</v>
      </c>
      <c r="C49" s="90"/>
      <c r="D49" s="132">
        <f>inputPrYr!E122</f>
        <v>1715000</v>
      </c>
      <c r="E49" s="90"/>
      <c r="F49" s="132">
        <f>debt!F19</f>
        <v>1395000</v>
      </c>
      <c r="G49" s="90"/>
      <c r="H49" s="142"/>
      <c r="J49" s="556" t="str">
        <f>CONCATENATE("Current ",H1," Estimated Mill Rate:")</f>
        <v>Current 2012 Estimated Mill Rate:</v>
      </c>
      <c r="K49" s="552"/>
      <c r="L49" s="552"/>
      <c r="M49" s="558">
        <f>H41</f>
        <v>58.97800000000001</v>
      </c>
    </row>
    <row r="50" spans="1:13" ht="15.75">
      <c r="A50" s="89" t="s">
        <v>174</v>
      </c>
      <c r="B50" s="132">
        <f>inputPrYr!D123</f>
        <v>0</v>
      </c>
      <c r="C50" s="90"/>
      <c r="D50" s="132">
        <f>inputPrYr!E123</f>
        <v>0</v>
      </c>
      <c r="E50" s="90"/>
      <c r="F50" s="132">
        <f>debt!F27</f>
        <v>0</v>
      </c>
      <c r="G50" s="90"/>
      <c r="H50" s="142"/>
      <c r="J50" s="556" t="str">
        <f>CONCATENATE("Desired ",H1," Mill Rate:")</f>
        <v>Desired 2012 Mill Rate:</v>
      </c>
      <c r="K50" s="552"/>
      <c r="L50" s="552"/>
      <c r="M50" s="565">
        <v>58.979</v>
      </c>
    </row>
    <row r="51" spans="1:13" ht="15.75">
      <c r="A51" s="89" t="s">
        <v>159</v>
      </c>
      <c r="B51" s="132">
        <f>inputPrYr!D124</f>
        <v>2343019</v>
      </c>
      <c r="C51" s="90"/>
      <c r="D51" s="132">
        <f>inputPrYr!E124</f>
        <v>2219789</v>
      </c>
      <c r="E51" s="90"/>
      <c r="F51" s="132">
        <f>debt!F36</f>
        <v>2091901</v>
      </c>
      <c r="G51" s="90"/>
      <c r="H51" s="142"/>
      <c r="J51" s="556" t="str">
        <f>CONCATENATE("",H1," Ad Valorem Tax:")</f>
        <v>2012 Ad Valorem Tax:</v>
      </c>
      <c r="K51" s="552"/>
      <c r="L51" s="552"/>
      <c r="M51" s="564">
        <f>ROUND(F45*M50/1000,0)</f>
        <v>4545368</v>
      </c>
    </row>
    <row r="52" spans="1:13" ht="15.75">
      <c r="A52" s="89" t="s">
        <v>262</v>
      </c>
      <c r="B52" s="132">
        <f>inputPrYr!D125</f>
        <v>79741</v>
      </c>
      <c r="C52" s="90"/>
      <c r="D52" s="132">
        <f>inputPrYr!E125</f>
        <v>48784</v>
      </c>
      <c r="E52" s="90"/>
      <c r="F52" s="132">
        <f>lpform!F37</f>
        <v>0</v>
      </c>
      <c r="G52" s="90"/>
      <c r="H52" s="142"/>
      <c r="J52" s="561" t="str">
        <f>CONCATENATE("",H1," Tax Levy Fund Exp. Changed By:")</f>
        <v>2012 Tax Levy Fund Exp. Changed By:</v>
      </c>
      <c r="K52" s="562"/>
      <c r="L52" s="562"/>
      <c r="M52" s="554">
        <f>IF(M50=0,0,(M51-G41))</f>
        <v>-8.450000000186265</v>
      </c>
    </row>
    <row r="53" spans="1:8" ht="16.5" thickBot="1">
      <c r="A53" s="89" t="s">
        <v>175</v>
      </c>
      <c r="B53" s="234">
        <f>SUM(B49:B52)</f>
        <v>4442760</v>
      </c>
      <c r="C53" s="90"/>
      <c r="D53" s="234">
        <f>SUM(D49:D52)</f>
        <v>3983573</v>
      </c>
      <c r="E53" s="90"/>
      <c r="F53" s="234">
        <f>SUM(F49:F52)</f>
        <v>3486901</v>
      </c>
      <c r="G53" s="90"/>
      <c r="H53" s="142"/>
    </row>
    <row r="54" spans="1:8" ht="16.5" thickTop="1">
      <c r="A54" s="89" t="s">
        <v>176</v>
      </c>
      <c r="B54" s="90"/>
      <c r="C54" s="90"/>
      <c r="D54" s="90"/>
      <c r="E54" s="90"/>
      <c r="F54" s="90"/>
      <c r="G54" s="90"/>
      <c r="H54" s="142"/>
    </row>
    <row r="55" spans="1:8" ht="15.75">
      <c r="A55" s="90"/>
      <c r="B55" s="90"/>
      <c r="C55" s="90"/>
      <c r="D55" s="90"/>
      <c r="E55" s="90"/>
      <c r="F55" s="90"/>
      <c r="G55" s="90"/>
      <c r="H55" s="142"/>
    </row>
    <row r="56" spans="1:8" ht="15.75">
      <c r="A56" s="745"/>
      <c r="B56" s="745"/>
      <c r="C56" s="90"/>
      <c r="D56" s="90"/>
      <c r="E56" s="90"/>
      <c r="F56" s="90"/>
      <c r="G56" s="90"/>
      <c r="H56" s="142"/>
    </row>
    <row r="57" spans="1:8" ht="15.75">
      <c r="A57" s="223" t="s">
        <v>177</v>
      </c>
      <c r="B57" s="98"/>
      <c r="C57" s="90"/>
      <c r="D57" s="90"/>
      <c r="E57" s="90"/>
      <c r="F57" s="90"/>
      <c r="G57" s="90"/>
      <c r="H57" s="142"/>
    </row>
    <row r="58" spans="1:8" ht="15.75">
      <c r="A58" s="90"/>
      <c r="B58" s="90"/>
      <c r="C58" s="90"/>
      <c r="D58" s="298" t="s">
        <v>134</v>
      </c>
      <c r="E58" s="405">
        <v>22</v>
      </c>
      <c r="F58" s="90"/>
      <c r="G58" s="90"/>
      <c r="H58" s="142"/>
    </row>
    <row r="59" spans="1:8" ht="15.75">
      <c r="A59" s="148"/>
      <c r="D59" s="148"/>
      <c r="E59" s="148"/>
      <c r="F59" s="148"/>
      <c r="G59" s="148"/>
      <c r="H59" s="148"/>
    </row>
  </sheetData>
  <sheetProtection/>
  <mergeCells count="13">
    <mergeCell ref="J41:M41"/>
    <mergeCell ref="J47:M47"/>
    <mergeCell ref="A56:B56"/>
    <mergeCell ref="G14:G15"/>
    <mergeCell ref="J36:M36"/>
    <mergeCell ref="A10:H10"/>
    <mergeCell ref="A11:H11"/>
    <mergeCell ref="A7:H7"/>
    <mergeCell ref="A8:H8"/>
    <mergeCell ref="A2:H2"/>
    <mergeCell ref="A4:H4"/>
    <mergeCell ref="A5:H5"/>
    <mergeCell ref="A6:H6"/>
  </mergeCells>
  <printOptions/>
  <pageMargins left="1.12" right="0.5" top="0.74" bottom="0.34" header="0.5" footer="0"/>
  <pageSetup blackAndWhite="1" fitToHeight="1" fitToWidth="1" horizontalDpi="120" verticalDpi="120" orientation="portrait" scale="63"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F52"/>
  <sheetViews>
    <sheetView tabSelected="1" zoomScalePageLayoutView="0" workbookViewId="0" topLeftCell="A10">
      <selection activeCell="F49" sqref="F49"/>
    </sheetView>
  </sheetViews>
  <sheetFormatPr defaultColWidth="8.796875" defaultRowHeight="15"/>
  <cols>
    <col min="1" max="1" width="9.19921875" style="170" customWidth="1"/>
    <col min="2" max="2" width="18.59765625" style="170" customWidth="1"/>
    <col min="3" max="3" width="11.796875" style="170" customWidth="1"/>
    <col min="4" max="4" width="12.796875" style="170" customWidth="1"/>
    <col min="5" max="5" width="11.796875" style="170" customWidth="1"/>
    <col min="6" max="16384" width="8.8984375" style="170" customWidth="1"/>
  </cols>
  <sheetData>
    <row r="1" spans="1:6" ht="15.75">
      <c r="A1" s="240" t="str">
        <f>inputPrYr!C2</f>
        <v>Clay County</v>
      </c>
      <c r="B1" s="90"/>
      <c r="C1" s="90"/>
      <c r="D1" s="90"/>
      <c r="E1" s="90"/>
      <c r="F1" s="337">
        <f>inputPrYr!C4</f>
        <v>2012</v>
      </c>
    </row>
    <row r="2" spans="1:6" ht="15.75">
      <c r="A2" s="90"/>
      <c r="B2" s="90"/>
      <c r="C2" s="90"/>
      <c r="D2" s="90"/>
      <c r="E2" s="90"/>
      <c r="F2" s="90"/>
    </row>
    <row r="3" spans="1:6" ht="15.75">
      <c r="A3" s="90"/>
      <c r="B3" s="710" t="str">
        <f>CONCATENATE("",F1," Neighborhood Revitalization Rebate")</f>
        <v>2012 Neighborhood Revitalization Rebate</v>
      </c>
      <c r="C3" s="750"/>
      <c r="D3" s="750"/>
      <c r="E3" s="750"/>
      <c r="F3" s="90"/>
    </row>
    <row r="4" spans="1:6" ht="15.75">
      <c r="A4" s="90"/>
      <c r="B4" s="90"/>
      <c r="C4" s="90"/>
      <c r="D4" s="90"/>
      <c r="E4" s="90"/>
      <c r="F4" s="90"/>
    </row>
    <row r="5" spans="1:6" ht="51" customHeight="1">
      <c r="A5" s="90"/>
      <c r="B5" s="406" t="str">
        <f>CONCATENATE("Budgeted Funds                       for ",F1,"")</f>
        <v>Budgeted Funds                       for 2012</v>
      </c>
      <c r="C5" s="406" t="str">
        <f>CONCATENATE("",F1-1," Ad Valorem before Rebate**")</f>
        <v>2011 Ad Valorem before Rebate**</v>
      </c>
      <c r="D5" s="407" t="str">
        <f>CONCATENATE("",F1-1," Mil Rate before Rebate")</f>
        <v>2011 Mil Rate before Rebate</v>
      </c>
      <c r="E5" s="408" t="str">
        <f>CONCATENATE("Estimate ",F1," NR Rebate")</f>
        <v>Estimate 2012 NR Rebate</v>
      </c>
      <c r="F5" s="142"/>
    </row>
    <row r="6" spans="1:6" ht="15.75">
      <c r="A6" s="90"/>
      <c r="B6" s="108" t="str">
        <f>inputPrYr!B16</f>
        <v>General</v>
      </c>
      <c r="C6" s="353">
        <v>1584270</v>
      </c>
      <c r="D6" s="670">
        <f>IF(C6&gt;0,C6/$D$36,"")</f>
        <v>20.55689812215544</v>
      </c>
      <c r="E6" s="350">
        <f aca="true" t="shared" si="0" ref="E6:E30">IF(C6&gt;0,ROUND(D6*$D$40,0),"")</f>
        <v>90519</v>
      </c>
      <c r="F6" s="142"/>
    </row>
    <row r="7" spans="1:6" ht="15.75">
      <c r="A7" s="90"/>
      <c r="B7" s="108" t="str">
        <f>inputPrYr!B17</f>
        <v>County Bond &amp; Interest</v>
      </c>
      <c r="C7" s="353">
        <v>163039</v>
      </c>
      <c r="D7" s="670">
        <f aca="true" t="shared" si="1" ref="D7:D30">IF(C7&gt;0,C7/$D$36,"")</f>
        <v>2.1155334084077215</v>
      </c>
      <c r="E7" s="350">
        <f t="shared" si="0"/>
        <v>9315</v>
      </c>
      <c r="F7" s="142"/>
    </row>
    <row r="8" spans="1:6" ht="15.75">
      <c r="A8" s="90"/>
      <c r="B8" s="108" t="str">
        <f>inputPrYr!B18</f>
        <v>Road &amp; Bridge</v>
      </c>
      <c r="C8" s="353">
        <v>704246</v>
      </c>
      <c r="D8" s="670">
        <f t="shared" si="1"/>
        <v>9.138034094526489</v>
      </c>
      <c r="E8" s="350">
        <f t="shared" si="0"/>
        <v>40238</v>
      </c>
      <c r="F8" s="142"/>
    </row>
    <row r="9" spans="1:6" ht="15.75">
      <c r="A9" s="90"/>
      <c r="B9" s="108" t="str">
        <f>inputPrYr!B19</f>
        <v>Health</v>
      </c>
      <c r="C9" s="353">
        <v>67532</v>
      </c>
      <c r="D9" s="670">
        <f t="shared" si="1"/>
        <v>0.876270107990053</v>
      </c>
      <c r="E9" s="350">
        <f t="shared" si="0"/>
        <v>3859</v>
      </c>
      <c r="F9" s="142"/>
    </row>
    <row r="10" spans="1:6" ht="15.75">
      <c r="A10" s="90"/>
      <c r="B10" s="108" t="str">
        <f>inputPrYr!B20</f>
        <v>Noxious Weed</v>
      </c>
      <c r="C10" s="353">
        <v>109353</v>
      </c>
      <c r="D10" s="670">
        <f t="shared" si="1"/>
        <v>1.418923845273889</v>
      </c>
      <c r="E10" s="350">
        <f t="shared" si="0"/>
        <v>6248</v>
      </c>
      <c r="F10" s="142"/>
    </row>
    <row r="11" spans="1:6" ht="15.75">
      <c r="A11" s="90"/>
      <c r="B11" s="108" t="str">
        <f>inputPrYr!B21</f>
        <v>Courthouse Maintenance</v>
      </c>
      <c r="C11" s="353">
        <v>72903</v>
      </c>
      <c r="D11" s="670">
        <f t="shared" si="1"/>
        <v>0.9459622058105615</v>
      </c>
      <c r="E11" s="350">
        <f t="shared" si="0"/>
        <v>4165</v>
      </c>
      <c r="F11" s="142"/>
    </row>
    <row r="12" spans="1:6" ht="15.75">
      <c r="A12" s="90"/>
      <c r="B12" s="108" t="str">
        <f>inputPrYr!B22</f>
        <v>Historical</v>
      </c>
      <c r="C12" s="671">
        <v>36451</v>
      </c>
      <c r="D12" s="670">
        <f t="shared" si="1"/>
        <v>0.4729746150912963</v>
      </c>
      <c r="E12" s="350">
        <f t="shared" si="0"/>
        <v>2083</v>
      </c>
      <c r="F12" s="142"/>
    </row>
    <row r="13" spans="1:6" ht="15.75">
      <c r="A13" s="90"/>
      <c r="B13" s="108" t="str">
        <f>inputPrYr!B23</f>
        <v>Employee Benefits</v>
      </c>
      <c r="C13" s="671">
        <v>1416109</v>
      </c>
      <c r="D13" s="670">
        <f t="shared" si="1"/>
        <v>18.374903547291446</v>
      </c>
      <c r="E13" s="350">
        <f t="shared" si="0"/>
        <v>80911</v>
      </c>
      <c r="F13" s="142"/>
    </row>
    <row r="14" spans="1:6" ht="15.75">
      <c r="A14" s="90"/>
      <c r="B14" s="108" t="str">
        <f>inputPrYr!B24</f>
        <v>Economic Development</v>
      </c>
      <c r="C14" s="671">
        <v>72903</v>
      </c>
      <c r="D14" s="670">
        <f t="shared" si="1"/>
        <v>0.9459622058105615</v>
      </c>
      <c r="E14" s="350">
        <f t="shared" si="0"/>
        <v>4165</v>
      </c>
      <c r="F14" s="142"/>
    </row>
    <row r="15" spans="1:6" ht="15.75">
      <c r="A15" s="90"/>
      <c r="B15" s="108" t="str">
        <f>inputPrYr!B25</f>
        <v>Special Bridge</v>
      </c>
      <c r="C15" s="671">
        <v>72903</v>
      </c>
      <c r="D15" s="670">
        <f t="shared" si="1"/>
        <v>0.9459622058105615</v>
      </c>
      <c r="E15" s="350">
        <f t="shared" si="0"/>
        <v>4165</v>
      </c>
      <c r="F15" s="142"/>
    </row>
    <row r="16" spans="1:6" ht="15.75">
      <c r="A16" s="90"/>
      <c r="B16" s="108" t="str">
        <f>inputPrYr!B26</f>
        <v> </v>
      </c>
      <c r="C16" s="671"/>
      <c r="D16" s="670">
        <f t="shared" si="1"/>
      </c>
      <c r="E16" s="350">
        <f t="shared" si="0"/>
      </c>
      <c r="F16" s="142"/>
    </row>
    <row r="17" spans="1:6" ht="15.75">
      <c r="A17" s="90"/>
      <c r="B17" s="108" t="str">
        <f>inputPrYr!B27</f>
        <v> </v>
      </c>
      <c r="C17" s="671"/>
      <c r="D17" s="670">
        <f t="shared" si="1"/>
      </c>
      <c r="E17" s="350">
        <f t="shared" si="0"/>
      </c>
      <c r="F17" s="142"/>
    </row>
    <row r="18" spans="1:6" ht="15.75">
      <c r="A18" s="90"/>
      <c r="B18" s="108" t="str">
        <f>inputPrYr!B28</f>
        <v> </v>
      </c>
      <c r="C18" s="671"/>
      <c r="D18" s="670">
        <f t="shared" si="1"/>
      </c>
      <c r="E18" s="350">
        <f t="shared" si="0"/>
      </c>
      <c r="F18" s="142"/>
    </row>
    <row r="19" spans="1:6" ht="15.75">
      <c r="A19" s="90"/>
      <c r="B19" s="108" t="str">
        <f>inputPrYr!B29</f>
        <v> </v>
      </c>
      <c r="C19" s="671"/>
      <c r="D19" s="670">
        <f t="shared" si="1"/>
      </c>
      <c r="E19" s="350">
        <f t="shared" si="0"/>
      </c>
      <c r="F19" s="142"/>
    </row>
    <row r="20" spans="1:6" ht="15.75">
      <c r="A20" s="90"/>
      <c r="B20" s="108" t="str">
        <f>inputPrYr!B30</f>
        <v> </v>
      </c>
      <c r="C20" s="671"/>
      <c r="D20" s="670">
        <f t="shared" si="1"/>
      </c>
      <c r="E20" s="350">
        <f t="shared" si="0"/>
      </c>
      <c r="F20" s="142"/>
    </row>
    <row r="21" spans="1:6" ht="15.75">
      <c r="A21" s="90"/>
      <c r="B21" s="108" t="str">
        <f>inputPrYr!B31</f>
        <v> </v>
      </c>
      <c r="C21" s="671"/>
      <c r="D21" s="670">
        <f t="shared" si="1"/>
      </c>
      <c r="E21" s="350">
        <f t="shared" si="0"/>
      </c>
      <c r="F21" s="142"/>
    </row>
    <row r="22" spans="1:6" ht="15.75">
      <c r="A22" s="90"/>
      <c r="B22" s="108" t="str">
        <f>inputPrYr!B32</f>
        <v> </v>
      </c>
      <c r="C22" s="671"/>
      <c r="D22" s="670">
        <f t="shared" si="1"/>
      </c>
      <c r="E22" s="350">
        <f t="shared" si="0"/>
      </c>
      <c r="F22" s="142"/>
    </row>
    <row r="23" spans="1:6" ht="15.75">
      <c r="A23" s="90"/>
      <c r="B23" s="108" t="str">
        <f>inputPrYr!B33</f>
        <v> </v>
      </c>
      <c r="C23" s="671"/>
      <c r="D23" s="670">
        <f t="shared" si="1"/>
      </c>
      <c r="E23" s="350">
        <f t="shared" si="0"/>
      </c>
      <c r="F23" s="142"/>
    </row>
    <row r="24" spans="1:6" ht="15.75">
      <c r="A24" s="90"/>
      <c r="B24" s="108" t="str">
        <f>inputPrYr!B34</f>
        <v> </v>
      </c>
      <c r="C24" s="671"/>
      <c r="D24" s="670">
        <f t="shared" si="1"/>
      </c>
      <c r="E24" s="350">
        <f t="shared" si="0"/>
      </c>
      <c r="F24" s="142"/>
    </row>
    <row r="25" spans="1:6" ht="15.75">
      <c r="A25" s="90"/>
      <c r="B25" s="108" t="str">
        <f>inputPrYr!B35</f>
        <v> </v>
      </c>
      <c r="C25" s="671"/>
      <c r="D25" s="670">
        <f t="shared" si="1"/>
      </c>
      <c r="E25" s="350">
        <f t="shared" si="0"/>
      </c>
      <c r="F25" s="142"/>
    </row>
    <row r="26" spans="1:6" ht="15.75">
      <c r="A26" s="90"/>
      <c r="B26" s="108" t="str">
        <f>inputPrYr!B36</f>
        <v> </v>
      </c>
      <c r="C26" s="671"/>
      <c r="D26" s="670">
        <f t="shared" si="1"/>
      </c>
      <c r="E26" s="350">
        <f t="shared" si="0"/>
      </c>
      <c r="F26" s="142"/>
    </row>
    <row r="27" spans="1:6" ht="15.75">
      <c r="A27" s="90"/>
      <c r="B27" s="108" t="str">
        <f>inputPrYr!B37</f>
        <v> </v>
      </c>
      <c r="C27" s="671"/>
      <c r="D27" s="670">
        <f t="shared" si="1"/>
      </c>
      <c r="E27" s="350">
        <f t="shared" si="0"/>
      </c>
      <c r="F27" s="142"/>
    </row>
    <row r="28" spans="1:6" ht="15.75">
      <c r="A28" s="90"/>
      <c r="B28" s="108" t="str">
        <f>inputPrYr!B38</f>
        <v> </v>
      </c>
      <c r="C28" s="671"/>
      <c r="D28" s="670">
        <f t="shared" si="1"/>
      </c>
      <c r="E28" s="350">
        <f t="shared" si="0"/>
      </c>
      <c r="F28" s="142"/>
    </row>
    <row r="29" spans="1:6" ht="15.75">
      <c r="A29" s="90"/>
      <c r="B29" s="108" t="str">
        <f>inputPrYr!B39</f>
        <v> </v>
      </c>
      <c r="C29" s="671"/>
      <c r="D29" s="670">
        <f t="shared" si="1"/>
      </c>
      <c r="E29" s="350">
        <f t="shared" si="0"/>
      </c>
      <c r="F29" s="142"/>
    </row>
    <row r="30" spans="1:6" ht="15.75">
      <c r="A30" s="90"/>
      <c r="B30" s="108" t="str">
        <f>inputPrYr!B40</f>
        <v> </v>
      </c>
      <c r="C30" s="671"/>
      <c r="D30" s="670">
        <f t="shared" si="1"/>
      </c>
      <c r="E30" s="350">
        <f t="shared" si="0"/>
      </c>
      <c r="F30" s="142"/>
    </row>
    <row r="31" spans="1:6" ht="16.5" thickBot="1">
      <c r="A31" s="90"/>
      <c r="B31" s="113" t="s">
        <v>116</v>
      </c>
      <c r="C31" s="672">
        <f>SUM(C6:C30)</f>
        <v>4299709</v>
      </c>
      <c r="D31" s="673">
        <f>SUM(D6:D30)</f>
        <v>55.791424358168015</v>
      </c>
      <c r="E31" s="672">
        <f>SUM(E6:E30)</f>
        <v>245668</v>
      </c>
      <c r="F31" s="142"/>
    </row>
    <row r="32" spans="1:6" ht="16.5" thickTop="1">
      <c r="A32" s="90"/>
      <c r="B32" s="90"/>
      <c r="C32" s="90"/>
      <c r="D32" s="90"/>
      <c r="E32" s="90"/>
      <c r="F32" s="142"/>
    </row>
    <row r="33" spans="1:6" ht="15.75">
      <c r="A33" s="90"/>
      <c r="B33" s="90"/>
      <c r="C33" s="90"/>
      <c r="D33" s="90"/>
      <c r="E33" s="90"/>
      <c r="F33" s="142"/>
    </row>
    <row r="34" spans="1:6" ht="15.75">
      <c r="A34" s="751" t="str">
        <f>CONCATENATE("",F1-1," July 1 Valuation:")</f>
        <v>2011 July 1 Valuation:</v>
      </c>
      <c r="B34" s="728"/>
      <c r="C34" s="751"/>
      <c r="D34" s="409">
        <f>inputOth!E6</f>
        <v>77067561</v>
      </c>
      <c r="E34" s="90"/>
      <c r="F34" s="142"/>
    </row>
    <row r="35" spans="1:6" ht="15.75">
      <c r="A35" s="90"/>
      <c r="B35" s="90"/>
      <c r="C35" s="90"/>
      <c r="D35" s="90"/>
      <c r="E35" s="90"/>
      <c r="F35" s="142"/>
    </row>
    <row r="36" spans="1:6" ht="15.75">
      <c r="A36" s="90"/>
      <c r="B36" s="751" t="s">
        <v>645</v>
      </c>
      <c r="C36" s="751"/>
      <c r="D36" s="410">
        <f>IF(D34&gt;0,(D34*0.001),"")</f>
        <v>77067.561</v>
      </c>
      <c r="E36" s="90"/>
      <c r="F36" s="142"/>
    </row>
    <row r="37" spans="1:6" ht="15.75">
      <c r="A37" s="90"/>
      <c r="B37" s="298"/>
      <c r="C37" s="298"/>
      <c r="D37" s="411"/>
      <c r="E37" s="90"/>
      <c r="F37" s="142"/>
    </row>
    <row r="38" spans="1:6" ht="15.75">
      <c r="A38" s="749" t="s">
        <v>646</v>
      </c>
      <c r="B38" s="703"/>
      <c r="C38" s="703"/>
      <c r="D38" s="412">
        <f>inputOth!E12</f>
        <v>4403340</v>
      </c>
      <c r="E38" s="159"/>
      <c r="F38" s="159"/>
    </row>
    <row r="39" spans="1:6" ht="15">
      <c r="A39" s="159"/>
      <c r="B39" s="159"/>
      <c r="C39" s="159"/>
      <c r="D39" s="413"/>
      <c r="E39" s="159"/>
      <c r="F39" s="159"/>
    </row>
    <row r="40" spans="1:6" ht="15.75">
      <c r="A40" s="159"/>
      <c r="B40" s="749" t="s">
        <v>647</v>
      </c>
      <c r="C40" s="728"/>
      <c r="D40" s="414">
        <f>IF(D38&gt;0,(D38*0.001),"")</f>
        <v>4403.34</v>
      </c>
      <c r="E40" s="159"/>
      <c r="F40" s="159"/>
    </row>
    <row r="41" spans="1:6" ht="15">
      <c r="A41" s="159"/>
      <c r="B41" s="159"/>
      <c r="C41" s="159"/>
      <c r="D41" s="159"/>
      <c r="E41" s="159"/>
      <c r="F41" s="159"/>
    </row>
    <row r="42" spans="1:6" ht="15">
      <c r="A42" s="159"/>
      <c r="B42" s="159"/>
      <c r="C42" s="159"/>
      <c r="D42" s="159"/>
      <c r="E42" s="159"/>
      <c r="F42" s="159"/>
    </row>
    <row r="43" spans="1:6" ht="15.75">
      <c r="A43" s="29" t="str">
        <f>CONCATENATE("**This information comes from the ",F1," Budget Summary page.  See instructions tab #11 for completing")</f>
        <v>**This information comes from the 2012 Budget Summary page.  See instructions tab #11 for completing</v>
      </c>
      <c r="B43" s="159"/>
      <c r="C43" s="159"/>
      <c r="D43" s="159"/>
      <c r="E43" s="159"/>
      <c r="F43" s="159"/>
    </row>
    <row r="44" spans="1:6" ht="15.75">
      <c r="A44" s="29" t="s">
        <v>39</v>
      </c>
      <c r="B44" s="159"/>
      <c r="C44" s="159"/>
      <c r="D44" s="159"/>
      <c r="E44" s="159"/>
      <c r="F44" s="159"/>
    </row>
    <row r="45" spans="1:6" ht="15.75">
      <c r="A45" s="29"/>
      <c r="B45" s="159"/>
      <c r="C45" s="159"/>
      <c r="D45" s="159"/>
      <c r="E45" s="159"/>
      <c r="F45" s="159"/>
    </row>
    <row r="46" spans="1:6" ht="15.75">
      <c r="A46" s="29"/>
      <c r="B46" s="159"/>
      <c r="C46" s="159"/>
      <c r="D46" s="159"/>
      <c r="E46" s="159"/>
      <c r="F46" s="159"/>
    </row>
    <row r="47" spans="1:6" ht="15.75">
      <c r="A47" s="29"/>
      <c r="B47" s="159"/>
      <c r="C47" s="159"/>
      <c r="D47" s="159"/>
      <c r="E47" s="159"/>
      <c r="F47" s="159"/>
    </row>
    <row r="48" spans="1:6" ht="15.75">
      <c r="A48" s="29"/>
      <c r="B48" s="159"/>
      <c r="C48" s="159"/>
      <c r="D48" s="159"/>
      <c r="E48" s="159"/>
      <c r="F48" s="159"/>
    </row>
    <row r="49" spans="1:6" ht="15">
      <c r="A49" s="159"/>
      <c r="B49" s="159"/>
      <c r="C49" s="159"/>
      <c r="D49" s="159"/>
      <c r="E49" s="159"/>
      <c r="F49" s="159"/>
    </row>
    <row r="50" spans="1:6" ht="15">
      <c r="A50" s="159"/>
      <c r="B50" s="159"/>
      <c r="C50" s="159"/>
      <c r="D50" s="159"/>
      <c r="E50" s="159"/>
      <c r="F50" s="159"/>
    </row>
    <row r="51" spans="1:6" ht="15.75">
      <c r="A51" s="159"/>
      <c r="B51" s="333" t="s">
        <v>160</v>
      </c>
      <c r="C51" s="360">
        <v>23</v>
      </c>
      <c r="D51" s="159"/>
      <c r="E51" s="159"/>
      <c r="F51" s="159"/>
    </row>
    <row r="52" spans="1:6" ht="15.75">
      <c r="A52" s="142"/>
      <c r="B52" s="90"/>
      <c r="C52" s="90"/>
      <c r="D52" s="415"/>
      <c r="E52" s="142"/>
      <c r="F52" s="142"/>
    </row>
  </sheetData>
  <sheetProtection/>
  <mergeCells count="5">
    <mergeCell ref="B40:C40"/>
    <mergeCell ref="B3:E3"/>
    <mergeCell ref="A34:C34"/>
    <mergeCell ref="B36:C36"/>
    <mergeCell ref="A38:C38"/>
  </mergeCells>
  <printOptions/>
  <pageMargins left="0.75" right="0.75" top="1" bottom="1" header="0.5" footer="0.5"/>
  <pageSetup blackAndWhite="1" fitToHeight="1" fitToWidth="1" horizontalDpi="600" verticalDpi="600" orientation="portrait" scale="73" r:id="rId1"/>
  <headerFooter alignWithMargins="0">
    <oddHeader>&amp;RState of Kansas
County</oddHeader>
  </headerFooter>
</worksheet>
</file>

<file path=xl/worksheets/sheet3.xml><?xml version="1.0" encoding="utf-8"?>
<worksheet xmlns="http://schemas.openxmlformats.org/spreadsheetml/2006/main" xmlns:r="http://schemas.openxmlformats.org/officeDocument/2006/relationships">
  <dimension ref="A1:F71"/>
  <sheetViews>
    <sheetView tabSelected="1" zoomScalePageLayoutView="0" workbookViewId="0" topLeftCell="A1">
      <selection activeCell="F49" sqref="F49"/>
    </sheetView>
  </sheetViews>
  <sheetFormatPr defaultColWidth="8.796875" defaultRowHeight="15"/>
  <cols>
    <col min="1" max="1" width="15.796875" style="77" customWidth="1"/>
    <col min="2" max="2" width="20.796875" style="77" customWidth="1"/>
    <col min="3" max="3" width="9.796875" style="77" customWidth="1"/>
    <col min="4" max="4" width="15.296875" style="77" customWidth="1"/>
    <col min="5" max="5" width="15.796875" style="77" customWidth="1"/>
    <col min="6" max="16384" width="8.8984375" style="77" customWidth="1"/>
  </cols>
  <sheetData>
    <row r="1" spans="1:5" ht="15.75">
      <c r="A1" s="149" t="str">
        <f>inputPrYr!C2</f>
        <v>Clay County</v>
      </c>
      <c r="B1" s="130"/>
      <c r="C1" s="130"/>
      <c r="D1" s="130"/>
      <c r="E1" s="130">
        <f>inputPrYr!C4</f>
        <v>2012</v>
      </c>
    </row>
    <row r="2" spans="1:5" ht="15.75">
      <c r="A2" s="149"/>
      <c r="B2" s="130"/>
      <c r="C2" s="130"/>
      <c r="D2" s="130"/>
      <c r="E2" s="130"/>
    </row>
    <row r="3" spans="1:5" ht="15.75">
      <c r="A3" s="681" t="s">
        <v>851</v>
      </c>
      <c r="B3" s="682"/>
      <c r="C3" s="682"/>
      <c r="D3" s="682"/>
      <c r="E3" s="682"/>
    </row>
    <row r="4" spans="1:5" ht="15.75">
      <c r="A4" s="130"/>
      <c r="B4" s="130"/>
      <c r="C4" s="130"/>
      <c r="D4" s="130"/>
      <c r="E4" s="130"/>
    </row>
    <row r="5" spans="1:5" ht="15.75">
      <c r="A5" s="129" t="str">
        <f>CONCATENATE("From the County Clerks ",E1," Budget Information:")</f>
        <v>From the County Clerks 2012 Budget Information:</v>
      </c>
      <c r="B5" s="131"/>
      <c r="C5" s="100"/>
      <c r="D5" s="90"/>
      <c r="E5" s="150"/>
    </row>
    <row r="6" spans="1:5" ht="15.75">
      <c r="A6" s="151" t="str">
        <f>CONCATENATE("Total Assessed Valuation for ",E1-1,"")</f>
        <v>Total Assessed Valuation for 2011</v>
      </c>
      <c r="B6" s="137"/>
      <c r="C6" s="137"/>
      <c r="D6" s="137"/>
      <c r="E6" s="117">
        <v>77067561</v>
      </c>
    </row>
    <row r="7" spans="1:5" ht="15.75">
      <c r="A7" s="151" t="str">
        <f>CONCATENATE("New Improvements for ",E1-1,"")</f>
        <v>New Improvements for 2011</v>
      </c>
      <c r="B7" s="137"/>
      <c r="C7" s="137"/>
      <c r="D7" s="137"/>
      <c r="E7" s="152">
        <v>1377522</v>
      </c>
    </row>
    <row r="8" spans="1:5" ht="15.75">
      <c r="A8" s="151" t="str">
        <f>CONCATENATE("Personal Property excluding oil, gas, and mobile homes- ",E1-1,"")</f>
        <v>Personal Property excluding oil, gas, and mobile homes- 2011</v>
      </c>
      <c r="B8" s="137"/>
      <c r="C8" s="137"/>
      <c r="D8" s="137"/>
      <c r="E8" s="152">
        <v>2510289</v>
      </c>
    </row>
    <row r="9" spans="1:5" ht="15.75">
      <c r="A9" s="151" t="str">
        <f>CONCATENATE("Property that has changed in use for ",E1-1,"")</f>
        <v>Property that has changed in use for 2011</v>
      </c>
      <c r="B9" s="137"/>
      <c r="C9" s="137"/>
      <c r="D9" s="137"/>
      <c r="E9" s="152">
        <v>529634</v>
      </c>
    </row>
    <row r="10" spans="1:5" ht="15.75">
      <c r="A10" s="151" t="str">
        <f>CONCATENATE("Personal Property excluding oil, gas, and mobile homes- ",E1-2,"")</f>
        <v>Personal Property excluding oil, gas, and mobile homes- 2010</v>
      </c>
      <c r="B10" s="137"/>
      <c r="C10" s="137"/>
      <c r="D10" s="137"/>
      <c r="E10" s="152">
        <v>2370722</v>
      </c>
    </row>
    <row r="11" spans="1:5" ht="15.75">
      <c r="A11" s="151" t="str">
        <f>CONCATENATE("Gross earnings (intangible) tax esitmate for ",E1,"")</f>
        <v>Gross earnings (intangible) tax esitmate for 2012</v>
      </c>
      <c r="B11" s="137"/>
      <c r="C11" s="137"/>
      <c r="D11" s="137"/>
      <c r="E11" s="117">
        <v>40083</v>
      </c>
    </row>
    <row r="12" spans="1:6" ht="15.75">
      <c r="A12" s="153" t="s">
        <v>301</v>
      </c>
      <c r="B12" s="137"/>
      <c r="C12" s="137"/>
      <c r="D12" s="120"/>
      <c r="E12" s="117">
        <v>4403340</v>
      </c>
      <c r="F12" s="77">
        <v>4403340</v>
      </c>
    </row>
    <row r="13" spans="1:5" ht="15.75">
      <c r="A13" s="90"/>
      <c r="B13" s="90"/>
      <c r="C13" s="90"/>
      <c r="D13" s="106"/>
      <c r="E13" s="106"/>
    </row>
    <row r="14" spans="1:5" ht="15.75">
      <c r="A14" s="129" t="str">
        <f>CONCATENATE("From the County Treasurer's ",E1," Budget Information:")</f>
        <v>From the County Treasurer's 2012 Budget Information:</v>
      </c>
      <c r="B14" s="131"/>
      <c r="C14" s="131"/>
      <c r="D14" s="150"/>
      <c r="E14" s="150"/>
    </row>
    <row r="15" spans="1:5" ht="15.75">
      <c r="A15" s="118" t="s">
        <v>442</v>
      </c>
      <c r="B15" s="119"/>
      <c r="C15" s="119"/>
      <c r="D15" s="154"/>
      <c r="E15" s="117">
        <v>498851</v>
      </c>
    </row>
    <row r="16" spans="1:5" ht="15.75">
      <c r="A16" s="151" t="s">
        <v>97</v>
      </c>
      <c r="B16" s="137"/>
      <c r="C16" s="137"/>
      <c r="D16" s="155"/>
      <c r="E16" s="117">
        <v>8181</v>
      </c>
    </row>
    <row r="17" spans="1:5" ht="15.75">
      <c r="A17" s="151" t="s">
        <v>216</v>
      </c>
      <c r="B17" s="137"/>
      <c r="C17" s="137"/>
      <c r="D17" s="155"/>
      <c r="E17" s="117">
        <v>45018</v>
      </c>
    </row>
    <row r="18" spans="1:5" ht="15.75">
      <c r="A18" s="151" t="s">
        <v>302</v>
      </c>
      <c r="B18" s="137"/>
      <c r="C18" s="137"/>
      <c r="D18" s="156"/>
      <c r="E18" s="117">
        <v>0</v>
      </c>
    </row>
    <row r="19" spans="1:5" ht="15.75">
      <c r="A19" s="151" t="s">
        <v>303</v>
      </c>
      <c r="B19" s="137"/>
      <c r="C19" s="137"/>
      <c r="D19" s="156"/>
      <c r="E19" s="117">
        <v>0</v>
      </c>
    </row>
    <row r="20" spans="1:5" ht="15.75">
      <c r="A20" s="153" t="s">
        <v>304</v>
      </c>
      <c r="B20" s="137"/>
      <c r="C20" s="137"/>
      <c r="D20" s="155"/>
      <c r="E20" s="117">
        <v>0</v>
      </c>
    </row>
    <row r="21" spans="1:5" ht="15.75">
      <c r="A21" s="90"/>
      <c r="B21" s="90"/>
      <c r="C21" s="90"/>
      <c r="D21" s="90"/>
      <c r="E21" s="90"/>
    </row>
    <row r="22" spans="1:5" ht="15.75">
      <c r="A22" s="157" t="s">
        <v>305</v>
      </c>
      <c r="B22" s="90"/>
      <c r="C22" s="90"/>
      <c r="D22" s="90"/>
      <c r="E22" s="90"/>
    </row>
    <row r="23" spans="1:5" ht="15.75">
      <c r="A23" s="158" t="str">
        <f>CONCATENATE("Actual Delinquency for ",E1-3," Tax - (round to three decimal places)")</f>
        <v>Actual Delinquency for 2009 Tax - (round to three decimal places)</v>
      </c>
      <c r="B23" s="119"/>
      <c r="C23" s="119"/>
      <c r="D23" s="124"/>
      <c r="E23" s="472">
        <v>0.66</v>
      </c>
    </row>
    <row r="24" spans="1:5" ht="15.75">
      <c r="A24" s="119" t="s">
        <v>306</v>
      </c>
      <c r="B24" s="119"/>
      <c r="C24" s="119"/>
      <c r="D24" s="119"/>
      <c r="E24" s="473">
        <v>0</v>
      </c>
    </row>
    <row r="25" spans="1:5" ht="15.75">
      <c r="A25" s="87" t="s">
        <v>307</v>
      </c>
      <c r="B25" s="87"/>
      <c r="C25" s="87"/>
      <c r="D25" s="87"/>
      <c r="E25" s="87"/>
    </row>
    <row r="26" spans="1:5" ht="15.75">
      <c r="A26" s="159"/>
      <c r="B26" s="159"/>
      <c r="C26" s="159"/>
      <c r="D26" s="159"/>
      <c r="E26" s="159"/>
    </row>
    <row r="27" spans="1:5" ht="15.75">
      <c r="A27" s="685" t="str">
        <f>CONCATENATE("From the ",E1-2," Budget Certificate Page")</f>
        <v>From the 2010 Budget Certificate Page</v>
      </c>
      <c r="B27" s="686"/>
      <c r="C27" s="159"/>
      <c r="D27" s="159"/>
      <c r="E27" s="159"/>
    </row>
    <row r="28" spans="1:5" ht="15.75">
      <c r="A28" s="160"/>
      <c r="B28" s="687" t="str">
        <f>CONCATENATE("",E1-2,"                         Expenditure Amt Budget Authority")</f>
        <v>2010                         Expenditure Amt Budget Authority</v>
      </c>
      <c r="C28" s="690" t="str">
        <f>CONCATENATE("Note: If the ",E1-2," budget was amended, then the")</f>
        <v>Note: If the 2010 budget was amended, then the</v>
      </c>
      <c r="D28" s="691"/>
      <c r="E28" s="691"/>
    </row>
    <row r="29" spans="1:5" ht="15.75">
      <c r="A29" s="161" t="s">
        <v>865</v>
      </c>
      <c r="B29" s="688"/>
      <c r="C29" s="162" t="s">
        <v>866</v>
      </c>
      <c r="D29" s="163"/>
      <c r="E29" s="163"/>
    </row>
    <row r="30" spans="1:5" ht="15.75">
      <c r="A30" s="164"/>
      <c r="B30" s="689"/>
      <c r="C30" s="162" t="s">
        <v>867</v>
      </c>
      <c r="D30" s="163"/>
      <c r="E30" s="163"/>
    </row>
    <row r="31" spans="1:5" ht="15.75">
      <c r="A31" s="165" t="str">
        <f>inputPrYr!B16</f>
        <v>General</v>
      </c>
      <c r="B31" s="166">
        <v>3130245</v>
      </c>
      <c r="C31" s="162"/>
      <c r="D31" s="163"/>
      <c r="E31" s="163"/>
    </row>
    <row r="32" spans="1:5" ht="15.75">
      <c r="A32" s="165" t="str">
        <f>inputPrYr!B17</f>
        <v>County Bond &amp; Interest</v>
      </c>
      <c r="B32" s="110">
        <v>235144</v>
      </c>
      <c r="C32" s="162"/>
      <c r="D32" s="163"/>
      <c r="E32" s="163"/>
    </row>
    <row r="33" spans="1:5" ht="15.75">
      <c r="A33" s="165" t="str">
        <f>inputPrYr!B18</f>
        <v>Road &amp; Bridge</v>
      </c>
      <c r="B33" s="110">
        <v>1538244</v>
      </c>
      <c r="C33" s="159"/>
      <c r="D33" s="159"/>
      <c r="E33" s="159"/>
    </row>
    <row r="34" spans="1:5" ht="15.75">
      <c r="A34" s="165" t="str">
        <f>inputPrYr!B19</f>
        <v>Health</v>
      </c>
      <c r="B34" s="110">
        <v>654610</v>
      </c>
      <c r="C34" s="159"/>
      <c r="D34" s="159"/>
      <c r="E34" s="159"/>
    </row>
    <row r="35" spans="1:5" ht="15.75">
      <c r="A35" s="165" t="str">
        <f>inputPrYr!B20</f>
        <v>Noxious Weed</v>
      </c>
      <c r="B35" s="110">
        <v>335079</v>
      </c>
      <c r="C35" s="159"/>
      <c r="D35" s="159"/>
      <c r="E35" s="159"/>
    </row>
    <row r="36" spans="1:5" ht="15.75">
      <c r="A36" s="165" t="str">
        <f>inputPrYr!B21</f>
        <v>Courthouse Maintenance</v>
      </c>
      <c r="B36" s="110">
        <v>422134</v>
      </c>
      <c r="C36" s="159"/>
      <c r="D36" s="159"/>
      <c r="E36" s="159"/>
    </row>
    <row r="37" spans="1:5" ht="15.75">
      <c r="A37" s="165" t="str">
        <f>inputPrYr!B22</f>
        <v>Historical</v>
      </c>
      <c r="B37" s="110">
        <v>42448</v>
      </c>
      <c r="C37" s="159"/>
      <c r="D37" s="159"/>
      <c r="E37" s="159"/>
    </row>
    <row r="38" spans="1:5" ht="15.75">
      <c r="A38" s="165" t="str">
        <f>inputPrYr!B23</f>
        <v>Employee Benefits</v>
      </c>
      <c r="B38" s="110">
        <v>1535298</v>
      </c>
      <c r="C38" s="159"/>
      <c r="D38" s="159"/>
      <c r="E38" s="159"/>
    </row>
    <row r="39" spans="1:5" ht="15.75">
      <c r="A39" s="165" t="str">
        <f>inputPrYr!B24</f>
        <v>Economic Development</v>
      </c>
      <c r="B39" s="110">
        <v>309042</v>
      </c>
      <c r="C39" s="159"/>
      <c r="D39" s="159"/>
      <c r="E39" s="159"/>
    </row>
    <row r="40" spans="1:5" ht="15.75">
      <c r="A40" s="165" t="str">
        <f>inputPrYr!B25</f>
        <v>Special Bridge</v>
      </c>
      <c r="B40" s="110">
        <v>300711</v>
      </c>
      <c r="C40" s="159"/>
      <c r="D40" s="159"/>
      <c r="E40" s="159"/>
    </row>
    <row r="41" spans="1:5" ht="15.75">
      <c r="A41" s="165" t="str">
        <f>inputPrYr!B26</f>
        <v> </v>
      </c>
      <c r="B41" s="110"/>
      <c r="C41" s="159"/>
      <c r="D41" s="159"/>
      <c r="E41" s="159"/>
    </row>
    <row r="42" spans="1:5" ht="15.75">
      <c r="A42" s="165" t="str">
        <f>inputPrYr!B27</f>
        <v> </v>
      </c>
      <c r="B42" s="110"/>
      <c r="C42" s="159"/>
      <c r="D42" s="159"/>
      <c r="E42" s="159"/>
    </row>
    <row r="43" spans="1:5" ht="15.75">
      <c r="A43" s="165" t="str">
        <f>inputPrYr!B28</f>
        <v> </v>
      </c>
      <c r="B43" s="110"/>
      <c r="C43" s="159"/>
      <c r="D43" s="159"/>
      <c r="E43" s="159"/>
    </row>
    <row r="44" spans="1:5" ht="15.75">
      <c r="A44" s="165" t="str">
        <f>inputPrYr!B29</f>
        <v> </v>
      </c>
      <c r="B44" s="110"/>
      <c r="C44" s="159"/>
      <c r="D44" s="159"/>
      <c r="E44" s="159"/>
    </row>
    <row r="45" spans="1:5" ht="15.75">
      <c r="A45" s="165" t="str">
        <f>inputPrYr!B30</f>
        <v> </v>
      </c>
      <c r="B45" s="110"/>
      <c r="C45" s="159"/>
      <c r="D45" s="159"/>
      <c r="E45" s="159"/>
    </row>
    <row r="46" spans="1:5" ht="15.75">
      <c r="A46" s="165" t="str">
        <f>inputPrYr!B31</f>
        <v> </v>
      </c>
      <c r="B46" s="110"/>
      <c r="C46" s="159"/>
      <c r="D46" s="159"/>
      <c r="E46" s="159"/>
    </row>
    <row r="47" spans="1:5" ht="15.75">
      <c r="A47" s="165" t="str">
        <f>inputPrYr!B32</f>
        <v> </v>
      </c>
      <c r="B47" s="110"/>
      <c r="C47" s="159"/>
      <c r="D47" s="159"/>
      <c r="E47" s="159"/>
    </row>
    <row r="48" spans="1:5" ht="15.75">
      <c r="A48" s="165" t="str">
        <f>inputPrYr!B33</f>
        <v> </v>
      </c>
      <c r="B48" s="110"/>
      <c r="C48" s="159"/>
      <c r="D48" s="159"/>
      <c r="E48" s="159"/>
    </row>
    <row r="49" spans="1:5" ht="15.75">
      <c r="A49" s="165" t="str">
        <f>inputPrYr!B34</f>
        <v> </v>
      </c>
      <c r="B49" s="110"/>
      <c r="C49" s="159"/>
      <c r="D49" s="159"/>
      <c r="E49" s="159"/>
    </row>
    <row r="50" spans="1:5" ht="15.75">
      <c r="A50" s="165" t="str">
        <f>inputPrYr!B35</f>
        <v> </v>
      </c>
      <c r="B50" s="110"/>
      <c r="C50" s="159"/>
      <c r="D50" s="159"/>
      <c r="E50" s="159"/>
    </row>
    <row r="51" spans="1:5" ht="15.75">
      <c r="A51" s="165" t="str">
        <f>inputPrYr!B36</f>
        <v> </v>
      </c>
      <c r="B51" s="110"/>
      <c r="C51" s="159"/>
      <c r="D51" s="159"/>
      <c r="E51" s="159"/>
    </row>
    <row r="52" spans="1:5" ht="15.75">
      <c r="A52" s="165" t="str">
        <f>inputPrYr!B37</f>
        <v> </v>
      </c>
      <c r="B52" s="110"/>
      <c r="C52" s="159"/>
      <c r="D52" s="159"/>
      <c r="E52" s="159"/>
    </row>
    <row r="53" spans="1:5" ht="15.75">
      <c r="A53" s="165" t="str">
        <f>inputPrYr!B38</f>
        <v> </v>
      </c>
      <c r="B53" s="110"/>
      <c r="C53" s="159"/>
      <c r="D53" s="159"/>
      <c r="E53" s="159"/>
    </row>
    <row r="54" spans="1:5" ht="15.75">
      <c r="A54" s="165" t="str">
        <f>inputPrYr!B39</f>
        <v> </v>
      </c>
      <c r="B54" s="110"/>
      <c r="C54" s="159"/>
      <c r="D54" s="159"/>
      <c r="E54" s="159"/>
    </row>
    <row r="55" spans="1:5" ht="15.75">
      <c r="A55" s="165" t="str">
        <f>inputPrYr!B40</f>
        <v> </v>
      </c>
      <c r="B55" s="110"/>
      <c r="C55" s="159"/>
      <c r="D55" s="159"/>
      <c r="E55" s="159"/>
    </row>
    <row r="56" spans="1:5" ht="15.75">
      <c r="A56" s="165" t="str">
        <f>inputPrYr!B43</f>
        <v>Special Parks &amp; Recreation</v>
      </c>
      <c r="B56" s="110">
        <v>10097</v>
      </c>
      <c r="C56" s="159"/>
      <c r="D56" s="159"/>
      <c r="E56" s="159"/>
    </row>
    <row r="57" spans="1:5" ht="15.75">
      <c r="A57" s="165" t="str">
        <f>inputPrYr!B44</f>
        <v>Special Alcohol</v>
      </c>
      <c r="B57" s="110">
        <v>35879</v>
      </c>
      <c r="C57" s="159"/>
      <c r="D57" s="159"/>
      <c r="E57" s="159"/>
    </row>
    <row r="58" spans="1:5" ht="15.75">
      <c r="A58" s="165" t="str">
        <f>inputPrYr!B45</f>
        <v>Bridge Improvement Sales Tax</v>
      </c>
      <c r="B58" s="110">
        <v>451051</v>
      </c>
      <c r="C58" s="159"/>
      <c r="D58" s="159"/>
      <c r="E58" s="159"/>
    </row>
    <row r="59" spans="1:5" ht="15.75">
      <c r="A59" s="165" t="str">
        <f>inputPrYr!B46</f>
        <v>Noxious Weed Capital Outlay</v>
      </c>
      <c r="B59" s="110">
        <v>103458</v>
      </c>
      <c r="C59" s="159"/>
      <c r="D59" s="159"/>
      <c r="E59" s="159"/>
    </row>
    <row r="60" spans="1:5" ht="15.75">
      <c r="A60" s="165" t="str">
        <f>inputPrYr!B47</f>
        <v>Solid Waste</v>
      </c>
      <c r="B60" s="110">
        <v>432730</v>
      </c>
      <c r="C60" s="159"/>
      <c r="D60" s="159"/>
      <c r="E60" s="159"/>
    </row>
    <row r="61" spans="1:5" ht="15.75">
      <c r="A61" s="165" t="str">
        <f>inputPrYr!B48</f>
        <v>Solid Waste Capital Outlay</v>
      </c>
      <c r="B61" s="110">
        <v>181236</v>
      </c>
      <c r="C61" s="159"/>
      <c r="D61" s="159"/>
      <c r="E61" s="159"/>
    </row>
    <row r="62" spans="1:5" ht="15.75">
      <c r="A62" s="165" t="str">
        <f>inputPrYr!B49</f>
        <v>Emergency 911</v>
      </c>
      <c r="B62" s="110">
        <v>111268</v>
      </c>
      <c r="C62" s="159"/>
      <c r="D62" s="159"/>
      <c r="E62" s="159"/>
    </row>
    <row r="63" spans="1:5" ht="15.75">
      <c r="A63" s="165" t="str">
        <f>inputPrYr!B50</f>
        <v>Cell Phone 911</v>
      </c>
      <c r="B63" s="110">
        <v>75747</v>
      </c>
      <c r="C63" s="159"/>
      <c r="D63" s="159"/>
      <c r="E63" s="159"/>
    </row>
    <row r="64" spans="1:5" ht="15.75">
      <c r="A64" s="165" t="str">
        <f>inputPrYr!B51</f>
        <v>Convention &amp; Tourism</v>
      </c>
      <c r="B64" s="110"/>
      <c r="C64" s="159"/>
      <c r="D64" s="159"/>
      <c r="E64" s="159"/>
    </row>
    <row r="65" spans="1:5" ht="15.75">
      <c r="A65" s="165" t="str">
        <f>inputPrYr!B52</f>
        <v> </v>
      </c>
      <c r="B65" s="110"/>
      <c r="C65" s="159"/>
      <c r="D65" s="159"/>
      <c r="E65" s="159"/>
    </row>
    <row r="66" spans="1:5" ht="15.75">
      <c r="A66" s="165" t="str">
        <f>inputPrYr!B53</f>
        <v> </v>
      </c>
      <c r="B66" s="110"/>
      <c r="C66" s="159"/>
      <c r="D66" s="159"/>
      <c r="E66" s="159"/>
    </row>
    <row r="67" spans="1:5" ht="15.75">
      <c r="A67" s="165" t="str">
        <f>inputPrYr!B54</f>
        <v> </v>
      </c>
      <c r="B67" s="110"/>
      <c r="C67" s="159"/>
      <c r="D67" s="159"/>
      <c r="E67" s="159"/>
    </row>
    <row r="68" spans="1:5" ht="15.75">
      <c r="A68" s="165" t="str">
        <f>inputPrYr!B55</f>
        <v> </v>
      </c>
      <c r="B68" s="110"/>
      <c r="C68" s="159"/>
      <c r="D68" s="159"/>
      <c r="E68" s="159"/>
    </row>
    <row r="69" spans="1:5" ht="15.75">
      <c r="A69" s="165" t="str">
        <f>inputPrYr!B56</f>
        <v> </v>
      </c>
      <c r="B69" s="110"/>
      <c r="C69" s="159"/>
      <c r="D69" s="159"/>
      <c r="E69" s="159"/>
    </row>
    <row r="70" spans="1:5" ht="15.75">
      <c r="A70" s="165" t="str">
        <f>inputPrYr!B57</f>
        <v> </v>
      </c>
      <c r="B70" s="110"/>
      <c r="C70" s="159"/>
      <c r="D70" s="159"/>
      <c r="E70" s="159"/>
    </row>
    <row r="71" spans="1:5" ht="15.75">
      <c r="A71" s="165" t="str">
        <f>inputPrYr!B58</f>
        <v> </v>
      </c>
      <c r="B71" s="110"/>
      <c r="C71" s="159"/>
      <c r="D71" s="159"/>
      <c r="E71" s="159"/>
    </row>
  </sheetData>
  <sheetProtection/>
  <mergeCells count="4">
    <mergeCell ref="A3:E3"/>
    <mergeCell ref="A27:B27"/>
    <mergeCell ref="B28:B30"/>
    <mergeCell ref="C28:E28"/>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H57"/>
  <sheetViews>
    <sheetView tabSelected="1" zoomScalePageLayoutView="0" workbookViewId="0" topLeftCell="A16">
      <selection activeCell="F49" sqref="F49"/>
    </sheetView>
  </sheetViews>
  <sheetFormatPr defaultColWidth="9.796875" defaultRowHeight="15"/>
  <cols>
    <col min="1" max="16384" width="9.796875" style="42" customWidth="1"/>
  </cols>
  <sheetData>
    <row r="1" spans="1:8" ht="11.25" customHeight="1">
      <c r="A1" s="38"/>
      <c r="B1" s="39"/>
      <c r="C1" s="39"/>
      <c r="D1" s="39"/>
      <c r="E1" s="39"/>
      <c r="F1" s="39"/>
      <c r="G1" s="40"/>
      <c r="H1" s="41"/>
    </row>
    <row r="2" spans="1:8" ht="15.75" customHeight="1">
      <c r="A2" s="752" t="s">
        <v>267</v>
      </c>
      <c r="B2" s="752"/>
      <c r="C2" s="752"/>
      <c r="D2" s="752"/>
      <c r="E2" s="752"/>
      <c r="F2" s="752"/>
      <c r="G2" s="752"/>
      <c r="H2" s="752"/>
    </row>
    <row r="3" spans="1:8" ht="9" customHeight="1">
      <c r="A3" s="38"/>
      <c r="B3" s="56"/>
      <c r="C3" s="56"/>
      <c r="D3" s="56"/>
      <c r="E3" s="56"/>
      <c r="F3" s="56"/>
      <c r="G3" s="43"/>
      <c r="H3" s="57"/>
    </row>
    <row r="4" spans="1:8" ht="15.75" customHeight="1">
      <c r="A4" s="753" t="s">
        <v>268</v>
      </c>
      <c r="B4" s="753"/>
      <c r="C4" s="753"/>
      <c r="D4" s="753"/>
      <c r="E4" s="753"/>
      <c r="F4" s="753"/>
      <c r="G4" s="753"/>
      <c r="H4" s="753"/>
    </row>
    <row r="5" spans="1:8" ht="9" customHeight="1">
      <c r="A5" s="44"/>
      <c r="B5" s="56"/>
      <c r="C5" s="56"/>
      <c r="D5" s="56"/>
      <c r="E5" s="56"/>
      <c r="F5" s="56"/>
      <c r="G5" s="56"/>
      <c r="H5" s="57"/>
    </row>
    <row r="6" spans="1:8" ht="15.75" customHeight="1">
      <c r="A6" s="45" t="str">
        <f>CONCATENATE("A resolution expressing the property taxation policy of the Board of ",(inputPrYr!C2)," Commissioners")</f>
        <v>A resolution expressing the property taxation policy of the Board of Clay County Commissioners</v>
      </c>
      <c r="B6" s="56"/>
      <c r="C6" s="56"/>
      <c r="D6" s="56"/>
      <c r="E6" s="56"/>
      <c r="F6" s="56"/>
      <c r="G6" s="56"/>
      <c r="H6" s="57"/>
    </row>
    <row r="7" spans="1:8" ht="21" customHeight="1">
      <c r="A7" s="45" t="str">
        <f>CONCATENATE("with respect to financing the ",inputPrYr!C4," annual budget for ",(inputPrYr!E2)," .")</f>
        <v>with respect to financing the 2012 annual budget for  .</v>
      </c>
      <c r="B7" s="56"/>
      <c r="C7" s="56"/>
      <c r="D7" s="56"/>
      <c r="E7" s="56"/>
      <c r="F7" s="56"/>
      <c r="G7" s="56"/>
      <c r="H7" s="57"/>
    </row>
    <row r="8" spans="1:8" ht="9" customHeight="1">
      <c r="A8" s="38"/>
      <c r="B8" s="56"/>
      <c r="C8" s="56"/>
      <c r="D8" s="56"/>
      <c r="E8" s="56"/>
      <c r="F8" s="56"/>
      <c r="G8" s="56"/>
      <c r="H8" s="57"/>
    </row>
    <row r="9" spans="1:8" ht="15.75" customHeight="1">
      <c r="A9" s="46" t="str">
        <f>CONCATENATE("Whereas, K.S.A. 79-2925b provides that a resolution be adopted if property taxes levied to finance the ",inputPrYr!C4,"")</f>
        <v>Whereas, K.S.A. 79-2925b provides that a resolution be adopted if property taxes levied to finance the 2012</v>
      </c>
      <c r="B9" s="56"/>
      <c r="C9" s="56"/>
      <c r="D9" s="56"/>
      <c r="E9" s="56"/>
      <c r="F9" s="56"/>
      <c r="G9" s="56"/>
      <c r="H9" s="57"/>
    </row>
    <row r="10" spans="1:8" ht="15.75" customHeight="1">
      <c r="A10" s="755" t="str">
        <f>CONCATENATE("",(inputPrYr!C2)," budget exceed the amount levied to finance the ",inputPrYr!C4-1," ",(inputPrYr!C2)," ",A16,)</f>
        <v>Clay County budget exceed the amount levied to finance the 2011 Clay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755"/>
      <c r="C10" s="755"/>
      <c r="D10" s="755"/>
      <c r="E10" s="755"/>
      <c r="F10" s="755"/>
      <c r="G10" s="755"/>
      <c r="H10" s="755"/>
    </row>
    <row r="11" spans="1:8" ht="15.75" customHeight="1">
      <c r="A11" s="755"/>
      <c r="B11" s="755"/>
      <c r="C11" s="755"/>
      <c r="D11" s="755"/>
      <c r="E11" s="755"/>
      <c r="F11" s="755"/>
      <c r="G11" s="755"/>
      <c r="H11" s="755"/>
    </row>
    <row r="12" spans="1:8" ht="15.75" customHeight="1">
      <c r="A12" s="755"/>
      <c r="B12" s="755"/>
      <c r="C12" s="755"/>
      <c r="D12" s="755"/>
      <c r="E12" s="755"/>
      <c r="F12" s="755"/>
      <c r="G12" s="755"/>
      <c r="H12" s="755"/>
    </row>
    <row r="13" spans="1:8" ht="15.75" customHeight="1">
      <c r="A13" s="755"/>
      <c r="B13" s="755"/>
      <c r="C13" s="755"/>
      <c r="D13" s="755"/>
      <c r="E13" s="755"/>
      <c r="F13" s="755"/>
      <c r="G13" s="755"/>
      <c r="H13" s="755"/>
    </row>
    <row r="14" spans="1:8" ht="15.75" customHeight="1">
      <c r="A14" s="755"/>
      <c r="B14" s="755"/>
      <c r="C14" s="755"/>
      <c r="D14" s="755"/>
      <c r="E14" s="755"/>
      <c r="F14" s="755"/>
      <c r="G14" s="755"/>
      <c r="H14" s="755"/>
    </row>
    <row r="15" spans="1:8" ht="15.75" customHeight="1">
      <c r="A15" s="755"/>
      <c r="B15" s="755"/>
      <c r="C15" s="755"/>
      <c r="D15" s="755"/>
      <c r="E15" s="755"/>
      <c r="F15" s="755"/>
      <c r="G15" s="755"/>
      <c r="H15" s="755"/>
    </row>
    <row r="16" spans="1:8" ht="9" customHeight="1">
      <c r="A16" s="58" t="s">
        <v>289</v>
      </c>
      <c r="B16" s="56"/>
      <c r="C16" s="56"/>
      <c r="D16" s="56"/>
      <c r="E16" s="56"/>
      <c r="F16" s="56"/>
      <c r="G16" s="56"/>
      <c r="H16" s="57" t="s">
        <v>161</v>
      </c>
    </row>
    <row r="17" spans="1:8" ht="15.75" customHeight="1">
      <c r="A17" s="755" t="s">
        <v>269</v>
      </c>
      <c r="B17" s="755"/>
      <c r="C17" s="755"/>
      <c r="D17" s="755"/>
      <c r="E17" s="755"/>
      <c r="F17" s="755"/>
      <c r="G17" s="755"/>
      <c r="H17" s="755"/>
    </row>
    <row r="18" spans="1:8" ht="15.75" customHeight="1">
      <c r="A18" s="755"/>
      <c r="B18" s="755"/>
      <c r="C18" s="755"/>
      <c r="D18" s="755"/>
      <c r="E18" s="755"/>
      <c r="F18" s="755"/>
      <c r="G18" s="755"/>
      <c r="H18" s="755"/>
    </row>
    <row r="19" spans="1:8" ht="9" customHeight="1">
      <c r="A19" s="44"/>
      <c r="B19" s="56"/>
      <c r="C19" s="56"/>
      <c r="D19" s="56"/>
      <c r="E19" s="56"/>
      <c r="F19" s="56"/>
      <c r="G19" s="56"/>
      <c r="H19" s="57"/>
    </row>
    <row r="20" spans="1:8" ht="15.75" customHeight="1">
      <c r="A20" s="755" t="str">
        <f>CONCATENATE("Whereas, ",(inputPrYr!C2)," provides the essential services to protect the health, safety, and well being of the citizens of the county; and")</f>
        <v>Whereas, Clay County provides the essential services to protect the health, safety, and well being of the citizens of the county; and</v>
      </c>
      <c r="B20" s="755"/>
      <c r="C20" s="755"/>
      <c r="D20" s="755"/>
      <c r="E20" s="755"/>
      <c r="F20" s="755"/>
      <c r="G20" s="755"/>
      <c r="H20" s="755"/>
    </row>
    <row r="21" spans="1:8" ht="15.75" customHeight="1">
      <c r="A21" s="755"/>
      <c r="B21" s="755"/>
      <c r="C21" s="755"/>
      <c r="D21" s="755"/>
      <c r="E21" s="755"/>
      <c r="F21" s="755"/>
      <c r="G21" s="755"/>
      <c r="H21" s="755"/>
    </row>
    <row r="22" spans="1:8" ht="9" customHeight="1">
      <c r="A22" s="47"/>
      <c r="B22" s="56"/>
      <c r="C22" s="56"/>
      <c r="D22" s="56"/>
      <c r="E22" s="56"/>
      <c r="F22" s="56"/>
      <c r="G22" s="56"/>
      <c r="H22" s="57"/>
    </row>
    <row r="23" spans="1:8" ht="15.75" customHeight="1">
      <c r="A23" s="47" t="s">
        <v>270</v>
      </c>
      <c r="B23" s="56"/>
      <c r="C23" s="56"/>
      <c r="D23" s="56"/>
      <c r="E23" s="56"/>
      <c r="F23" s="56"/>
      <c r="G23" s="56"/>
      <c r="H23" s="57"/>
    </row>
    <row r="24" spans="1:8" ht="9" customHeight="1">
      <c r="A24" s="44"/>
      <c r="B24" s="56"/>
      <c r="C24" s="56"/>
      <c r="D24" s="56"/>
      <c r="E24" s="56"/>
      <c r="F24" s="56"/>
      <c r="G24" s="56"/>
      <c r="H24" s="57"/>
    </row>
    <row r="25" spans="1:8" ht="15.75" customHeight="1">
      <c r="A25" s="755" t="str">
        <f>CONCATENATE("Whereas, the ",inputPrYr!C4-1," Kansas State Legislature failed to fulfill its obligations in regard to the statutory funding of demand transfers and, by significantly ",A28," ",(inputPrYr!C2),B28)</f>
        <v>Whereas, the 2011 Kansas State Legislature failed to fulfill its obligations in regard to the statutory funding of demand transfers and, by significantly limiting state revenue sharing payments to counties, has contributed to higher county property tax levies to finance the 2012 Clay County budget.</v>
      </c>
      <c r="B25" s="755"/>
      <c r="C25" s="755"/>
      <c r="D25" s="755"/>
      <c r="E25" s="755"/>
      <c r="F25" s="755"/>
      <c r="G25" s="755"/>
      <c r="H25" s="755"/>
    </row>
    <row r="26" spans="1:8" ht="15.75" customHeight="1">
      <c r="A26" s="755"/>
      <c r="B26" s="755"/>
      <c r="C26" s="755"/>
      <c r="D26" s="755"/>
      <c r="E26" s="755"/>
      <c r="F26" s="755"/>
      <c r="G26" s="755"/>
      <c r="H26" s="755"/>
    </row>
    <row r="27" spans="1:8" ht="15.75" customHeight="1">
      <c r="A27" s="755"/>
      <c r="B27" s="755"/>
      <c r="C27" s="755"/>
      <c r="D27" s="755"/>
      <c r="E27" s="755"/>
      <c r="F27" s="755"/>
      <c r="G27" s="755"/>
      <c r="H27" s="755"/>
    </row>
    <row r="28" spans="1:8" ht="9" customHeight="1">
      <c r="A28" s="48" t="str">
        <f>CONCATENATE("limiting state revenue sharing payments to counties, has contributed to higher county property tax levies to finance the ",inputPrYr!C4,"")</f>
        <v>limiting state revenue sharing payments to counties, has contributed to higher county property tax levies to finance the 2012</v>
      </c>
      <c r="B28" s="59" t="s">
        <v>290</v>
      </c>
      <c r="C28" s="6"/>
      <c r="D28" s="6"/>
      <c r="E28" s="6"/>
      <c r="F28" s="6"/>
      <c r="G28" s="6"/>
      <c r="H28" s="60"/>
    </row>
    <row r="29" spans="1:8" ht="15.75" customHeight="1">
      <c r="A29" s="755"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Clay County Commissioners that is our desire to notify the public of the possibility of increased property taxes to finance the 2012 Clay County budget due to the above mentioned constraints, and that all persons are invited and encouraged to attend budget meeting conducted by the Board of Clay County Commissioners.  The date and time of budget hearings with the Board of Clay County Commissioners will be published in the _________ (newspaper).   Interested persons can also address questions concerning the budget to __________ (office) _______ by calling ___________ between the hours of ________ a.m. to ________ p.m., Monday through Fridays, excluding holidays.  </v>
      </c>
      <c r="B29" s="755"/>
      <c r="C29" s="755"/>
      <c r="D29" s="755"/>
      <c r="E29" s="755"/>
      <c r="F29" s="755"/>
      <c r="G29" s="755"/>
      <c r="H29" s="755"/>
    </row>
    <row r="30" spans="1:8" ht="15.75" customHeight="1">
      <c r="A30" s="755"/>
      <c r="B30" s="755"/>
      <c r="C30" s="755"/>
      <c r="D30" s="755"/>
      <c r="E30" s="755"/>
      <c r="F30" s="755"/>
      <c r="G30" s="755"/>
      <c r="H30" s="755"/>
    </row>
    <row r="31" spans="1:8" ht="15.75" customHeight="1">
      <c r="A31" s="755"/>
      <c r="B31" s="755"/>
      <c r="C31" s="755"/>
      <c r="D31" s="755"/>
      <c r="E31" s="755"/>
      <c r="F31" s="755"/>
      <c r="G31" s="755"/>
      <c r="H31" s="755"/>
    </row>
    <row r="32" spans="1:8" ht="15.75" customHeight="1">
      <c r="A32" s="755"/>
      <c r="B32" s="755"/>
      <c r="C32" s="755"/>
      <c r="D32" s="755"/>
      <c r="E32" s="755"/>
      <c r="F32" s="755"/>
      <c r="G32" s="755"/>
      <c r="H32" s="755"/>
    </row>
    <row r="33" spans="1:8" ht="15.75" customHeight="1">
      <c r="A33" s="755"/>
      <c r="B33" s="755"/>
      <c r="C33" s="755"/>
      <c r="D33" s="755"/>
      <c r="E33" s="755"/>
      <c r="F33" s="755"/>
      <c r="G33" s="755"/>
      <c r="H33" s="755"/>
    </row>
    <row r="34" spans="1:8" ht="15.75" customHeight="1">
      <c r="A34" s="755"/>
      <c r="B34" s="755"/>
      <c r="C34" s="755"/>
      <c r="D34" s="755"/>
      <c r="E34" s="755"/>
      <c r="F34" s="755"/>
      <c r="G34" s="755"/>
      <c r="H34" s="755"/>
    </row>
    <row r="35" spans="1:8" ht="15.75" customHeight="1">
      <c r="A35" s="755"/>
      <c r="B35" s="755"/>
      <c r="C35" s="755"/>
      <c r="D35" s="755"/>
      <c r="E35" s="755"/>
      <c r="F35" s="755"/>
      <c r="G35" s="755"/>
      <c r="H35" s="755"/>
    </row>
    <row r="36" spans="1:8" ht="15.75" customHeight="1">
      <c r="A36" s="755"/>
      <c r="B36" s="755"/>
      <c r="C36" s="755"/>
      <c r="D36" s="755"/>
      <c r="E36" s="755"/>
      <c r="F36" s="755"/>
      <c r="G36" s="755"/>
      <c r="H36" s="755"/>
    </row>
    <row r="37" spans="1:8" ht="15.75" customHeight="1">
      <c r="A37" s="755"/>
      <c r="B37" s="755"/>
      <c r="C37" s="755"/>
      <c r="D37" s="755"/>
      <c r="E37" s="755"/>
      <c r="F37" s="755"/>
      <c r="G37" s="755"/>
      <c r="H37" s="755"/>
    </row>
    <row r="38" spans="1:8" ht="15.75" customHeight="1">
      <c r="A38" s="49" t="s">
        <v>300</v>
      </c>
      <c r="B38" s="6"/>
      <c r="C38" s="6"/>
      <c r="D38" s="6"/>
      <c r="E38" s="6"/>
      <c r="F38" s="6"/>
      <c r="G38" s="6"/>
      <c r="H38" s="60" t="s">
        <v>161</v>
      </c>
    </row>
    <row r="39" spans="1:8" ht="15.75" customHeight="1">
      <c r="A39" s="754" t="str">
        <f>CONCATENATE("                                                 Adopted this _________ day of ___________, ",inputPrYr!C4-1," by the Board of ",(inputPrYr!C2)," Commissioners.")</f>
        <v>                                                 Adopted this _________ day of ___________, 2011 by the Board of Clay County Commissioners.</v>
      </c>
      <c r="B39" s="754"/>
      <c r="C39" s="754"/>
      <c r="D39" s="754"/>
      <c r="E39" s="754"/>
      <c r="F39" s="754"/>
      <c r="G39" s="754"/>
      <c r="H39" s="754"/>
    </row>
    <row r="40" spans="1:8" ht="15.75" customHeight="1">
      <c r="A40" s="754"/>
      <c r="B40" s="754"/>
      <c r="C40" s="754"/>
      <c r="D40" s="754"/>
      <c r="E40" s="754"/>
      <c r="F40" s="754"/>
      <c r="G40" s="754"/>
      <c r="H40" s="754"/>
    </row>
    <row r="41" spans="1:8" ht="15.75" customHeight="1">
      <c r="A41" s="6"/>
      <c r="B41" s="6"/>
      <c r="C41" s="6"/>
      <c r="D41" s="6"/>
      <c r="E41" s="756" t="s">
        <v>271</v>
      </c>
      <c r="F41" s="756"/>
      <c r="G41" s="756"/>
      <c r="H41" s="756"/>
    </row>
    <row r="42" spans="1:8" ht="15.75" customHeight="1">
      <c r="A42" s="50"/>
      <c r="B42" s="6"/>
      <c r="C42" s="6"/>
      <c r="D42" s="6"/>
      <c r="E42" s="756"/>
      <c r="F42" s="756"/>
      <c r="G42" s="756"/>
      <c r="H42" s="756"/>
    </row>
    <row r="43" spans="1:8" ht="15.75" customHeight="1">
      <c r="A43" s="6"/>
      <c r="B43" s="6"/>
      <c r="C43" s="6"/>
      <c r="D43" s="6"/>
      <c r="E43" s="756" t="s">
        <v>272</v>
      </c>
      <c r="F43" s="756"/>
      <c r="G43" s="756"/>
      <c r="H43" s="756"/>
    </row>
    <row r="44" spans="1:8" ht="15.75" customHeight="1">
      <c r="A44" s="50"/>
      <c r="B44" s="6"/>
      <c r="C44" s="6"/>
      <c r="D44" s="6"/>
      <c r="E44" s="756"/>
      <c r="F44" s="756"/>
      <c r="G44" s="756"/>
      <c r="H44" s="756"/>
    </row>
    <row r="45" spans="1:8" ht="15.75" customHeight="1">
      <c r="A45" s="6"/>
      <c r="B45" s="6"/>
      <c r="C45" s="6"/>
      <c r="D45" s="6"/>
      <c r="E45" s="756" t="s">
        <v>272</v>
      </c>
      <c r="F45" s="756"/>
      <c r="G45" s="756"/>
      <c r="H45" s="756"/>
    </row>
    <row r="46" spans="1:8" ht="15.75" customHeight="1">
      <c r="A46" s="50"/>
      <c r="B46" s="6"/>
      <c r="C46" s="6"/>
      <c r="D46" s="6"/>
      <c r="E46" s="756"/>
      <c r="F46" s="756"/>
      <c r="G46" s="756"/>
      <c r="H46" s="756"/>
    </row>
    <row r="47" spans="1:8" ht="15.75" customHeight="1">
      <c r="A47" s="6"/>
      <c r="B47" s="6"/>
      <c r="C47" s="6"/>
      <c r="D47" s="6"/>
      <c r="E47" s="756" t="s">
        <v>272</v>
      </c>
      <c r="F47" s="756"/>
      <c r="G47" s="756"/>
      <c r="H47" s="756"/>
    </row>
    <row r="48" spans="1:8" ht="15.75" customHeight="1">
      <c r="A48" s="50"/>
      <c r="B48" s="6"/>
      <c r="C48" s="6"/>
      <c r="D48" s="6"/>
      <c r="E48" s="6"/>
      <c r="F48" s="6"/>
      <c r="G48" s="6"/>
      <c r="H48" s="60"/>
    </row>
    <row r="49" spans="1:8" ht="15.75" customHeight="1">
      <c r="A49" s="50" t="s">
        <v>273</v>
      </c>
      <c r="B49" s="6"/>
      <c r="C49" s="6"/>
      <c r="D49" s="6"/>
      <c r="E49" s="6"/>
      <c r="F49" s="6"/>
      <c r="G49" s="6"/>
      <c r="H49" s="60"/>
    </row>
    <row r="50" spans="1:8" ht="15.75" customHeight="1">
      <c r="A50" s="50"/>
      <c r="B50" s="6"/>
      <c r="C50" s="6"/>
      <c r="D50" s="6"/>
      <c r="E50" s="6"/>
      <c r="F50" s="6"/>
      <c r="G50" s="50"/>
      <c r="H50" s="60"/>
    </row>
    <row r="51" spans="1:8" ht="15.75" customHeight="1">
      <c r="A51" s="51" t="s">
        <v>274</v>
      </c>
      <c r="B51" s="2"/>
      <c r="C51" s="2"/>
      <c r="D51" s="2"/>
      <c r="E51" s="2"/>
      <c r="F51" s="2"/>
      <c r="G51" s="50"/>
      <c r="H51" s="60"/>
    </row>
    <row r="52" spans="1:8" ht="15.75" customHeight="1">
      <c r="A52" s="756" t="s">
        <v>275</v>
      </c>
      <c r="B52" s="756"/>
      <c r="C52" s="756"/>
      <c r="D52" s="2"/>
      <c r="E52" s="2"/>
      <c r="F52" s="2"/>
      <c r="G52" s="50"/>
      <c r="H52" s="60"/>
    </row>
    <row r="53" spans="1:8" ht="15.75" customHeight="1">
      <c r="A53" s="51"/>
      <c r="B53" s="2"/>
      <c r="C53" s="2"/>
      <c r="D53" s="2"/>
      <c r="E53" s="2"/>
      <c r="F53" s="2"/>
      <c r="G53" s="50"/>
      <c r="H53" s="60"/>
    </row>
    <row r="54" spans="1:8" ht="15.75" customHeight="1">
      <c r="A54" s="51"/>
      <c r="B54" s="2"/>
      <c r="C54" s="2"/>
      <c r="D54" s="2"/>
      <c r="E54" s="2"/>
      <c r="F54" s="2"/>
      <c r="G54" s="50"/>
      <c r="H54" s="60"/>
    </row>
    <row r="55" spans="1:8" ht="15.75" customHeight="1">
      <c r="A55" s="52" t="s">
        <v>276</v>
      </c>
      <c r="B55" s="2"/>
      <c r="C55" s="2"/>
      <c r="D55" s="62" t="s">
        <v>160</v>
      </c>
      <c r="E55" s="10">
        <v>24</v>
      </c>
      <c r="F55" s="2"/>
      <c r="G55" s="50"/>
      <c r="H55" s="60"/>
    </row>
    <row r="56" spans="1:8" ht="15" customHeight="1">
      <c r="A56" s="60"/>
      <c r="B56" s="60"/>
      <c r="C56" s="60"/>
      <c r="D56" s="60"/>
      <c r="E56" s="60"/>
      <c r="F56" s="60"/>
      <c r="G56" s="60"/>
      <c r="H56" s="60"/>
    </row>
    <row r="57" spans="1:8" ht="15" customHeight="1">
      <c r="A57" s="60"/>
      <c r="B57" s="60"/>
      <c r="C57" s="60"/>
      <c r="D57" s="60"/>
      <c r="E57" s="60"/>
      <c r="F57" s="60"/>
      <c r="G57" s="60"/>
      <c r="H57" s="60"/>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sheetData>
  <sheetProtection/>
  <mergeCells count="16">
    <mergeCell ref="E47:H47"/>
    <mergeCell ref="A52:C52"/>
    <mergeCell ref="E41:H41"/>
    <mergeCell ref="E42:H42"/>
    <mergeCell ref="E43:H43"/>
    <mergeCell ref="E44:H44"/>
    <mergeCell ref="E45:H45"/>
    <mergeCell ref="E46:H46"/>
    <mergeCell ref="A2:H2"/>
    <mergeCell ref="A4:H4"/>
    <mergeCell ref="A39:H40"/>
    <mergeCell ref="A10:H15"/>
    <mergeCell ref="A29:H37"/>
    <mergeCell ref="A17:H18"/>
    <mergeCell ref="A20:H21"/>
    <mergeCell ref="A25:H27"/>
  </mergeCells>
  <printOptions/>
  <pageMargins left="0.37" right="0.27" top="0.5" bottom="0.5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A48"/>
  <sheetViews>
    <sheetView tabSelected="1" zoomScalePageLayoutView="0" workbookViewId="0" topLeftCell="A31">
      <selection activeCell="F49" sqref="F49"/>
    </sheetView>
  </sheetViews>
  <sheetFormatPr defaultColWidth="8.796875" defaultRowHeight="15"/>
  <cols>
    <col min="1" max="1" width="62.3984375" style="170" customWidth="1"/>
    <col min="2" max="16384" width="8.8984375" style="170" customWidth="1"/>
  </cols>
  <sheetData>
    <row r="1" ht="18.75">
      <c r="A1" s="417" t="s">
        <v>838</v>
      </c>
    </row>
    <row r="2" ht="15.75">
      <c r="A2" s="77"/>
    </row>
    <row r="3" ht="54.75" customHeight="1">
      <c r="A3" s="418" t="s">
        <v>839</v>
      </c>
    </row>
    <row r="4" ht="15.75">
      <c r="A4" s="566"/>
    </row>
    <row r="5" ht="51" customHeight="1">
      <c r="A5" s="418" t="s">
        <v>840</v>
      </c>
    </row>
    <row r="6" ht="15.75">
      <c r="A6" s="77"/>
    </row>
    <row r="7" ht="51.75" customHeight="1">
      <c r="A7" s="418" t="s">
        <v>841</v>
      </c>
    </row>
    <row r="8" ht="13.5" customHeight="1">
      <c r="A8" s="418"/>
    </row>
    <row r="9" ht="51.75" customHeight="1">
      <c r="A9" s="519" t="s">
        <v>344</v>
      </c>
    </row>
    <row r="10" ht="15.75">
      <c r="A10" s="566"/>
    </row>
    <row r="11" ht="36" customHeight="1">
      <c r="A11" s="418" t="s">
        <v>842</v>
      </c>
    </row>
    <row r="12" ht="15.75">
      <c r="A12" s="77"/>
    </row>
    <row r="13" ht="51.75" customHeight="1">
      <c r="A13" s="418" t="s">
        <v>843</v>
      </c>
    </row>
    <row r="14" ht="15.75">
      <c r="A14" s="566"/>
    </row>
    <row r="15" ht="33" customHeight="1">
      <c r="A15" s="418" t="s">
        <v>844</v>
      </c>
    </row>
    <row r="16" ht="15.75">
      <c r="A16" s="566"/>
    </row>
    <row r="17" ht="32.25" customHeight="1">
      <c r="A17" s="418" t="s">
        <v>612</v>
      </c>
    </row>
    <row r="18" ht="15.75">
      <c r="A18" s="566"/>
    </row>
    <row r="19" ht="53.25" customHeight="1">
      <c r="A19" s="418" t="s">
        <v>613</v>
      </c>
    </row>
    <row r="20" ht="15.75">
      <c r="A20" s="77"/>
    </row>
    <row r="21" ht="50.25" customHeight="1">
      <c r="A21" s="418" t="s">
        <v>614</v>
      </c>
    </row>
    <row r="22" ht="15.75">
      <c r="A22" s="77"/>
    </row>
    <row r="23" ht="15.75">
      <c r="A23" s="77"/>
    </row>
    <row r="24" ht="96" customHeight="1">
      <c r="A24" s="418" t="s">
        <v>615</v>
      </c>
    </row>
    <row r="25" ht="15.75">
      <c r="A25" s="77"/>
    </row>
    <row r="26" ht="30.75" customHeight="1">
      <c r="A26" s="80" t="s">
        <v>616</v>
      </c>
    </row>
    <row r="27" ht="15.75">
      <c r="A27" s="77"/>
    </row>
    <row r="28" ht="95.25" customHeight="1">
      <c r="A28" s="521" t="s">
        <v>345</v>
      </c>
    </row>
    <row r="29" ht="15.75">
      <c r="A29" s="77"/>
    </row>
    <row r="30" ht="34.5" customHeight="1">
      <c r="A30" s="418" t="s">
        <v>617</v>
      </c>
    </row>
    <row r="31" ht="15.75">
      <c r="A31" s="77"/>
    </row>
    <row r="32" ht="66" customHeight="1">
      <c r="A32" s="418" t="s">
        <v>618</v>
      </c>
    </row>
    <row r="33" ht="15.75">
      <c r="A33" s="566"/>
    </row>
    <row r="34" ht="57" customHeight="1">
      <c r="A34" s="418" t="s">
        <v>619</v>
      </c>
    </row>
    <row r="35" ht="15.75">
      <c r="A35" s="77"/>
    </row>
    <row r="36" ht="49.5" customHeight="1">
      <c r="A36" s="418" t="s">
        <v>620</v>
      </c>
    </row>
    <row r="37" ht="15.75">
      <c r="A37" s="77"/>
    </row>
    <row r="38" ht="74.25" customHeight="1">
      <c r="A38" s="521" t="s">
        <v>346</v>
      </c>
    </row>
    <row r="39" ht="15.75">
      <c r="A39" s="77"/>
    </row>
    <row r="40" ht="55.5" customHeight="1">
      <c r="A40" s="418" t="s">
        <v>621</v>
      </c>
    </row>
    <row r="41" ht="15.75">
      <c r="A41" s="77"/>
    </row>
    <row r="42" ht="53.25" customHeight="1">
      <c r="A42" s="418" t="s">
        <v>622</v>
      </c>
    </row>
    <row r="43" ht="15.75">
      <c r="A43" s="566"/>
    </row>
    <row r="44" ht="47.25" customHeight="1">
      <c r="A44" s="418" t="s">
        <v>623</v>
      </c>
    </row>
    <row r="45" ht="15.75">
      <c r="A45" s="566"/>
    </row>
    <row r="46" ht="49.5" customHeight="1">
      <c r="A46" s="418" t="s">
        <v>624</v>
      </c>
    </row>
    <row r="47" ht="15.75">
      <c r="A47" s="566"/>
    </row>
    <row r="48" ht="36" customHeight="1">
      <c r="A48" s="418" t="s">
        <v>625</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J57"/>
  <sheetViews>
    <sheetView zoomScale="75" zoomScaleNormal="75" zoomScalePageLayoutView="0" workbookViewId="0" topLeftCell="A1">
      <selection activeCell="F8" sqref="F8"/>
    </sheetView>
  </sheetViews>
  <sheetFormatPr defaultColWidth="8.796875" defaultRowHeight="15"/>
  <cols>
    <col min="1" max="1" width="21.8984375" style="2" customWidth="1"/>
    <col min="2" max="2" width="12.796875" style="2" customWidth="1"/>
    <col min="3" max="3" width="10.296875" style="2" customWidth="1"/>
    <col min="4" max="4" width="12.8984375" style="2" customWidth="1"/>
    <col min="5" max="5" width="10.19921875" style="2" customWidth="1"/>
    <col min="6" max="6" width="15" style="2" customWidth="1"/>
    <col min="7" max="7" width="12.796875" style="2" customWidth="1"/>
    <col min="8" max="8" width="15.296875" style="2" customWidth="1"/>
    <col min="9" max="9" width="9.796875" style="2" customWidth="1"/>
    <col min="10" max="16384" width="8.8984375" style="2" customWidth="1"/>
  </cols>
  <sheetData>
    <row r="1" spans="1:9" ht="15.75">
      <c r="A1" s="28" t="str">
        <f>inputPrYr!C2</f>
        <v>Clay County</v>
      </c>
      <c r="B1" s="14"/>
      <c r="C1" s="14"/>
      <c r="D1" s="14"/>
      <c r="E1" s="14"/>
      <c r="F1" s="14"/>
      <c r="G1" s="14"/>
      <c r="H1" s="14"/>
      <c r="I1" s="53">
        <f>inputPrYr!C4</f>
        <v>2012</v>
      </c>
    </row>
    <row r="2" spans="1:9" ht="15.75">
      <c r="A2" s="14"/>
      <c r="B2" s="14"/>
      <c r="C2" s="14"/>
      <c r="D2" s="14"/>
      <c r="E2" s="14"/>
      <c r="F2" s="14"/>
      <c r="G2" s="14"/>
      <c r="H2" s="14"/>
      <c r="I2" s="13"/>
    </row>
    <row r="3" spans="1:10" ht="15.75">
      <c r="A3" s="33" t="s">
        <v>205</v>
      </c>
      <c r="B3" s="17"/>
      <c r="C3" s="17"/>
      <c r="D3" s="17"/>
      <c r="E3" s="17"/>
      <c r="F3" s="17"/>
      <c r="G3" s="17"/>
      <c r="H3" s="17"/>
      <c r="I3" s="32"/>
      <c r="J3" s="3"/>
    </row>
    <row r="4" spans="1:9" ht="15.75">
      <c r="A4" s="14"/>
      <c r="B4" s="18"/>
      <c r="C4" s="18"/>
      <c r="D4" s="18"/>
      <c r="E4" s="18"/>
      <c r="F4" s="18"/>
      <c r="G4" s="18"/>
      <c r="H4" s="18"/>
      <c r="I4" s="18"/>
    </row>
    <row r="5" spans="1:9" ht="15.75">
      <c r="A5" s="14"/>
      <c r="B5" s="34" t="str">
        <f>CONCATENATE("Prior Year Actual for ",I1-2,"")</f>
        <v>Prior Year Actual for 2010</v>
      </c>
      <c r="C5" s="21"/>
      <c r="D5" s="35" t="str">
        <f>CONCATENATE("Current Year Estimate for ",I1-1,"")</f>
        <v>Current Year Estimate for 2011</v>
      </c>
      <c r="E5" s="21"/>
      <c r="F5" s="19" t="str">
        <f>CONCATENATE("Proposed Budget Year for ",I1,"")</f>
        <v>Proposed Budget Year for 2012</v>
      </c>
      <c r="G5" s="20"/>
      <c r="H5" s="20"/>
      <c r="I5" s="21"/>
    </row>
    <row r="6" spans="1:9" ht="21" customHeight="1">
      <c r="A6" s="15" t="s">
        <v>582</v>
      </c>
      <c r="B6" s="22"/>
      <c r="C6" s="22" t="s">
        <v>163</v>
      </c>
      <c r="D6" s="22"/>
      <c r="E6" s="22" t="s">
        <v>163</v>
      </c>
      <c r="F6" s="546" t="s">
        <v>667</v>
      </c>
      <c r="G6" s="711" t="str">
        <f>CONCATENATE("Amount of ",I1-1,"    Ad Valorem Tax")</f>
        <v>Amount of 2011    Ad Valorem Tax</v>
      </c>
      <c r="H6" s="711" t="str">
        <f>CONCATENATE("July 1, ",I1-1," Estimated Valuation")</f>
        <v>July 1, 2011 Estimated Valuation</v>
      </c>
      <c r="I6" s="22" t="s">
        <v>164</v>
      </c>
    </row>
    <row r="7" spans="1:9" ht="15.75">
      <c r="A7" s="24" t="s">
        <v>583</v>
      </c>
      <c r="B7" s="30" t="s">
        <v>104</v>
      </c>
      <c r="C7" s="30" t="s">
        <v>166</v>
      </c>
      <c r="D7" s="30" t="s">
        <v>104</v>
      </c>
      <c r="E7" s="30" t="s">
        <v>166</v>
      </c>
      <c r="F7" s="547" t="s">
        <v>668</v>
      </c>
      <c r="G7" s="712"/>
      <c r="H7" s="712"/>
      <c r="I7" s="30" t="s">
        <v>166</v>
      </c>
    </row>
    <row r="8" spans="1:9" ht="15.75">
      <c r="A8" s="9"/>
      <c r="B8" s="9"/>
      <c r="C8" s="11"/>
      <c r="D8" s="9"/>
      <c r="E8" s="11"/>
      <c r="F8" s="9"/>
      <c r="G8" s="9"/>
      <c r="H8" s="9"/>
      <c r="I8" s="61" t="str">
        <f aca="true" t="shared" si="0" ref="I8:I36">IF(H8&lt;&gt;0,ROUND(G8/H8*1000,3)," ")</f>
        <v> </v>
      </c>
    </row>
    <row r="9" spans="1:9" ht="15.75">
      <c r="A9" s="9"/>
      <c r="B9" s="9"/>
      <c r="C9" s="11"/>
      <c r="D9" s="9"/>
      <c r="E9" s="11"/>
      <c r="F9" s="9"/>
      <c r="G9" s="9"/>
      <c r="H9" s="9"/>
      <c r="I9" s="61" t="str">
        <f t="shared" si="0"/>
        <v> </v>
      </c>
    </row>
    <row r="10" spans="1:9" ht="15.75">
      <c r="A10" s="9"/>
      <c r="B10" s="9"/>
      <c r="C10" s="11"/>
      <c r="D10" s="9"/>
      <c r="E10" s="11"/>
      <c r="F10" s="9"/>
      <c r="G10" s="9"/>
      <c r="H10" s="9"/>
      <c r="I10" s="61" t="str">
        <f t="shared" si="0"/>
        <v> </v>
      </c>
    </row>
    <row r="11" spans="1:9" ht="15.75">
      <c r="A11" s="9"/>
      <c r="B11" s="9"/>
      <c r="C11" s="11"/>
      <c r="D11" s="9"/>
      <c r="E11" s="11"/>
      <c r="F11" s="9"/>
      <c r="G11" s="9"/>
      <c r="H11" s="9"/>
      <c r="I11" s="61" t="str">
        <f t="shared" si="0"/>
        <v> </v>
      </c>
    </row>
    <row r="12" spans="1:9" ht="15.75">
      <c r="A12" s="9"/>
      <c r="B12" s="9"/>
      <c r="C12" s="11"/>
      <c r="D12" s="9"/>
      <c r="E12" s="11"/>
      <c r="F12" s="9"/>
      <c r="G12" s="9"/>
      <c r="H12" s="9"/>
      <c r="I12" s="61" t="str">
        <f t="shared" si="0"/>
        <v> </v>
      </c>
    </row>
    <row r="13" spans="1:9" ht="15.75">
      <c r="A13" s="9"/>
      <c r="B13" s="9"/>
      <c r="C13" s="11"/>
      <c r="D13" s="9"/>
      <c r="E13" s="11"/>
      <c r="F13" s="9"/>
      <c r="G13" s="9"/>
      <c r="H13" s="9"/>
      <c r="I13" s="61" t="str">
        <f t="shared" si="0"/>
        <v> </v>
      </c>
    </row>
    <row r="14" spans="1:9" ht="15.75">
      <c r="A14" s="9"/>
      <c r="B14" s="9"/>
      <c r="C14" s="11"/>
      <c r="D14" s="9"/>
      <c r="E14" s="11"/>
      <c r="F14" s="9"/>
      <c r="G14" s="9"/>
      <c r="H14" s="9"/>
      <c r="I14" s="61" t="str">
        <f t="shared" si="0"/>
        <v> </v>
      </c>
    </row>
    <row r="15" spans="1:9" ht="15.75">
      <c r="A15" s="9"/>
      <c r="B15" s="9"/>
      <c r="C15" s="11"/>
      <c r="D15" s="9"/>
      <c r="E15" s="11"/>
      <c r="F15" s="9"/>
      <c r="G15" s="9"/>
      <c r="H15" s="9"/>
      <c r="I15" s="61" t="str">
        <f t="shared" si="0"/>
        <v> </v>
      </c>
    </row>
    <row r="16" spans="1:9" ht="15.75">
      <c r="A16" s="9"/>
      <c r="B16" s="9"/>
      <c r="C16" s="11"/>
      <c r="D16" s="9"/>
      <c r="E16" s="11"/>
      <c r="F16" s="9"/>
      <c r="G16" s="9"/>
      <c r="H16" s="9"/>
      <c r="I16" s="61" t="str">
        <f t="shared" si="0"/>
        <v> </v>
      </c>
    </row>
    <row r="17" spans="1:9" ht="15.75">
      <c r="A17" s="9"/>
      <c r="B17" s="9"/>
      <c r="C17" s="11"/>
      <c r="D17" s="9"/>
      <c r="E17" s="11"/>
      <c r="F17" s="9"/>
      <c r="G17" s="9"/>
      <c r="H17" s="9"/>
      <c r="I17" s="61" t="str">
        <f t="shared" si="0"/>
        <v> </v>
      </c>
    </row>
    <row r="18" spans="1:9" ht="15.75">
      <c r="A18" s="9"/>
      <c r="B18" s="9"/>
      <c r="C18" s="11"/>
      <c r="D18" s="9"/>
      <c r="E18" s="11"/>
      <c r="F18" s="9"/>
      <c r="G18" s="9"/>
      <c r="H18" s="9"/>
      <c r="I18" s="61" t="str">
        <f t="shared" si="0"/>
        <v> </v>
      </c>
    </row>
    <row r="19" spans="1:9" ht="15.75">
      <c r="A19" s="9"/>
      <c r="B19" s="9"/>
      <c r="C19" s="11"/>
      <c r="D19" s="9"/>
      <c r="E19" s="11"/>
      <c r="F19" s="9"/>
      <c r="G19" s="9"/>
      <c r="H19" s="9"/>
      <c r="I19" s="61" t="str">
        <f t="shared" si="0"/>
        <v> </v>
      </c>
    </row>
    <row r="20" spans="1:9" ht="15.75">
      <c r="A20" s="9"/>
      <c r="B20" s="9"/>
      <c r="C20" s="11"/>
      <c r="D20" s="9"/>
      <c r="E20" s="11"/>
      <c r="F20" s="9"/>
      <c r="G20" s="9"/>
      <c r="H20" s="9"/>
      <c r="I20" s="61" t="str">
        <f t="shared" si="0"/>
        <v> </v>
      </c>
    </row>
    <row r="21" spans="1:9" ht="15.75">
      <c r="A21" s="9"/>
      <c r="B21" s="9"/>
      <c r="C21" s="11"/>
      <c r="D21" s="9"/>
      <c r="E21" s="11"/>
      <c r="F21" s="9"/>
      <c r="G21" s="9"/>
      <c r="H21" s="9"/>
      <c r="I21" s="61" t="str">
        <f t="shared" si="0"/>
        <v> </v>
      </c>
    </row>
    <row r="22" spans="1:9" ht="15.75">
      <c r="A22" s="9"/>
      <c r="B22" s="9"/>
      <c r="C22" s="11"/>
      <c r="D22" s="9"/>
      <c r="E22" s="11"/>
      <c r="F22" s="9"/>
      <c r="G22" s="9"/>
      <c r="H22" s="9"/>
      <c r="I22" s="61" t="str">
        <f t="shared" si="0"/>
        <v> </v>
      </c>
    </row>
    <row r="23" spans="1:9" ht="15.75">
      <c r="A23" s="9"/>
      <c r="B23" s="9"/>
      <c r="C23" s="11"/>
      <c r="D23" s="9"/>
      <c r="E23" s="11"/>
      <c r="F23" s="9"/>
      <c r="G23" s="9"/>
      <c r="H23" s="9"/>
      <c r="I23" s="61" t="str">
        <f t="shared" si="0"/>
        <v> </v>
      </c>
    </row>
    <row r="24" spans="1:9" ht="15.75">
      <c r="A24" s="9"/>
      <c r="B24" s="9"/>
      <c r="C24" s="11"/>
      <c r="D24" s="9"/>
      <c r="E24" s="11"/>
      <c r="F24" s="9"/>
      <c r="G24" s="9"/>
      <c r="H24" s="9"/>
      <c r="I24" s="61" t="str">
        <f t="shared" si="0"/>
        <v> </v>
      </c>
    </row>
    <row r="25" spans="1:9" ht="15.75">
      <c r="A25" s="9"/>
      <c r="B25" s="9"/>
      <c r="C25" s="11"/>
      <c r="D25" s="9"/>
      <c r="E25" s="11"/>
      <c r="F25" s="9"/>
      <c r="G25" s="9"/>
      <c r="H25" s="9"/>
      <c r="I25" s="61" t="str">
        <f t="shared" si="0"/>
        <v> </v>
      </c>
    </row>
    <row r="26" spans="1:9" ht="15.75">
      <c r="A26" s="9"/>
      <c r="B26" s="9"/>
      <c r="C26" s="11"/>
      <c r="D26" s="9"/>
      <c r="E26" s="11"/>
      <c r="F26" s="9"/>
      <c r="G26" s="9"/>
      <c r="H26" s="9"/>
      <c r="I26" s="61" t="str">
        <f t="shared" si="0"/>
        <v> </v>
      </c>
    </row>
    <row r="27" spans="1:9" ht="15.75">
      <c r="A27" s="9"/>
      <c r="B27" s="9"/>
      <c r="C27" s="11"/>
      <c r="D27" s="9"/>
      <c r="E27" s="11"/>
      <c r="F27" s="9"/>
      <c r="G27" s="9"/>
      <c r="H27" s="9"/>
      <c r="I27" s="61" t="str">
        <f t="shared" si="0"/>
        <v> </v>
      </c>
    </row>
    <row r="28" spans="1:9" ht="15.75">
      <c r="A28" s="9"/>
      <c r="B28" s="9"/>
      <c r="C28" s="11"/>
      <c r="D28" s="9"/>
      <c r="E28" s="11"/>
      <c r="F28" s="9"/>
      <c r="G28" s="9"/>
      <c r="H28" s="9"/>
      <c r="I28" s="61" t="str">
        <f t="shared" si="0"/>
        <v> </v>
      </c>
    </row>
    <row r="29" spans="1:9" ht="15.75">
      <c r="A29" s="9"/>
      <c r="B29" s="9"/>
      <c r="C29" s="11"/>
      <c r="D29" s="9"/>
      <c r="E29" s="11"/>
      <c r="F29" s="9"/>
      <c r="G29" s="9"/>
      <c r="H29" s="9"/>
      <c r="I29" s="61" t="str">
        <f t="shared" si="0"/>
        <v> </v>
      </c>
    </row>
    <row r="30" spans="1:9" ht="15.75">
      <c r="A30" s="9"/>
      <c r="B30" s="9"/>
      <c r="C30" s="11"/>
      <c r="D30" s="9"/>
      <c r="E30" s="11"/>
      <c r="F30" s="9"/>
      <c r="G30" s="9"/>
      <c r="H30" s="9"/>
      <c r="I30" s="61" t="str">
        <f t="shared" si="0"/>
        <v> </v>
      </c>
    </row>
    <row r="31" spans="1:9" ht="15.75">
      <c r="A31" s="9"/>
      <c r="B31" s="9"/>
      <c r="C31" s="11"/>
      <c r="D31" s="9"/>
      <c r="E31" s="11"/>
      <c r="F31" s="9"/>
      <c r="G31" s="9"/>
      <c r="H31" s="9"/>
      <c r="I31" s="61" t="str">
        <f t="shared" si="0"/>
        <v> </v>
      </c>
    </row>
    <row r="32" spans="1:9" ht="15.75">
      <c r="A32" s="9"/>
      <c r="B32" s="9"/>
      <c r="C32" s="11"/>
      <c r="D32" s="9"/>
      <c r="E32" s="11"/>
      <c r="F32" s="9"/>
      <c r="G32" s="9"/>
      <c r="H32" s="9"/>
      <c r="I32" s="61" t="str">
        <f t="shared" si="0"/>
        <v> </v>
      </c>
    </row>
    <row r="33" spans="1:9" ht="15.75">
      <c r="A33" s="9"/>
      <c r="B33" s="9"/>
      <c r="C33" s="11"/>
      <c r="D33" s="9"/>
      <c r="E33" s="11"/>
      <c r="F33" s="9"/>
      <c r="G33" s="9"/>
      <c r="H33" s="9"/>
      <c r="I33" s="61" t="str">
        <f t="shared" si="0"/>
        <v> </v>
      </c>
    </row>
    <row r="34" spans="1:9" ht="15.75">
      <c r="A34" s="9"/>
      <c r="B34" s="9"/>
      <c r="C34" s="11"/>
      <c r="D34" s="9"/>
      <c r="E34" s="11"/>
      <c r="F34" s="9"/>
      <c r="G34" s="9"/>
      <c r="H34" s="9"/>
      <c r="I34" s="61" t="str">
        <f t="shared" si="0"/>
        <v> </v>
      </c>
    </row>
    <row r="35" spans="1:9" ht="15.75">
      <c r="A35" s="9"/>
      <c r="B35" s="9"/>
      <c r="C35" s="11"/>
      <c r="D35" s="9"/>
      <c r="E35" s="11"/>
      <c r="F35" s="9"/>
      <c r="G35" s="9"/>
      <c r="H35" s="9"/>
      <c r="I35" s="61" t="str">
        <f t="shared" si="0"/>
        <v> </v>
      </c>
    </row>
    <row r="36" spans="1:9" ht="15.75">
      <c r="A36" s="9"/>
      <c r="B36" s="9"/>
      <c r="C36" s="11"/>
      <c r="D36" s="9"/>
      <c r="E36" s="11"/>
      <c r="F36" s="9"/>
      <c r="G36" s="9"/>
      <c r="H36" s="9"/>
      <c r="I36" s="61" t="str">
        <f t="shared" si="0"/>
        <v> </v>
      </c>
    </row>
    <row r="37" spans="1:9" ht="15.75">
      <c r="A37" s="25" t="s">
        <v>121</v>
      </c>
      <c r="B37" s="26">
        <f>SUM(B8:B36)</f>
        <v>0</v>
      </c>
      <c r="C37" s="36">
        <f>SUM(C8:C24)</f>
        <v>0</v>
      </c>
      <c r="D37" s="26">
        <f>SUM(D8:D36)</f>
        <v>0</v>
      </c>
      <c r="E37" s="36">
        <f>SUM(E8:E24)</f>
        <v>0</v>
      </c>
      <c r="F37" s="26">
        <f>SUM(F8:F36)</f>
        <v>0</v>
      </c>
      <c r="G37" s="26">
        <f>SUM(G8:G36)</f>
        <v>0</v>
      </c>
      <c r="H37" s="26"/>
      <c r="I37" s="36">
        <f>SUM(I8:I24)</f>
        <v>0</v>
      </c>
    </row>
    <row r="38" spans="1:9" ht="15.75">
      <c r="A38" s="14"/>
      <c r="B38" s="14"/>
      <c r="C38" s="14"/>
      <c r="D38" s="14"/>
      <c r="E38" s="14"/>
      <c r="F38" s="14"/>
      <c r="G38" s="14"/>
      <c r="H38" s="14"/>
      <c r="I38" s="14"/>
    </row>
    <row r="39" spans="1:9" ht="15.75">
      <c r="A39" s="15" t="s">
        <v>176</v>
      </c>
      <c r="B39" s="14"/>
      <c r="C39" s="14"/>
      <c r="D39" s="14"/>
      <c r="E39" s="14"/>
      <c r="F39" s="14"/>
      <c r="G39" s="14"/>
      <c r="H39" s="14"/>
      <c r="I39" s="14"/>
    </row>
    <row r="40" spans="1:9" ht="15.75">
      <c r="A40" s="14"/>
      <c r="B40" s="14"/>
      <c r="C40" s="14"/>
      <c r="D40" s="14"/>
      <c r="E40" s="14"/>
      <c r="F40" s="14"/>
      <c r="G40" s="14"/>
      <c r="H40" s="14"/>
      <c r="I40" s="14"/>
    </row>
    <row r="41" spans="1:9" ht="15.75">
      <c r="A41" s="27"/>
      <c r="B41" s="14"/>
      <c r="C41" s="14"/>
      <c r="D41" s="14"/>
      <c r="E41" s="14"/>
      <c r="F41" s="14"/>
      <c r="G41" s="14"/>
      <c r="H41" s="14"/>
      <c r="I41" s="14"/>
    </row>
    <row r="42" spans="1:9" ht="15.75">
      <c r="A42" s="16" t="s">
        <v>177</v>
      </c>
      <c r="B42" s="14"/>
      <c r="C42" s="14"/>
      <c r="D42" s="14" t="s">
        <v>160</v>
      </c>
      <c r="E42" s="10"/>
      <c r="F42" s="14"/>
      <c r="G42" s="14"/>
      <c r="H42" s="14"/>
      <c r="I42" s="14"/>
    </row>
    <row r="44" spans="1:9" ht="15.75">
      <c r="A44" s="1"/>
      <c r="B44" s="1"/>
      <c r="C44" s="1"/>
      <c r="D44" s="1"/>
      <c r="E44" s="1"/>
      <c r="F44" s="1"/>
      <c r="G44" s="1"/>
      <c r="H44" s="1"/>
      <c r="I44" s="1"/>
    </row>
    <row r="45" spans="1:9" ht="15.75">
      <c r="A45" s="4"/>
      <c r="B45" s="1"/>
      <c r="C45" s="1"/>
      <c r="D45" s="1"/>
      <c r="E45" s="1"/>
      <c r="F45" s="1"/>
      <c r="G45" s="1"/>
      <c r="H45" s="1"/>
      <c r="I45" s="1"/>
    </row>
    <row r="46" spans="1:9" ht="15.75">
      <c r="A46" s="4"/>
      <c r="B46" s="5"/>
      <c r="C46" s="1"/>
      <c r="D46" s="5"/>
      <c r="E46" s="1"/>
      <c r="F46" s="5"/>
      <c r="G46" s="1"/>
      <c r="H46" s="1"/>
      <c r="I46" s="1"/>
    </row>
    <row r="47" spans="1:9" ht="15.75">
      <c r="A47" s="4"/>
      <c r="B47" s="4"/>
      <c r="C47" s="1"/>
      <c r="D47" s="4"/>
      <c r="E47" s="1"/>
      <c r="F47" s="4"/>
      <c r="G47" s="1"/>
      <c r="H47" s="1"/>
      <c r="I47" s="1"/>
    </row>
    <row r="48" spans="1:9" ht="15.75">
      <c r="A48" s="4"/>
      <c r="B48" s="4"/>
      <c r="C48" s="1"/>
      <c r="D48" s="4"/>
      <c r="E48" s="1"/>
      <c r="F48" s="4"/>
      <c r="G48" s="1"/>
      <c r="H48" s="1"/>
      <c r="I48" s="1"/>
    </row>
    <row r="49" spans="1:9" ht="15.75">
      <c r="A49" s="4"/>
      <c r="B49" s="4"/>
      <c r="C49" s="1"/>
      <c r="D49" s="4"/>
      <c r="E49" s="1"/>
      <c r="F49" s="4"/>
      <c r="G49" s="1"/>
      <c r="H49" s="1"/>
      <c r="I49" s="1"/>
    </row>
    <row r="50" spans="1:9" ht="15.75">
      <c r="A50" s="4"/>
      <c r="B50" s="4"/>
      <c r="C50" s="1"/>
      <c r="D50" s="4"/>
      <c r="E50" s="1"/>
      <c r="F50" s="4"/>
      <c r="G50" s="1"/>
      <c r="H50" s="1"/>
      <c r="I50" s="1"/>
    </row>
    <row r="51" spans="1:9" ht="15.75">
      <c r="A51" s="4"/>
      <c r="B51" s="4"/>
      <c r="C51" s="1"/>
      <c r="D51" s="4"/>
      <c r="E51" s="1"/>
      <c r="F51" s="4"/>
      <c r="G51" s="1"/>
      <c r="H51" s="1"/>
      <c r="I51" s="1"/>
    </row>
    <row r="52" spans="2:9" ht="15.75">
      <c r="B52" s="1"/>
      <c r="C52" s="1"/>
      <c r="D52" s="1"/>
      <c r="E52" s="1"/>
      <c r="F52" s="1"/>
      <c r="G52" s="1"/>
      <c r="H52" s="1"/>
      <c r="I52" s="1"/>
    </row>
    <row r="53" spans="2:9" ht="15.75">
      <c r="B53" s="1"/>
      <c r="C53" s="1"/>
      <c r="D53" s="1"/>
      <c r="E53" s="1"/>
      <c r="F53" s="1"/>
      <c r="G53" s="1"/>
      <c r="H53" s="1"/>
      <c r="I53" s="1"/>
    </row>
    <row r="54" spans="2:9" ht="15.75">
      <c r="B54" s="8"/>
      <c r="C54" s="1"/>
      <c r="D54" s="1"/>
      <c r="E54" s="1"/>
      <c r="F54" s="1"/>
      <c r="G54" s="1"/>
      <c r="H54" s="1"/>
      <c r="I54" s="1"/>
    </row>
    <row r="55" spans="2:9" ht="15.75">
      <c r="B55" s="7"/>
      <c r="C55" s="1"/>
      <c r="D55" s="1"/>
      <c r="E55" s="1"/>
      <c r="F55" s="1"/>
      <c r="G55" s="1"/>
      <c r="H55" s="1"/>
      <c r="I55" s="1"/>
    </row>
    <row r="56" spans="1:9" ht="15.75">
      <c r="A56" s="1"/>
      <c r="B56" s="1"/>
      <c r="C56" s="1"/>
      <c r="D56" s="1"/>
      <c r="E56" s="1"/>
      <c r="F56" s="1"/>
      <c r="G56" s="1"/>
      <c r="H56" s="1"/>
      <c r="I56" s="1"/>
    </row>
    <row r="57" spans="1:9" ht="15.75">
      <c r="A57" s="1"/>
      <c r="B57" s="1" t="s">
        <v>134</v>
      </c>
      <c r="C57" s="10"/>
      <c r="D57" s="1"/>
      <c r="E57" s="1"/>
      <c r="F57" s="1"/>
      <c r="G57" s="1"/>
      <c r="H57" s="1"/>
      <c r="I57" s="1"/>
    </row>
  </sheetData>
  <sheetProtection sheet="1"/>
  <mergeCells count="2">
    <mergeCell ref="G6:G7"/>
    <mergeCell ref="H6:H7"/>
  </mergeCells>
  <printOptions/>
  <pageMargins left="1.12" right="0.5" top="0.74" bottom="0.34" header="0.5" footer="0"/>
  <pageSetup blackAndWhite="1" fitToHeight="1" fitToWidth="1" horizontalDpi="120" verticalDpi="120" orientation="portrait" scale="58" r:id="rId1"/>
  <headerFooter alignWithMargins="0">
    <oddHeader>&amp;RState of Kansas
County
</oddHeader>
  </headerFooter>
</worksheet>
</file>

<file path=xl/worksheets/sheet33.xml><?xml version="1.0" encoding="utf-8"?>
<worksheet xmlns="http://schemas.openxmlformats.org/spreadsheetml/2006/main" xmlns:r="http://schemas.openxmlformats.org/officeDocument/2006/relationships">
  <sheetPr>
    <tabColor rgb="FFFF0000"/>
  </sheetPr>
  <dimension ref="A3:L85"/>
  <sheetViews>
    <sheetView tabSelected="1" zoomScalePageLayoutView="0" workbookViewId="0" topLeftCell="A45">
      <selection activeCell="F49" sqref="F49"/>
    </sheetView>
  </sheetViews>
  <sheetFormatPr defaultColWidth="8.796875" defaultRowHeight="15"/>
  <cols>
    <col min="1" max="1" width="71.296875" style="0" customWidth="1"/>
  </cols>
  <sheetData>
    <row r="3" spans="1:12" ht="15">
      <c r="A3" s="440" t="s">
        <v>952</v>
      </c>
      <c r="B3" s="440"/>
      <c r="C3" s="440"/>
      <c r="D3" s="440"/>
      <c r="E3" s="440"/>
      <c r="F3" s="440"/>
      <c r="G3" s="440"/>
      <c r="H3" s="440"/>
      <c r="I3" s="440"/>
      <c r="J3" s="440"/>
      <c r="K3" s="440"/>
      <c r="L3" s="440"/>
    </row>
    <row r="5" ht="15">
      <c r="A5" s="441" t="s">
        <v>378</v>
      </c>
    </row>
    <row r="6" ht="15">
      <c r="A6" s="441" t="str">
        <f>CONCATENATE(inputPrYr!C4-2," 'total expenditures' exceed your ",inputPrYr!C4-2," 'budget authority.'")</f>
        <v>2010 'total expenditures' exceed your 2010 'budget authority.'</v>
      </c>
    </row>
    <row r="7" ht="15">
      <c r="A7" s="441"/>
    </row>
    <row r="8" ht="15">
      <c r="A8" s="441" t="s">
        <v>379</v>
      </c>
    </row>
    <row r="9" ht="15">
      <c r="A9" s="441" t="s">
        <v>380</v>
      </c>
    </row>
    <row r="10" ht="15">
      <c r="A10" s="441" t="s">
        <v>381</v>
      </c>
    </row>
    <row r="11" ht="15">
      <c r="A11" s="441"/>
    </row>
    <row r="12" ht="15">
      <c r="A12" s="441"/>
    </row>
    <row r="13" ht="15">
      <c r="A13" s="442" t="s">
        <v>382</v>
      </c>
    </row>
    <row r="15" ht="15">
      <c r="A15" s="441" t="s">
        <v>383</v>
      </c>
    </row>
    <row r="16" ht="15">
      <c r="A16" s="441" t="str">
        <f>CONCATENATE("(i.e. an audit has not been completed, or the ",inputPrYr!C4," adopted")</f>
        <v>(i.e. an audit has not been completed, or the 2012 adopted</v>
      </c>
    </row>
    <row r="17" ht="15">
      <c r="A17" s="441" t="s">
        <v>384</v>
      </c>
    </row>
    <row r="18" ht="15">
      <c r="A18" s="441" t="s">
        <v>385</v>
      </c>
    </row>
    <row r="19" ht="15">
      <c r="A19" s="441" t="s">
        <v>386</v>
      </c>
    </row>
    <row r="21" ht="15">
      <c r="A21" s="442" t="s">
        <v>387</v>
      </c>
    </row>
    <row r="22" ht="15">
      <c r="A22" s="442"/>
    </row>
    <row r="23" ht="15">
      <c r="A23" s="441" t="s">
        <v>388</v>
      </c>
    </row>
    <row r="24" ht="15">
      <c r="A24" s="441" t="s">
        <v>389</v>
      </c>
    </row>
    <row r="25" ht="15">
      <c r="A25" s="441" t="str">
        <f>CONCATENATE("particular fund.  If your ",inputPrYr!C4-2," budget was amended, did you")</f>
        <v>particular fund.  If your 2010 budget was amended, did you</v>
      </c>
    </row>
    <row r="26" ht="15">
      <c r="A26" s="441" t="s">
        <v>390</v>
      </c>
    </row>
    <row r="27" ht="15">
      <c r="A27" s="441"/>
    </row>
    <row r="28" ht="15">
      <c r="A28" s="441" t="str">
        <f>CONCATENATE("Next, look to see if any of your ",inputPrYr!C4-2," expenditures can be")</f>
        <v>Next, look to see if any of your 2010 expenditures can be</v>
      </c>
    </row>
    <row r="29" ht="15">
      <c r="A29" s="441" t="s">
        <v>391</v>
      </c>
    </row>
    <row r="30" ht="15">
      <c r="A30" s="441" t="s">
        <v>392</v>
      </c>
    </row>
    <row r="31" ht="15">
      <c r="A31" s="441" t="s">
        <v>393</v>
      </c>
    </row>
    <row r="32" ht="15">
      <c r="A32" s="441"/>
    </row>
    <row r="33" ht="15">
      <c r="A33" s="441" t="str">
        <f>CONCATENATE("Additionally, do your ",inputPrYr!C4-2," receipts contain a reimbursement")</f>
        <v>Additionally, do your 2010 receipts contain a reimbursement</v>
      </c>
    </row>
    <row r="34" ht="15">
      <c r="A34" s="441" t="s">
        <v>394</v>
      </c>
    </row>
    <row r="35" ht="15">
      <c r="A35" s="441" t="s">
        <v>395</v>
      </c>
    </row>
    <row r="36" ht="15">
      <c r="A36" s="441"/>
    </row>
    <row r="37" ht="15">
      <c r="A37" s="441" t="s">
        <v>396</v>
      </c>
    </row>
    <row r="38" ht="15">
      <c r="A38" s="441" t="s">
        <v>397</v>
      </c>
    </row>
    <row r="39" ht="15">
      <c r="A39" s="441" t="s">
        <v>398</v>
      </c>
    </row>
    <row r="40" ht="15">
      <c r="A40" s="441" t="s">
        <v>43</v>
      </c>
    </row>
    <row r="41" ht="15">
      <c r="A41" s="441" t="s">
        <v>44</v>
      </c>
    </row>
    <row r="42" ht="15">
      <c r="A42" s="441" t="s">
        <v>45</v>
      </c>
    </row>
    <row r="43" ht="15">
      <c r="A43" s="441" t="s">
        <v>46</v>
      </c>
    </row>
    <row r="44" ht="15">
      <c r="A44" s="441" t="s">
        <v>47</v>
      </c>
    </row>
    <row r="45" ht="15">
      <c r="A45" s="441"/>
    </row>
    <row r="46" ht="15">
      <c r="A46" s="441" t="s">
        <v>48</v>
      </c>
    </row>
    <row r="47" ht="15">
      <c r="A47" s="441" t="s">
        <v>49</v>
      </c>
    </row>
    <row r="48" ht="15">
      <c r="A48" s="441" t="s">
        <v>50</v>
      </c>
    </row>
    <row r="49" ht="15">
      <c r="A49" s="441"/>
    </row>
    <row r="50" ht="15">
      <c r="A50" s="441" t="s">
        <v>51</v>
      </c>
    </row>
    <row r="51" ht="15">
      <c r="A51" s="441" t="s">
        <v>52</v>
      </c>
    </row>
    <row r="52" ht="15">
      <c r="A52" s="441" t="s">
        <v>53</v>
      </c>
    </row>
    <row r="53" ht="15">
      <c r="A53" s="441"/>
    </row>
    <row r="54" ht="15">
      <c r="A54" s="442" t="s">
        <v>54</v>
      </c>
    </row>
    <row r="55" ht="15">
      <c r="A55" s="441"/>
    </row>
    <row r="56" ht="15">
      <c r="A56" s="441" t="s">
        <v>55</v>
      </c>
    </row>
    <row r="57" ht="15">
      <c r="A57" s="441" t="s">
        <v>56</v>
      </c>
    </row>
    <row r="58" ht="15">
      <c r="A58" s="441" t="s">
        <v>57</v>
      </c>
    </row>
    <row r="59" ht="15">
      <c r="A59" s="441" t="s">
        <v>58</v>
      </c>
    </row>
    <row r="60" ht="15">
      <c r="A60" s="441" t="s">
        <v>59</v>
      </c>
    </row>
    <row r="61" ht="15">
      <c r="A61" s="441" t="s">
        <v>60</v>
      </c>
    </row>
    <row r="62" ht="15">
      <c r="A62" s="441" t="s">
        <v>61</v>
      </c>
    </row>
    <row r="63" ht="15">
      <c r="A63" s="441" t="s">
        <v>62</v>
      </c>
    </row>
    <row r="64" ht="15">
      <c r="A64" s="441" t="s">
        <v>63</v>
      </c>
    </row>
    <row r="65" ht="15">
      <c r="A65" s="441" t="s">
        <v>64</v>
      </c>
    </row>
    <row r="66" ht="15">
      <c r="A66" s="441" t="s">
        <v>65</v>
      </c>
    </row>
    <row r="67" ht="15">
      <c r="A67" s="441" t="s">
        <v>66</v>
      </c>
    </row>
    <row r="68" ht="15">
      <c r="A68" s="441" t="s">
        <v>67</v>
      </c>
    </row>
    <row r="69" ht="15">
      <c r="A69" s="441"/>
    </row>
    <row r="70" ht="15">
      <c r="A70" s="441" t="s">
        <v>68</v>
      </c>
    </row>
    <row r="71" ht="15">
      <c r="A71" s="441" t="s">
        <v>69</v>
      </c>
    </row>
    <row r="72" ht="15">
      <c r="A72" s="441" t="s">
        <v>70</v>
      </c>
    </row>
    <row r="73" ht="15">
      <c r="A73" s="441"/>
    </row>
    <row r="74" ht="15">
      <c r="A74" s="442" t="str">
        <f>CONCATENATE("What if the ",inputPrYr!C4-2," financial records have been closed?")</f>
        <v>What if the 2010 financial records have been closed?</v>
      </c>
    </row>
    <row r="76" ht="15">
      <c r="A76" s="441" t="s">
        <v>71</v>
      </c>
    </row>
    <row r="77" ht="15">
      <c r="A77" s="441" t="str">
        <f>CONCATENATE("(i.e. an audit for ",inputPrYr!C4-2," has been completed, or the ",inputPrYr!C4)</f>
        <v>(i.e. an audit for 2010 has been completed, or the 2012</v>
      </c>
    </row>
    <row r="78" ht="15">
      <c r="A78" s="441" t="s">
        <v>72</v>
      </c>
    </row>
    <row r="79" ht="15">
      <c r="A79" s="441" t="s">
        <v>679</v>
      </c>
    </row>
    <row r="80" ht="15">
      <c r="A80" s="441"/>
    </row>
    <row r="81" ht="15">
      <c r="A81" s="441" t="s">
        <v>680</v>
      </c>
    </row>
    <row r="82" ht="15">
      <c r="A82" s="441" t="s">
        <v>681</v>
      </c>
    </row>
    <row r="83" ht="15">
      <c r="A83" s="441" t="s">
        <v>682</v>
      </c>
    </row>
    <row r="84" ht="15">
      <c r="A84" s="441"/>
    </row>
    <row r="85" ht="15">
      <c r="A85" s="441" t="s">
        <v>683</v>
      </c>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A3:J109"/>
  <sheetViews>
    <sheetView tabSelected="1" zoomScalePageLayoutView="0" workbookViewId="0" topLeftCell="A1">
      <selection activeCell="F49" sqref="F49"/>
    </sheetView>
  </sheetViews>
  <sheetFormatPr defaultColWidth="8.796875" defaultRowHeight="15"/>
  <cols>
    <col min="1" max="1" width="71.296875" style="0" customWidth="1"/>
  </cols>
  <sheetData>
    <row r="3" spans="1:10" ht="15">
      <c r="A3" s="440" t="s">
        <v>684</v>
      </c>
      <c r="B3" s="440"/>
      <c r="C3" s="440"/>
      <c r="D3" s="440"/>
      <c r="E3" s="440"/>
      <c r="F3" s="440"/>
      <c r="G3" s="440"/>
      <c r="H3" s="443"/>
      <c r="I3" s="443"/>
      <c r="J3" s="443"/>
    </row>
    <row r="5" ht="15">
      <c r="A5" s="441" t="s">
        <v>685</v>
      </c>
    </row>
    <row r="6" ht="15">
      <c r="A6" t="str">
        <f>CONCATENATE(inputPrYr!C4-2," expenditures show that you finished the year with a ")</f>
        <v>2010 expenditures show that you finished the year with a </v>
      </c>
    </row>
    <row r="7" ht="15">
      <c r="A7" t="s">
        <v>686</v>
      </c>
    </row>
    <row r="9" ht="15">
      <c r="A9" t="s">
        <v>687</v>
      </c>
    </row>
    <row r="10" ht="15">
      <c r="A10" t="s">
        <v>688</v>
      </c>
    </row>
    <row r="11" ht="15">
      <c r="A11" t="s">
        <v>689</v>
      </c>
    </row>
    <row r="13" ht="15">
      <c r="A13" s="442" t="s">
        <v>690</v>
      </c>
    </row>
    <row r="14" ht="15">
      <c r="A14" s="442"/>
    </row>
    <row r="15" ht="15">
      <c r="A15" s="441" t="s">
        <v>691</v>
      </c>
    </row>
    <row r="16" ht="15">
      <c r="A16" s="441" t="s">
        <v>692</v>
      </c>
    </row>
    <row r="17" ht="15">
      <c r="A17" s="441" t="s">
        <v>693</v>
      </c>
    </row>
    <row r="18" ht="15">
      <c r="A18" s="441"/>
    </row>
    <row r="19" ht="15">
      <c r="A19" s="442" t="s">
        <v>694</v>
      </c>
    </row>
    <row r="20" ht="15">
      <c r="A20" s="442"/>
    </row>
    <row r="21" ht="15">
      <c r="A21" s="441" t="s">
        <v>695</v>
      </c>
    </row>
    <row r="22" ht="15">
      <c r="A22" s="441" t="s">
        <v>696</v>
      </c>
    </row>
    <row r="23" ht="15">
      <c r="A23" s="441" t="s">
        <v>697</v>
      </c>
    </row>
    <row r="24" ht="15">
      <c r="A24" s="441"/>
    </row>
    <row r="25" ht="15">
      <c r="A25" s="442" t="s">
        <v>698</v>
      </c>
    </row>
    <row r="26" ht="15">
      <c r="A26" s="442"/>
    </row>
    <row r="27" ht="15">
      <c r="A27" s="441" t="s">
        <v>699</v>
      </c>
    </row>
    <row r="28" ht="15">
      <c r="A28" s="441" t="s">
        <v>443</v>
      </c>
    </row>
    <row r="29" ht="15">
      <c r="A29" s="441" t="s">
        <v>444</v>
      </c>
    </row>
    <row r="30" ht="15">
      <c r="A30" s="441"/>
    </row>
    <row r="31" ht="15">
      <c r="A31" s="442" t="s">
        <v>445</v>
      </c>
    </row>
    <row r="32" ht="15">
      <c r="A32" s="442"/>
    </row>
    <row r="33" spans="1:8" ht="15">
      <c r="A33" s="441" t="str">
        <f>CONCATENATE("If your financial records for ",inputPrYr!C4-2," are not closed")</f>
        <v>If your financial records for 2010 are not closed</v>
      </c>
      <c r="B33" s="441"/>
      <c r="C33" s="441"/>
      <c r="D33" s="441"/>
      <c r="E33" s="441"/>
      <c r="F33" s="441"/>
      <c r="G33" s="441"/>
      <c r="H33" s="441"/>
    </row>
    <row r="34" spans="1:8" ht="15">
      <c r="A34" s="441" t="str">
        <f>CONCATENATE("(i.e. an audit has not been completed, or the ",inputPrYr!C4," adopted ")</f>
        <v>(i.e. an audit has not been completed, or the 2012 adopted </v>
      </c>
      <c r="B34" s="441"/>
      <c r="C34" s="441"/>
      <c r="D34" s="441"/>
      <c r="E34" s="441"/>
      <c r="F34" s="441"/>
      <c r="G34" s="441"/>
      <c r="H34" s="441"/>
    </row>
    <row r="35" spans="1:8" ht="15">
      <c r="A35" s="441" t="s">
        <v>446</v>
      </c>
      <c r="B35" s="441"/>
      <c r="C35" s="441"/>
      <c r="D35" s="441"/>
      <c r="E35" s="441"/>
      <c r="F35" s="441"/>
      <c r="G35" s="441"/>
      <c r="H35" s="441"/>
    </row>
    <row r="36" spans="1:8" ht="15">
      <c r="A36" s="441" t="s">
        <v>447</v>
      </c>
      <c r="B36" s="441"/>
      <c r="C36" s="441"/>
      <c r="D36" s="441"/>
      <c r="E36" s="441"/>
      <c r="F36" s="441"/>
      <c r="G36" s="441"/>
      <c r="H36" s="441"/>
    </row>
    <row r="37" spans="1:8" ht="15">
      <c r="A37" s="441" t="s">
        <v>448</v>
      </c>
      <c r="B37" s="441"/>
      <c r="C37" s="441"/>
      <c r="D37" s="441"/>
      <c r="E37" s="441"/>
      <c r="F37" s="441"/>
      <c r="G37" s="441"/>
      <c r="H37" s="441"/>
    </row>
    <row r="38" spans="1:8" ht="15">
      <c r="A38" s="441" t="s">
        <v>449</v>
      </c>
      <c r="B38" s="441"/>
      <c r="C38" s="441"/>
      <c r="D38" s="441"/>
      <c r="E38" s="441"/>
      <c r="F38" s="441"/>
      <c r="G38" s="441"/>
      <c r="H38" s="441"/>
    </row>
    <row r="39" spans="1:8" ht="15">
      <c r="A39" s="441" t="s">
        <v>450</v>
      </c>
      <c r="B39" s="441"/>
      <c r="C39" s="441"/>
      <c r="D39" s="441"/>
      <c r="E39" s="441"/>
      <c r="F39" s="441"/>
      <c r="G39" s="441"/>
      <c r="H39" s="441"/>
    </row>
    <row r="40" spans="1:8" ht="15">
      <c r="A40" s="441"/>
      <c r="B40" s="441"/>
      <c r="C40" s="441"/>
      <c r="D40" s="441"/>
      <c r="E40" s="441"/>
      <c r="F40" s="441"/>
      <c r="G40" s="441"/>
      <c r="H40" s="441"/>
    </row>
    <row r="41" spans="1:8" ht="15">
      <c r="A41" s="441" t="s">
        <v>451</v>
      </c>
      <c r="B41" s="441"/>
      <c r="C41" s="441"/>
      <c r="D41" s="441"/>
      <c r="E41" s="441"/>
      <c r="F41" s="441"/>
      <c r="G41" s="441"/>
      <c r="H41" s="441"/>
    </row>
    <row r="42" spans="1:8" ht="15">
      <c r="A42" s="441" t="s">
        <v>452</v>
      </c>
      <c r="B42" s="441"/>
      <c r="C42" s="441"/>
      <c r="D42" s="441"/>
      <c r="E42" s="441"/>
      <c r="F42" s="441"/>
      <c r="G42" s="441"/>
      <c r="H42" s="441"/>
    </row>
    <row r="43" spans="1:8" ht="15">
      <c r="A43" s="441" t="s">
        <v>453</v>
      </c>
      <c r="B43" s="441"/>
      <c r="C43" s="441"/>
      <c r="D43" s="441"/>
      <c r="E43" s="441"/>
      <c r="F43" s="441"/>
      <c r="G43" s="441"/>
      <c r="H43" s="441"/>
    </row>
    <row r="44" spans="1:8" ht="15">
      <c r="A44" s="441" t="s">
        <v>454</v>
      </c>
      <c r="B44" s="441"/>
      <c r="C44" s="441"/>
      <c r="D44" s="441"/>
      <c r="E44" s="441"/>
      <c r="F44" s="441"/>
      <c r="G44" s="441"/>
      <c r="H44" s="441"/>
    </row>
    <row r="45" spans="1:8" ht="15">
      <c r="A45" s="441"/>
      <c r="B45" s="441"/>
      <c r="C45" s="441"/>
      <c r="D45" s="441"/>
      <c r="E45" s="441"/>
      <c r="F45" s="441"/>
      <c r="G45" s="441"/>
      <c r="H45" s="441"/>
    </row>
    <row r="46" spans="1:8" ht="15">
      <c r="A46" s="441" t="s">
        <v>455</v>
      </c>
      <c r="B46" s="441"/>
      <c r="C46" s="441"/>
      <c r="D46" s="441"/>
      <c r="E46" s="441"/>
      <c r="F46" s="441"/>
      <c r="G46" s="441"/>
      <c r="H46" s="441"/>
    </row>
    <row r="47" spans="1:8" ht="15">
      <c r="A47" s="441" t="s">
        <v>456</v>
      </c>
      <c r="B47" s="441"/>
      <c r="C47" s="441"/>
      <c r="D47" s="441"/>
      <c r="E47" s="441"/>
      <c r="F47" s="441"/>
      <c r="G47" s="441"/>
      <c r="H47" s="441"/>
    </row>
    <row r="48" spans="1:8" ht="15">
      <c r="A48" s="441" t="s">
        <v>457</v>
      </c>
      <c r="B48" s="441"/>
      <c r="C48" s="441"/>
      <c r="D48" s="441"/>
      <c r="E48" s="441"/>
      <c r="F48" s="441"/>
      <c r="G48" s="441"/>
      <c r="H48" s="441"/>
    </row>
    <row r="49" spans="1:8" ht="15">
      <c r="A49" s="441" t="s">
        <v>458</v>
      </c>
      <c r="B49" s="441"/>
      <c r="C49" s="441"/>
      <c r="D49" s="441"/>
      <c r="E49" s="441"/>
      <c r="F49" s="441"/>
      <c r="G49" s="441"/>
      <c r="H49" s="441"/>
    </row>
    <row r="50" spans="1:8" ht="15">
      <c r="A50" s="441" t="s">
        <v>459</v>
      </c>
      <c r="B50" s="441"/>
      <c r="C50" s="441"/>
      <c r="D50" s="441"/>
      <c r="E50" s="441"/>
      <c r="F50" s="441"/>
      <c r="G50" s="441"/>
      <c r="H50" s="441"/>
    </row>
    <row r="51" spans="1:8" ht="15">
      <c r="A51" s="441"/>
      <c r="B51" s="441"/>
      <c r="C51" s="441"/>
      <c r="D51" s="441"/>
      <c r="E51" s="441"/>
      <c r="F51" s="441"/>
      <c r="G51" s="441"/>
      <c r="H51" s="441"/>
    </row>
    <row r="52" spans="1:8" ht="15">
      <c r="A52" s="442" t="s">
        <v>460</v>
      </c>
      <c r="B52" s="442"/>
      <c r="C52" s="442"/>
      <c r="D52" s="442"/>
      <c r="E52" s="442"/>
      <c r="F52" s="442"/>
      <c r="G52" s="442"/>
      <c r="H52" s="441"/>
    </row>
    <row r="53" spans="1:8" ht="15">
      <c r="A53" s="442" t="s">
        <v>461</v>
      </c>
      <c r="B53" s="442"/>
      <c r="C53" s="442"/>
      <c r="D53" s="442"/>
      <c r="E53" s="442"/>
      <c r="F53" s="442"/>
      <c r="G53" s="442"/>
      <c r="H53" s="441"/>
    </row>
    <row r="54" spans="1:8" ht="15">
      <c r="A54" s="441"/>
      <c r="B54" s="441"/>
      <c r="C54" s="441"/>
      <c r="D54" s="441"/>
      <c r="E54" s="441"/>
      <c r="F54" s="441"/>
      <c r="G54" s="441"/>
      <c r="H54" s="441"/>
    </row>
    <row r="55" spans="1:8" ht="15">
      <c r="A55" s="441" t="s">
        <v>462</v>
      </c>
      <c r="B55" s="441"/>
      <c r="C55" s="441"/>
      <c r="D55" s="441"/>
      <c r="E55" s="441"/>
      <c r="F55" s="441"/>
      <c r="G55" s="441"/>
      <c r="H55" s="441"/>
    </row>
    <row r="56" spans="1:8" ht="15">
      <c r="A56" s="441" t="s">
        <v>463</v>
      </c>
      <c r="B56" s="441"/>
      <c r="C56" s="441"/>
      <c r="D56" s="441"/>
      <c r="E56" s="441"/>
      <c r="F56" s="441"/>
      <c r="G56" s="441"/>
      <c r="H56" s="441"/>
    </row>
    <row r="57" spans="1:8" ht="15">
      <c r="A57" s="441" t="s">
        <v>464</v>
      </c>
      <c r="B57" s="441"/>
      <c r="C57" s="441"/>
      <c r="D57" s="441"/>
      <c r="E57" s="441"/>
      <c r="F57" s="441"/>
      <c r="G57" s="441"/>
      <c r="H57" s="441"/>
    </row>
    <row r="58" spans="1:8" ht="15">
      <c r="A58" s="441" t="s">
        <v>465</v>
      </c>
      <c r="B58" s="441"/>
      <c r="C58" s="441"/>
      <c r="D58" s="441"/>
      <c r="E58" s="441"/>
      <c r="F58" s="441"/>
      <c r="G58" s="441"/>
      <c r="H58" s="441"/>
    </row>
    <row r="59" spans="1:8" ht="15">
      <c r="A59" s="441"/>
      <c r="B59" s="441"/>
      <c r="C59" s="441"/>
      <c r="D59" s="441"/>
      <c r="E59" s="441"/>
      <c r="F59" s="441"/>
      <c r="G59" s="441"/>
      <c r="H59" s="441"/>
    </row>
    <row r="60" spans="1:8" ht="15">
      <c r="A60" s="441" t="s">
        <v>466</v>
      </c>
      <c r="B60" s="441"/>
      <c r="C60" s="441"/>
      <c r="D60" s="441"/>
      <c r="E60" s="441"/>
      <c r="F60" s="441"/>
      <c r="G60" s="441"/>
      <c r="H60" s="441"/>
    </row>
    <row r="61" spans="1:8" ht="15">
      <c r="A61" s="441" t="s">
        <v>467</v>
      </c>
      <c r="B61" s="441"/>
      <c r="C61" s="441"/>
      <c r="D61" s="441"/>
      <c r="E61" s="441"/>
      <c r="F61" s="441"/>
      <c r="G61" s="441"/>
      <c r="H61" s="441"/>
    </row>
    <row r="62" spans="1:8" ht="15">
      <c r="A62" s="441" t="s">
        <v>468</v>
      </c>
      <c r="B62" s="441"/>
      <c r="C62" s="441"/>
      <c r="D62" s="441"/>
      <c r="E62" s="441"/>
      <c r="F62" s="441"/>
      <c r="G62" s="441"/>
      <c r="H62" s="441"/>
    </row>
    <row r="63" spans="1:8" ht="15">
      <c r="A63" s="441" t="s">
        <v>469</v>
      </c>
      <c r="B63" s="441"/>
      <c r="C63" s="441"/>
      <c r="D63" s="441"/>
      <c r="E63" s="441"/>
      <c r="F63" s="441"/>
      <c r="G63" s="441"/>
      <c r="H63" s="441"/>
    </row>
    <row r="64" spans="1:8" ht="15">
      <c r="A64" s="441" t="s">
        <v>470</v>
      </c>
      <c r="B64" s="441"/>
      <c r="C64" s="441"/>
      <c r="D64" s="441"/>
      <c r="E64" s="441"/>
      <c r="F64" s="441"/>
      <c r="G64" s="441"/>
      <c r="H64" s="441"/>
    </row>
    <row r="65" spans="1:8" ht="15">
      <c r="A65" s="441" t="s">
        <v>471</v>
      </c>
      <c r="B65" s="441"/>
      <c r="C65" s="441"/>
      <c r="D65" s="441"/>
      <c r="E65" s="441"/>
      <c r="F65" s="441"/>
      <c r="G65" s="441"/>
      <c r="H65" s="441"/>
    </row>
    <row r="66" spans="1:8" ht="15">
      <c r="A66" s="441"/>
      <c r="B66" s="441"/>
      <c r="C66" s="441"/>
      <c r="D66" s="441"/>
      <c r="E66" s="441"/>
      <c r="F66" s="441"/>
      <c r="G66" s="441"/>
      <c r="H66" s="441"/>
    </row>
    <row r="67" spans="1:8" ht="15">
      <c r="A67" s="441" t="s">
        <v>472</v>
      </c>
      <c r="B67" s="441"/>
      <c r="C67" s="441"/>
      <c r="D67" s="441"/>
      <c r="E67" s="441"/>
      <c r="F67" s="441"/>
      <c r="G67" s="441"/>
      <c r="H67" s="441"/>
    </row>
    <row r="68" spans="1:8" ht="15">
      <c r="A68" s="441" t="s">
        <v>473</v>
      </c>
      <c r="B68" s="441"/>
      <c r="C68" s="441"/>
      <c r="D68" s="441"/>
      <c r="E68" s="441"/>
      <c r="F68" s="441"/>
      <c r="G68" s="441"/>
      <c r="H68" s="441"/>
    </row>
    <row r="69" spans="1:8" ht="15">
      <c r="A69" s="441" t="s">
        <v>474</v>
      </c>
      <c r="B69" s="441"/>
      <c r="C69" s="441"/>
      <c r="D69" s="441"/>
      <c r="E69" s="441"/>
      <c r="F69" s="441"/>
      <c r="G69" s="441"/>
      <c r="H69" s="441"/>
    </row>
    <row r="70" spans="1:8" ht="15">
      <c r="A70" s="441" t="s">
        <v>475</v>
      </c>
      <c r="B70" s="441"/>
      <c r="C70" s="441"/>
      <c r="D70" s="441"/>
      <c r="E70" s="441"/>
      <c r="F70" s="441"/>
      <c r="G70" s="441"/>
      <c r="H70" s="441"/>
    </row>
    <row r="71" spans="1:8" ht="15">
      <c r="A71" s="441" t="s">
        <v>476</v>
      </c>
      <c r="B71" s="441"/>
      <c r="C71" s="441"/>
      <c r="D71" s="441"/>
      <c r="E71" s="441"/>
      <c r="F71" s="441"/>
      <c r="G71" s="441"/>
      <c r="H71" s="441"/>
    </row>
    <row r="72" spans="1:8" ht="15">
      <c r="A72" s="441" t="s">
        <v>477</v>
      </c>
      <c r="B72" s="441"/>
      <c r="C72" s="441"/>
      <c r="D72" s="441"/>
      <c r="E72" s="441"/>
      <c r="F72" s="441"/>
      <c r="G72" s="441"/>
      <c r="H72" s="441"/>
    </row>
    <row r="73" spans="1:8" ht="15">
      <c r="A73" s="441" t="s">
        <v>478</v>
      </c>
      <c r="B73" s="441"/>
      <c r="C73" s="441"/>
      <c r="D73" s="441"/>
      <c r="E73" s="441"/>
      <c r="F73" s="441"/>
      <c r="G73" s="441"/>
      <c r="H73" s="441"/>
    </row>
    <row r="74" spans="1:8" ht="15">
      <c r="A74" s="441"/>
      <c r="B74" s="441"/>
      <c r="C74" s="441"/>
      <c r="D74" s="441"/>
      <c r="E74" s="441"/>
      <c r="F74" s="441"/>
      <c r="G74" s="441"/>
      <c r="H74" s="441"/>
    </row>
    <row r="75" spans="1:8" ht="15">
      <c r="A75" s="441" t="s">
        <v>479</v>
      </c>
      <c r="B75" s="441"/>
      <c r="C75" s="441"/>
      <c r="D75" s="441"/>
      <c r="E75" s="441"/>
      <c r="F75" s="441"/>
      <c r="G75" s="441"/>
      <c r="H75" s="441"/>
    </row>
    <row r="76" spans="1:8" ht="15">
      <c r="A76" s="441" t="s">
        <v>480</v>
      </c>
      <c r="B76" s="441"/>
      <c r="C76" s="441"/>
      <c r="D76" s="441"/>
      <c r="E76" s="441"/>
      <c r="F76" s="441"/>
      <c r="G76" s="441"/>
      <c r="H76" s="441"/>
    </row>
    <row r="77" spans="1:8" ht="15">
      <c r="A77" s="441" t="s">
        <v>481</v>
      </c>
      <c r="B77" s="441"/>
      <c r="C77" s="441"/>
      <c r="D77" s="441"/>
      <c r="E77" s="441"/>
      <c r="F77" s="441"/>
      <c r="G77" s="441"/>
      <c r="H77" s="441"/>
    </row>
    <row r="78" spans="1:8" ht="15">
      <c r="A78" s="441"/>
      <c r="B78" s="441"/>
      <c r="C78" s="441"/>
      <c r="D78" s="441"/>
      <c r="E78" s="441"/>
      <c r="F78" s="441"/>
      <c r="G78" s="441"/>
      <c r="H78" s="441"/>
    </row>
    <row r="79" ht="15">
      <c r="A79" s="441" t="s">
        <v>683</v>
      </c>
    </row>
    <row r="80" ht="15">
      <c r="A80" s="442"/>
    </row>
    <row r="81" ht="15">
      <c r="A81" s="441"/>
    </row>
    <row r="82" ht="15">
      <c r="A82" s="441"/>
    </row>
    <row r="83" ht="15">
      <c r="A83" s="441"/>
    </row>
    <row r="84" ht="15">
      <c r="A84" s="441"/>
    </row>
    <row r="85" ht="15">
      <c r="A85" s="441"/>
    </row>
    <row r="86" ht="15">
      <c r="A86" s="441"/>
    </row>
    <row r="87" ht="15">
      <c r="A87" s="441"/>
    </row>
    <row r="88" ht="15">
      <c r="A88" s="441"/>
    </row>
    <row r="89" ht="15">
      <c r="A89" s="441"/>
    </row>
    <row r="90" ht="15">
      <c r="A90" s="441"/>
    </row>
    <row r="91" ht="15">
      <c r="A91" s="441"/>
    </row>
    <row r="92" ht="15">
      <c r="A92" s="441"/>
    </row>
    <row r="93" ht="15">
      <c r="A93" s="441"/>
    </row>
    <row r="94" ht="15">
      <c r="A94" s="441"/>
    </row>
    <row r="95" ht="15">
      <c r="A95" s="441"/>
    </row>
    <row r="96" ht="15">
      <c r="A96" s="441"/>
    </row>
    <row r="97" ht="15">
      <c r="A97" s="441"/>
    </row>
    <row r="98" ht="15">
      <c r="A98" s="441"/>
    </row>
    <row r="99" ht="15">
      <c r="A99" s="441"/>
    </row>
    <row r="100" ht="15">
      <c r="A100" s="441"/>
    </row>
    <row r="101" ht="15">
      <c r="A101" s="441"/>
    </row>
    <row r="103" ht="15">
      <c r="A103" s="441"/>
    </row>
    <row r="104" ht="15">
      <c r="A104" s="441"/>
    </row>
    <row r="105" ht="15">
      <c r="A105" s="441"/>
    </row>
    <row r="107" ht="15">
      <c r="A107" s="442"/>
    </row>
    <row r="108" ht="15">
      <c r="A108" s="442"/>
    </row>
    <row r="109" ht="15">
      <c r="A109" s="442"/>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A3:L75"/>
  <sheetViews>
    <sheetView tabSelected="1" zoomScalePageLayoutView="0" workbookViewId="0" topLeftCell="A27">
      <selection activeCell="F49" sqref="F49"/>
    </sheetView>
  </sheetViews>
  <sheetFormatPr defaultColWidth="8.796875" defaultRowHeight="15"/>
  <cols>
    <col min="1" max="1" width="71.296875" style="0" customWidth="1"/>
  </cols>
  <sheetData>
    <row r="3" spans="1:12" ht="15">
      <c r="A3" s="440" t="s">
        <v>482</v>
      </c>
      <c r="B3" s="440"/>
      <c r="C3" s="440"/>
      <c r="D3" s="440"/>
      <c r="E3" s="440"/>
      <c r="F3" s="440"/>
      <c r="G3" s="440"/>
      <c r="H3" s="440"/>
      <c r="I3" s="440"/>
      <c r="J3" s="440"/>
      <c r="K3" s="440"/>
      <c r="L3" s="440"/>
    </row>
    <row r="4" spans="1:12" ht="15">
      <c r="A4" s="440"/>
      <c r="B4" s="440"/>
      <c r="C4" s="440"/>
      <c r="D4" s="440"/>
      <c r="E4" s="440"/>
      <c r="F4" s="440"/>
      <c r="G4" s="440"/>
      <c r="H4" s="440"/>
      <c r="I4" s="440"/>
      <c r="J4" s="440"/>
      <c r="K4" s="440"/>
      <c r="L4" s="440"/>
    </row>
    <row r="5" spans="1:12" ht="15">
      <c r="A5" s="441" t="s">
        <v>378</v>
      </c>
      <c r="I5" s="440"/>
      <c r="J5" s="440"/>
      <c r="K5" s="440"/>
      <c r="L5" s="440"/>
    </row>
    <row r="6" spans="1:12" ht="15">
      <c r="A6" s="441" t="str">
        <f>CONCATENATE("estimated ",inputPrYr!C4-1," 'total expenditures' exceed your ",inputPrYr!C4-1,"")</f>
        <v>estimated 2011 'total expenditures' exceed your 2011</v>
      </c>
      <c r="I6" s="440"/>
      <c r="J6" s="440"/>
      <c r="K6" s="440"/>
      <c r="L6" s="440"/>
    </row>
    <row r="7" spans="1:12" ht="15">
      <c r="A7" s="444" t="s">
        <v>483</v>
      </c>
      <c r="I7" s="440"/>
      <c r="J7" s="440"/>
      <c r="K7" s="440"/>
      <c r="L7" s="440"/>
    </row>
    <row r="8" spans="1:12" ht="15">
      <c r="A8" s="441"/>
      <c r="I8" s="440"/>
      <c r="J8" s="440"/>
      <c r="K8" s="440"/>
      <c r="L8" s="440"/>
    </row>
    <row r="9" spans="1:12" ht="15">
      <c r="A9" s="441" t="s">
        <v>484</v>
      </c>
      <c r="I9" s="440"/>
      <c r="J9" s="440"/>
      <c r="K9" s="440"/>
      <c r="L9" s="440"/>
    </row>
    <row r="10" spans="1:12" ht="15">
      <c r="A10" s="441" t="s">
        <v>485</v>
      </c>
      <c r="I10" s="440"/>
      <c r="J10" s="440"/>
      <c r="K10" s="440"/>
      <c r="L10" s="440"/>
    </row>
    <row r="11" spans="1:12" ht="15">
      <c r="A11" s="441" t="s">
        <v>486</v>
      </c>
      <c r="I11" s="440"/>
      <c r="J11" s="440"/>
      <c r="K11" s="440"/>
      <c r="L11" s="440"/>
    </row>
    <row r="12" spans="1:12" ht="15">
      <c r="A12" s="441" t="s">
        <v>487</v>
      </c>
      <c r="I12" s="440"/>
      <c r="J12" s="440"/>
      <c r="K12" s="440"/>
      <c r="L12" s="440"/>
    </row>
    <row r="13" spans="1:12" ht="15">
      <c r="A13" s="441" t="s">
        <v>488</v>
      </c>
      <c r="I13" s="440"/>
      <c r="J13" s="440"/>
      <c r="K13" s="440"/>
      <c r="L13" s="440"/>
    </row>
    <row r="14" spans="1:12" ht="15">
      <c r="A14" s="440"/>
      <c r="B14" s="440"/>
      <c r="C14" s="440"/>
      <c r="D14" s="440"/>
      <c r="E14" s="440"/>
      <c r="F14" s="440"/>
      <c r="G14" s="440"/>
      <c r="H14" s="440"/>
      <c r="I14" s="440"/>
      <c r="J14" s="440"/>
      <c r="K14" s="440"/>
      <c r="L14" s="440"/>
    </row>
    <row r="15" ht="15">
      <c r="A15" s="442" t="s">
        <v>489</v>
      </c>
    </row>
    <row r="16" ht="15">
      <c r="A16" s="442" t="s">
        <v>490</v>
      </c>
    </row>
    <row r="17" ht="15">
      <c r="A17" s="442"/>
    </row>
    <row r="18" spans="1:7" ht="15">
      <c r="A18" s="441" t="s">
        <v>491</v>
      </c>
      <c r="B18" s="441"/>
      <c r="C18" s="441"/>
      <c r="D18" s="441"/>
      <c r="E18" s="441"/>
      <c r="F18" s="441"/>
      <c r="G18" s="441"/>
    </row>
    <row r="19" spans="1:7" ht="15">
      <c r="A19" s="441" t="str">
        <f>CONCATENATE("your ",inputPrYr!C4-1," numbers to see what steps might be necessary to")</f>
        <v>your 2011 numbers to see what steps might be necessary to</v>
      </c>
      <c r="B19" s="441"/>
      <c r="C19" s="441"/>
      <c r="D19" s="441"/>
      <c r="E19" s="441"/>
      <c r="F19" s="441"/>
      <c r="G19" s="441"/>
    </row>
    <row r="20" spans="1:7" ht="15">
      <c r="A20" s="441" t="s">
        <v>492</v>
      </c>
      <c r="B20" s="441"/>
      <c r="C20" s="441"/>
      <c r="D20" s="441"/>
      <c r="E20" s="441"/>
      <c r="F20" s="441"/>
      <c r="G20" s="441"/>
    </row>
    <row r="21" spans="1:7" ht="15">
      <c r="A21" s="441" t="s">
        <v>493</v>
      </c>
      <c r="B21" s="441"/>
      <c r="C21" s="441"/>
      <c r="D21" s="441"/>
      <c r="E21" s="441"/>
      <c r="F21" s="441"/>
      <c r="G21" s="441"/>
    </row>
    <row r="22" ht="15">
      <c r="A22" s="441"/>
    </row>
    <row r="23" ht="15">
      <c r="A23" s="442" t="s">
        <v>494</v>
      </c>
    </row>
    <row r="24" ht="15">
      <c r="A24" s="442"/>
    </row>
    <row r="25" ht="15">
      <c r="A25" s="441" t="s">
        <v>495</v>
      </c>
    </row>
    <row r="26" spans="1:6" ht="15">
      <c r="A26" s="441" t="s">
        <v>496</v>
      </c>
      <c r="B26" s="441"/>
      <c r="C26" s="441"/>
      <c r="D26" s="441"/>
      <c r="E26" s="441"/>
      <c r="F26" s="441"/>
    </row>
    <row r="27" spans="1:6" ht="15">
      <c r="A27" s="441" t="s">
        <v>497</v>
      </c>
      <c r="B27" s="441"/>
      <c r="C27" s="441"/>
      <c r="D27" s="441"/>
      <c r="E27" s="441"/>
      <c r="F27" s="441"/>
    </row>
    <row r="28" spans="1:6" ht="15">
      <c r="A28" s="441" t="s">
        <v>498</v>
      </c>
      <c r="B28" s="441"/>
      <c r="C28" s="441"/>
      <c r="D28" s="441"/>
      <c r="E28" s="441"/>
      <c r="F28" s="441"/>
    </row>
    <row r="29" spans="1:6" ht="15">
      <c r="A29" s="441"/>
      <c r="B29" s="441"/>
      <c r="C29" s="441"/>
      <c r="D29" s="441"/>
      <c r="E29" s="441"/>
      <c r="F29" s="441"/>
    </row>
    <row r="30" spans="1:7" ht="15">
      <c r="A30" s="442" t="s">
        <v>499</v>
      </c>
      <c r="B30" s="442"/>
      <c r="C30" s="442"/>
      <c r="D30" s="442"/>
      <c r="E30" s="442"/>
      <c r="F30" s="442"/>
      <c r="G30" s="442"/>
    </row>
    <row r="31" spans="1:7" ht="15">
      <c r="A31" s="442" t="s">
        <v>500</v>
      </c>
      <c r="B31" s="442"/>
      <c r="C31" s="442"/>
      <c r="D31" s="442"/>
      <c r="E31" s="442"/>
      <c r="F31" s="442"/>
      <c r="G31" s="442"/>
    </row>
    <row r="32" spans="1:6" ht="15">
      <c r="A32" s="441"/>
      <c r="B32" s="441"/>
      <c r="C32" s="441"/>
      <c r="D32" s="441"/>
      <c r="E32" s="441"/>
      <c r="F32" s="441"/>
    </row>
    <row r="33" spans="1:6" ht="15">
      <c r="A33" s="445" t="str">
        <f>CONCATENATE("Well, let's look to see if any of your ",inputPrYr!C4-1," expenditures can")</f>
        <v>Well, let's look to see if any of your 2011 expenditures can</v>
      </c>
      <c r="B33" s="441"/>
      <c r="C33" s="441"/>
      <c r="D33" s="441"/>
      <c r="E33" s="441"/>
      <c r="F33" s="441"/>
    </row>
    <row r="34" spans="1:6" ht="15">
      <c r="A34" s="445" t="s">
        <v>501</v>
      </c>
      <c r="B34" s="441"/>
      <c r="C34" s="441"/>
      <c r="D34" s="441"/>
      <c r="E34" s="441"/>
      <c r="F34" s="441"/>
    </row>
    <row r="35" spans="1:6" ht="15">
      <c r="A35" s="445" t="s">
        <v>392</v>
      </c>
      <c r="B35" s="441"/>
      <c r="C35" s="441"/>
      <c r="D35" s="441"/>
      <c r="E35" s="441"/>
      <c r="F35" s="441"/>
    </row>
    <row r="36" spans="1:6" ht="15">
      <c r="A36" s="445" t="s">
        <v>393</v>
      </c>
      <c r="B36" s="441"/>
      <c r="C36" s="441"/>
      <c r="D36" s="441"/>
      <c r="E36" s="441"/>
      <c r="F36" s="441"/>
    </row>
    <row r="37" spans="1:6" ht="15">
      <c r="A37" s="445"/>
      <c r="B37" s="441"/>
      <c r="C37" s="441"/>
      <c r="D37" s="441"/>
      <c r="E37" s="441"/>
      <c r="F37" s="441"/>
    </row>
    <row r="38" spans="1:6" ht="15">
      <c r="A38" s="445" t="str">
        <f>CONCATENATE("Additionally, do your ",inputPrYr!C4-1," receipts contain a reimbursement")</f>
        <v>Additionally, do your 2011 receipts contain a reimbursement</v>
      </c>
      <c r="B38" s="441"/>
      <c r="C38" s="441"/>
      <c r="D38" s="441"/>
      <c r="E38" s="441"/>
      <c r="F38" s="441"/>
    </row>
    <row r="39" spans="1:6" ht="15">
      <c r="A39" s="445" t="s">
        <v>394</v>
      </c>
      <c r="B39" s="441"/>
      <c r="C39" s="441"/>
      <c r="D39" s="441"/>
      <c r="E39" s="441"/>
      <c r="F39" s="441"/>
    </row>
    <row r="40" spans="1:6" ht="15">
      <c r="A40" s="445" t="s">
        <v>395</v>
      </c>
      <c r="B40" s="441"/>
      <c r="C40" s="441"/>
      <c r="D40" s="441"/>
      <c r="E40" s="441"/>
      <c r="F40" s="441"/>
    </row>
    <row r="41" spans="1:6" ht="15">
      <c r="A41" s="445"/>
      <c r="B41" s="441"/>
      <c r="C41" s="441"/>
      <c r="D41" s="441"/>
      <c r="E41" s="441"/>
      <c r="F41" s="441"/>
    </row>
    <row r="42" spans="1:6" ht="15">
      <c r="A42" s="445" t="s">
        <v>396</v>
      </c>
      <c r="B42" s="441"/>
      <c r="C42" s="441"/>
      <c r="D42" s="441"/>
      <c r="E42" s="441"/>
      <c r="F42" s="441"/>
    </row>
    <row r="43" spans="1:6" ht="15">
      <c r="A43" s="445" t="s">
        <v>397</v>
      </c>
      <c r="B43" s="441"/>
      <c r="C43" s="441"/>
      <c r="D43" s="441"/>
      <c r="E43" s="441"/>
      <c r="F43" s="441"/>
    </row>
    <row r="44" spans="1:6" ht="15">
      <c r="A44" s="445" t="s">
        <v>398</v>
      </c>
      <c r="B44" s="441"/>
      <c r="C44" s="441"/>
      <c r="D44" s="441"/>
      <c r="E44" s="441"/>
      <c r="F44" s="441"/>
    </row>
    <row r="45" spans="1:6" ht="15">
      <c r="A45" s="445" t="s">
        <v>502</v>
      </c>
      <c r="B45" s="441"/>
      <c r="C45" s="441"/>
      <c r="D45" s="441"/>
      <c r="E45" s="441"/>
      <c r="F45" s="441"/>
    </row>
    <row r="46" spans="1:6" ht="15">
      <c r="A46" s="445" t="s">
        <v>44</v>
      </c>
      <c r="B46" s="441"/>
      <c r="C46" s="441"/>
      <c r="D46" s="441"/>
      <c r="E46" s="441"/>
      <c r="F46" s="441"/>
    </row>
    <row r="47" spans="1:6" ht="15">
      <c r="A47" s="445" t="s">
        <v>503</v>
      </c>
      <c r="B47" s="441"/>
      <c r="C47" s="441"/>
      <c r="D47" s="441"/>
      <c r="E47" s="441"/>
      <c r="F47" s="441"/>
    </row>
    <row r="48" spans="1:6" ht="15">
      <c r="A48" s="445" t="s">
        <v>504</v>
      </c>
      <c r="B48" s="441"/>
      <c r="C48" s="441"/>
      <c r="D48" s="441"/>
      <c r="E48" s="441"/>
      <c r="F48" s="441"/>
    </row>
    <row r="49" spans="1:6" ht="15">
      <c r="A49" s="445" t="s">
        <v>47</v>
      </c>
      <c r="B49" s="441"/>
      <c r="C49" s="441"/>
      <c r="D49" s="441"/>
      <c r="E49" s="441"/>
      <c r="F49" s="441"/>
    </row>
    <row r="50" spans="1:6" ht="15">
      <c r="A50" s="445"/>
      <c r="B50" s="441"/>
      <c r="C50" s="441"/>
      <c r="D50" s="441"/>
      <c r="E50" s="441"/>
      <c r="F50" s="441"/>
    </row>
    <row r="51" spans="1:6" ht="15">
      <c r="A51" s="445" t="s">
        <v>48</v>
      </c>
      <c r="B51" s="441"/>
      <c r="C51" s="441"/>
      <c r="D51" s="441"/>
      <c r="E51" s="441"/>
      <c r="F51" s="441"/>
    </row>
    <row r="52" spans="1:6" ht="15">
      <c r="A52" s="445" t="s">
        <v>49</v>
      </c>
      <c r="B52" s="441"/>
      <c r="C52" s="441"/>
      <c r="D52" s="441"/>
      <c r="E52" s="441"/>
      <c r="F52" s="441"/>
    </row>
    <row r="53" spans="1:6" ht="15">
      <c r="A53" s="445" t="s">
        <v>50</v>
      </c>
      <c r="B53" s="441"/>
      <c r="C53" s="441"/>
      <c r="D53" s="441"/>
      <c r="E53" s="441"/>
      <c r="F53" s="441"/>
    </row>
    <row r="54" spans="1:6" ht="15">
      <c r="A54" s="445"/>
      <c r="B54" s="441"/>
      <c r="C54" s="441"/>
      <c r="D54" s="441"/>
      <c r="E54" s="441"/>
      <c r="F54" s="441"/>
    </row>
    <row r="55" spans="1:6" ht="15">
      <c r="A55" s="445" t="s">
        <v>505</v>
      </c>
      <c r="B55" s="441"/>
      <c r="C55" s="441"/>
      <c r="D55" s="441"/>
      <c r="E55" s="441"/>
      <c r="F55" s="441"/>
    </row>
    <row r="56" spans="1:6" ht="15">
      <c r="A56" s="445" t="s">
        <v>506</v>
      </c>
      <c r="B56" s="441"/>
      <c r="C56" s="441"/>
      <c r="D56" s="441"/>
      <c r="E56" s="441"/>
      <c r="F56" s="441"/>
    </row>
    <row r="57" spans="1:6" ht="15">
      <c r="A57" s="445" t="s">
        <v>507</v>
      </c>
      <c r="B57" s="441"/>
      <c r="C57" s="441"/>
      <c r="D57" s="441"/>
      <c r="E57" s="441"/>
      <c r="F57" s="441"/>
    </row>
    <row r="58" spans="1:6" ht="15">
      <c r="A58" s="445" t="s">
        <v>508</v>
      </c>
      <c r="B58" s="441"/>
      <c r="C58" s="441"/>
      <c r="D58" s="441"/>
      <c r="E58" s="441"/>
      <c r="F58" s="441"/>
    </row>
    <row r="59" spans="1:6" ht="15">
      <c r="A59" s="445" t="s">
        <v>509</v>
      </c>
      <c r="B59" s="441"/>
      <c r="C59" s="441"/>
      <c r="D59" s="441"/>
      <c r="E59" s="441"/>
      <c r="F59" s="441"/>
    </row>
    <row r="60" spans="1:6" ht="15">
      <c r="A60" s="445"/>
      <c r="B60" s="441"/>
      <c r="C60" s="441"/>
      <c r="D60" s="441"/>
      <c r="E60" s="441"/>
      <c r="F60" s="441"/>
    </row>
    <row r="61" spans="1:6" ht="15">
      <c r="A61" s="446" t="s">
        <v>510</v>
      </c>
      <c r="B61" s="441"/>
      <c r="C61" s="441"/>
      <c r="D61" s="441"/>
      <c r="E61" s="441"/>
      <c r="F61" s="441"/>
    </row>
    <row r="62" spans="1:6" ht="15">
      <c r="A62" s="446" t="s">
        <v>511</v>
      </c>
      <c r="B62" s="441"/>
      <c r="C62" s="441"/>
      <c r="D62" s="441"/>
      <c r="E62" s="441"/>
      <c r="F62" s="441"/>
    </row>
    <row r="63" spans="1:6" ht="15">
      <c r="A63" s="446" t="s">
        <v>512</v>
      </c>
      <c r="B63" s="441"/>
      <c r="C63" s="441"/>
      <c r="D63" s="441"/>
      <c r="E63" s="441"/>
      <c r="F63" s="441"/>
    </row>
    <row r="64" ht="15">
      <c r="A64" s="446" t="s">
        <v>513</v>
      </c>
    </row>
    <row r="65" ht="15">
      <c r="A65" s="446" t="s">
        <v>514</v>
      </c>
    </row>
    <row r="66" ht="15">
      <c r="A66" s="446" t="s">
        <v>515</v>
      </c>
    </row>
    <row r="68" ht="15">
      <c r="A68" s="441" t="s">
        <v>516</v>
      </c>
    </row>
    <row r="69" ht="15">
      <c r="A69" s="441" t="s">
        <v>517</v>
      </c>
    </row>
    <row r="70" ht="15">
      <c r="A70" s="441" t="s">
        <v>518</v>
      </c>
    </row>
    <row r="71" ht="15">
      <c r="A71" s="441" t="s">
        <v>519</v>
      </c>
    </row>
    <row r="72" ht="15">
      <c r="A72" s="441" t="s">
        <v>520</v>
      </c>
    </row>
    <row r="73" ht="15">
      <c r="A73" s="441" t="s">
        <v>521</v>
      </c>
    </row>
    <row r="75" ht="15">
      <c r="A75" s="441" t="s">
        <v>683</v>
      </c>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440" t="s">
        <v>522</v>
      </c>
      <c r="B3" s="440"/>
      <c r="C3" s="440"/>
      <c r="D3" s="440"/>
      <c r="E3" s="440"/>
      <c r="F3" s="440"/>
      <c r="G3" s="440"/>
    </row>
    <row r="4" spans="1:7" ht="15">
      <c r="A4" s="440"/>
      <c r="B4" s="440"/>
      <c r="C4" s="440"/>
      <c r="D4" s="440"/>
      <c r="E4" s="440"/>
      <c r="F4" s="440"/>
      <c r="G4" s="440"/>
    </row>
    <row r="5" ht="15">
      <c r="A5" s="441" t="s">
        <v>685</v>
      </c>
    </row>
    <row r="6" ht="15">
      <c r="A6" s="441" t="str">
        <f>CONCATENATE(inputPrYr!C4-1," estimated expenditures show that at the end of this year")</f>
        <v>2011 estimated expenditures show that at the end of this year</v>
      </c>
    </row>
    <row r="7" ht="15">
      <c r="A7" s="441" t="s">
        <v>523</v>
      </c>
    </row>
    <row r="8" ht="15">
      <c r="A8" s="441" t="s">
        <v>524</v>
      </c>
    </row>
    <row r="10" ht="15">
      <c r="A10" t="s">
        <v>687</v>
      </c>
    </row>
    <row r="11" ht="15">
      <c r="A11" t="s">
        <v>688</v>
      </c>
    </row>
    <row r="12" ht="15">
      <c r="A12" t="s">
        <v>689</v>
      </c>
    </row>
    <row r="13" spans="1:7" ht="15">
      <c r="A13" s="440"/>
      <c r="B13" s="440"/>
      <c r="C13" s="440"/>
      <c r="D13" s="440"/>
      <c r="E13" s="440"/>
      <c r="F13" s="440"/>
      <c r="G13" s="440"/>
    </row>
    <row r="14" ht="15">
      <c r="A14" s="442" t="s">
        <v>525</v>
      </c>
    </row>
    <row r="15" ht="15">
      <c r="A15" s="441"/>
    </row>
    <row r="16" ht="15">
      <c r="A16" s="441" t="s">
        <v>526</v>
      </c>
    </row>
    <row r="17" ht="15">
      <c r="A17" s="441" t="s">
        <v>527</v>
      </c>
    </row>
    <row r="18" ht="15">
      <c r="A18" s="441" t="s">
        <v>528</v>
      </c>
    </row>
    <row r="19" ht="15">
      <c r="A19" s="441"/>
    </row>
    <row r="20" ht="15">
      <c r="A20" s="441" t="s">
        <v>529</v>
      </c>
    </row>
    <row r="21" ht="15">
      <c r="A21" s="441" t="s">
        <v>530</v>
      </c>
    </row>
    <row r="22" ht="15">
      <c r="A22" s="441" t="s">
        <v>531</v>
      </c>
    </row>
    <row r="23" ht="15">
      <c r="A23" s="441" t="s">
        <v>532</v>
      </c>
    </row>
    <row r="24" ht="15">
      <c r="A24" s="441"/>
    </row>
    <row r="25" ht="15">
      <c r="A25" s="442" t="s">
        <v>494</v>
      </c>
    </row>
    <row r="26" ht="15">
      <c r="A26" s="442"/>
    </row>
    <row r="27" ht="15">
      <c r="A27" s="441" t="s">
        <v>495</v>
      </c>
    </row>
    <row r="28" spans="1:6" ht="15">
      <c r="A28" s="441" t="s">
        <v>496</v>
      </c>
      <c r="B28" s="441"/>
      <c r="C28" s="441"/>
      <c r="D28" s="441"/>
      <c r="E28" s="441"/>
      <c r="F28" s="441"/>
    </row>
    <row r="29" spans="1:6" ht="15">
      <c r="A29" s="441" t="s">
        <v>497</v>
      </c>
      <c r="B29" s="441"/>
      <c r="C29" s="441"/>
      <c r="D29" s="441"/>
      <c r="E29" s="441"/>
      <c r="F29" s="441"/>
    </row>
    <row r="30" spans="1:6" ht="15">
      <c r="A30" s="441" t="s">
        <v>498</v>
      </c>
      <c r="B30" s="441"/>
      <c r="C30" s="441"/>
      <c r="D30" s="441"/>
      <c r="E30" s="441"/>
      <c r="F30" s="441"/>
    </row>
    <row r="31" ht="15">
      <c r="A31" s="441"/>
    </row>
    <row r="32" spans="1:7" ht="15">
      <c r="A32" s="442" t="s">
        <v>499</v>
      </c>
      <c r="B32" s="442"/>
      <c r="C32" s="442"/>
      <c r="D32" s="442"/>
      <c r="E32" s="442"/>
      <c r="F32" s="442"/>
      <c r="G32" s="442"/>
    </row>
    <row r="33" spans="1:7" ht="15">
      <c r="A33" s="442" t="s">
        <v>500</v>
      </c>
      <c r="B33" s="442"/>
      <c r="C33" s="442"/>
      <c r="D33" s="442"/>
      <c r="E33" s="442"/>
      <c r="F33" s="442"/>
      <c r="G33" s="442"/>
    </row>
    <row r="34" spans="1:7" ht="15">
      <c r="A34" s="442"/>
      <c r="B34" s="442"/>
      <c r="C34" s="442"/>
      <c r="D34" s="442"/>
      <c r="E34" s="442"/>
      <c r="F34" s="442"/>
      <c r="G34" s="442"/>
    </row>
    <row r="35" spans="1:7" ht="15">
      <c r="A35" s="441" t="s">
        <v>533</v>
      </c>
      <c r="B35" s="441"/>
      <c r="C35" s="441"/>
      <c r="D35" s="441"/>
      <c r="E35" s="441"/>
      <c r="F35" s="441"/>
      <c r="G35" s="441"/>
    </row>
    <row r="36" spans="1:7" ht="15">
      <c r="A36" s="441" t="s">
        <v>534</v>
      </c>
      <c r="B36" s="441"/>
      <c r="C36" s="441"/>
      <c r="D36" s="441"/>
      <c r="E36" s="441"/>
      <c r="F36" s="441"/>
      <c r="G36" s="441"/>
    </row>
    <row r="37" spans="1:7" ht="15">
      <c r="A37" s="441" t="s">
        <v>535</v>
      </c>
      <c r="B37" s="441"/>
      <c r="C37" s="441"/>
      <c r="D37" s="441"/>
      <c r="E37" s="441"/>
      <c r="F37" s="441"/>
      <c r="G37" s="441"/>
    </row>
    <row r="38" spans="1:7" ht="15">
      <c r="A38" s="441" t="s">
        <v>536</v>
      </c>
      <c r="B38" s="441"/>
      <c r="C38" s="441"/>
      <c r="D38" s="441"/>
      <c r="E38" s="441"/>
      <c r="F38" s="441"/>
      <c r="G38" s="441"/>
    </row>
    <row r="39" spans="1:7" ht="15">
      <c r="A39" s="441" t="s">
        <v>537</v>
      </c>
      <c r="B39" s="441"/>
      <c r="C39" s="441"/>
      <c r="D39" s="441"/>
      <c r="E39" s="441"/>
      <c r="F39" s="441"/>
      <c r="G39" s="441"/>
    </row>
    <row r="40" spans="1:7" ht="15">
      <c r="A40" s="442"/>
      <c r="B40" s="442"/>
      <c r="C40" s="442"/>
      <c r="D40" s="442"/>
      <c r="E40" s="442"/>
      <c r="F40" s="442"/>
      <c r="G40" s="442"/>
    </row>
    <row r="41" spans="1:6" ht="15">
      <c r="A41" s="445" t="str">
        <f>CONCATENATE("So, let's look to see if any of your ",inputPrYr!C4-1," expenditures can")</f>
        <v>So, let's look to see if any of your 2011 expenditures can</v>
      </c>
      <c r="B41" s="441"/>
      <c r="C41" s="441"/>
      <c r="D41" s="441"/>
      <c r="E41" s="441"/>
      <c r="F41" s="441"/>
    </row>
    <row r="42" spans="1:6" ht="15">
      <c r="A42" s="445" t="s">
        <v>501</v>
      </c>
      <c r="B42" s="441"/>
      <c r="C42" s="441"/>
      <c r="D42" s="441"/>
      <c r="E42" s="441"/>
      <c r="F42" s="441"/>
    </row>
    <row r="43" spans="1:6" ht="15">
      <c r="A43" s="445" t="s">
        <v>392</v>
      </c>
      <c r="B43" s="441"/>
      <c r="C43" s="441"/>
      <c r="D43" s="441"/>
      <c r="E43" s="441"/>
      <c r="F43" s="441"/>
    </row>
    <row r="44" spans="1:6" ht="15">
      <c r="A44" s="445" t="s">
        <v>393</v>
      </c>
      <c r="B44" s="441"/>
      <c r="C44" s="441"/>
      <c r="D44" s="441"/>
      <c r="E44" s="441"/>
      <c r="F44" s="441"/>
    </row>
    <row r="45" ht="15">
      <c r="A45" s="441"/>
    </row>
    <row r="46" spans="1:6" ht="15">
      <c r="A46" s="445" t="str">
        <f>CONCATENATE("Additionally, do your ",inputPrYr!C4-1," receipts contain a reimbursement")</f>
        <v>Additionally, do your 2011 receipts contain a reimbursement</v>
      </c>
      <c r="B46" s="441"/>
      <c r="C46" s="441"/>
      <c r="D46" s="441"/>
      <c r="E46" s="441"/>
      <c r="F46" s="441"/>
    </row>
    <row r="47" spans="1:6" ht="15">
      <c r="A47" s="445" t="s">
        <v>394</v>
      </c>
      <c r="B47" s="441"/>
      <c r="C47" s="441"/>
      <c r="D47" s="441"/>
      <c r="E47" s="441"/>
      <c r="F47" s="441"/>
    </row>
    <row r="48" spans="1:6" ht="15">
      <c r="A48" s="445" t="s">
        <v>395</v>
      </c>
      <c r="B48" s="441"/>
      <c r="C48" s="441"/>
      <c r="D48" s="441"/>
      <c r="E48" s="441"/>
      <c r="F48" s="441"/>
    </row>
    <row r="49" spans="1:7" ht="15">
      <c r="A49" s="441"/>
      <c r="B49" s="441"/>
      <c r="C49" s="441"/>
      <c r="D49" s="441"/>
      <c r="E49" s="441"/>
      <c r="F49" s="441"/>
      <c r="G49" s="441"/>
    </row>
    <row r="50" spans="1:7" ht="15">
      <c r="A50" s="441" t="s">
        <v>455</v>
      </c>
      <c r="B50" s="441"/>
      <c r="C50" s="441"/>
      <c r="D50" s="441"/>
      <c r="E50" s="441"/>
      <c r="F50" s="441"/>
      <c r="G50" s="441"/>
    </row>
    <row r="51" spans="1:7" ht="15">
      <c r="A51" s="441" t="s">
        <v>456</v>
      </c>
      <c r="B51" s="441"/>
      <c r="C51" s="441"/>
      <c r="D51" s="441"/>
      <c r="E51" s="441"/>
      <c r="F51" s="441"/>
      <c r="G51" s="441"/>
    </row>
    <row r="52" spans="1:7" ht="15">
      <c r="A52" s="441" t="s">
        <v>457</v>
      </c>
      <c r="B52" s="441"/>
      <c r="C52" s="441"/>
      <c r="D52" s="441"/>
      <c r="E52" s="441"/>
      <c r="F52" s="441"/>
      <c r="G52" s="441"/>
    </row>
    <row r="53" spans="1:7" ht="15">
      <c r="A53" s="441" t="s">
        <v>458</v>
      </c>
      <c r="B53" s="441"/>
      <c r="C53" s="441"/>
      <c r="D53" s="441"/>
      <c r="E53" s="441"/>
      <c r="F53" s="441"/>
      <c r="G53" s="441"/>
    </row>
    <row r="54" spans="1:7" ht="15">
      <c r="A54" s="441" t="s">
        <v>459</v>
      </c>
      <c r="B54" s="441"/>
      <c r="C54" s="441"/>
      <c r="D54" s="441"/>
      <c r="E54" s="441"/>
      <c r="F54" s="441"/>
      <c r="G54" s="441"/>
    </row>
    <row r="55" spans="1:7" ht="15">
      <c r="A55" s="441"/>
      <c r="B55" s="441"/>
      <c r="C55" s="441"/>
      <c r="D55" s="441"/>
      <c r="E55" s="441"/>
      <c r="F55" s="441"/>
      <c r="G55" s="441"/>
    </row>
    <row r="56" spans="1:6" ht="15">
      <c r="A56" s="445" t="s">
        <v>48</v>
      </c>
      <c r="B56" s="441"/>
      <c r="C56" s="441"/>
      <c r="D56" s="441"/>
      <c r="E56" s="441"/>
      <c r="F56" s="441"/>
    </row>
    <row r="57" spans="1:6" ht="15">
      <c r="A57" s="445" t="s">
        <v>49</v>
      </c>
      <c r="B57" s="441"/>
      <c r="C57" s="441"/>
      <c r="D57" s="441"/>
      <c r="E57" s="441"/>
      <c r="F57" s="441"/>
    </row>
    <row r="58" spans="1:6" ht="15">
      <c r="A58" s="445" t="s">
        <v>50</v>
      </c>
      <c r="B58" s="441"/>
      <c r="C58" s="441"/>
      <c r="D58" s="441"/>
      <c r="E58" s="441"/>
      <c r="F58" s="441"/>
    </row>
    <row r="59" spans="1:6" ht="15">
      <c r="A59" s="445"/>
      <c r="B59" s="441"/>
      <c r="C59" s="441"/>
      <c r="D59" s="441"/>
      <c r="E59" s="441"/>
      <c r="F59" s="441"/>
    </row>
    <row r="60" spans="1:7" ht="15">
      <c r="A60" s="441" t="s">
        <v>538</v>
      </c>
      <c r="B60" s="441"/>
      <c r="C60" s="441"/>
      <c r="D60" s="441"/>
      <c r="E60" s="441"/>
      <c r="F60" s="441"/>
      <c r="G60" s="441"/>
    </row>
    <row r="61" spans="1:7" ht="15">
      <c r="A61" s="441" t="s">
        <v>539</v>
      </c>
      <c r="B61" s="441"/>
      <c r="C61" s="441"/>
      <c r="D61" s="441"/>
      <c r="E61" s="441"/>
      <c r="F61" s="441"/>
      <c r="G61" s="441"/>
    </row>
    <row r="62" spans="1:7" ht="15">
      <c r="A62" s="441" t="s">
        <v>540</v>
      </c>
      <c r="B62" s="441"/>
      <c r="C62" s="441"/>
      <c r="D62" s="441"/>
      <c r="E62" s="441"/>
      <c r="F62" s="441"/>
      <c r="G62" s="441"/>
    </row>
    <row r="63" spans="1:7" ht="15">
      <c r="A63" s="441" t="s">
        <v>541</v>
      </c>
      <c r="B63" s="441"/>
      <c r="C63" s="441"/>
      <c r="D63" s="441"/>
      <c r="E63" s="441"/>
      <c r="F63" s="441"/>
      <c r="G63" s="441"/>
    </row>
    <row r="64" spans="1:7" ht="15">
      <c r="A64" s="441" t="s">
        <v>542</v>
      </c>
      <c r="B64" s="441"/>
      <c r="C64" s="441"/>
      <c r="D64" s="441"/>
      <c r="E64" s="441"/>
      <c r="F64" s="441"/>
      <c r="G64" s="441"/>
    </row>
    <row r="66" spans="1:6" ht="15">
      <c r="A66" s="445" t="s">
        <v>505</v>
      </c>
      <c r="B66" s="441"/>
      <c r="C66" s="441"/>
      <c r="D66" s="441"/>
      <c r="E66" s="441"/>
      <c r="F66" s="441"/>
    </row>
    <row r="67" spans="1:6" ht="15">
      <c r="A67" s="445" t="s">
        <v>506</v>
      </c>
      <c r="B67" s="441"/>
      <c r="C67" s="441"/>
      <c r="D67" s="441"/>
      <c r="E67" s="441"/>
      <c r="F67" s="441"/>
    </row>
    <row r="68" spans="1:6" ht="15">
      <c r="A68" s="445" t="s">
        <v>507</v>
      </c>
      <c r="B68" s="441"/>
      <c r="C68" s="441"/>
      <c r="D68" s="441"/>
      <c r="E68" s="441"/>
      <c r="F68" s="441"/>
    </row>
    <row r="69" spans="1:6" ht="15">
      <c r="A69" s="445" t="s">
        <v>508</v>
      </c>
      <c r="B69" s="441"/>
      <c r="C69" s="441"/>
      <c r="D69" s="441"/>
      <c r="E69" s="441"/>
      <c r="F69" s="441"/>
    </row>
    <row r="70" spans="1:6" ht="15">
      <c r="A70" s="445" t="s">
        <v>509</v>
      </c>
      <c r="B70" s="441"/>
      <c r="C70" s="441"/>
      <c r="D70" s="441"/>
      <c r="E70" s="441"/>
      <c r="F70" s="441"/>
    </row>
    <row r="71" ht="15">
      <c r="A71" s="441"/>
    </row>
    <row r="72" ht="15">
      <c r="A72" s="441" t="s">
        <v>683</v>
      </c>
    </row>
    <row r="73" ht="15">
      <c r="A73" s="441"/>
    </row>
    <row r="74" ht="15">
      <c r="A74" s="441"/>
    </row>
    <row r="75" ht="15">
      <c r="A75" s="441"/>
    </row>
    <row r="78" ht="15">
      <c r="A78" s="442"/>
    </row>
    <row r="80" ht="15">
      <c r="A80" s="441"/>
    </row>
    <row r="81" ht="15">
      <c r="A81" s="441"/>
    </row>
    <row r="82" ht="15">
      <c r="A82" s="441"/>
    </row>
    <row r="83" ht="15">
      <c r="A83" s="441"/>
    </row>
    <row r="84" ht="15">
      <c r="A84" s="441"/>
    </row>
    <row r="85" ht="15">
      <c r="A85" s="441"/>
    </row>
    <row r="86" ht="15">
      <c r="A86" s="441"/>
    </row>
    <row r="87" ht="15">
      <c r="A87" s="441"/>
    </row>
    <row r="88" ht="15">
      <c r="A88" s="441"/>
    </row>
    <row r="89" ht="15">
      <c r="A89" s="441"/>
    </row>
    <row r="90" ht="15">
      <c r="A90" s="441"/>
    </row>
    <row r="92" ht="15">
      <c r="A92" s="441"/>
    </row>
    <row r="93" ht="15">
      <c r="A93" s="441"/>
    </row>
    <row r="94" ht="15">
      <c r="A94" s="441"/>
    </row>
    <row r="95" ht="15">
      <c r="A95" s="441"/>
    </row>
    <row r="96" ht="15">
      <c r="A96" s="441"/>
    </row>
    <row r="97" ht="15">
      <c r="A97" s="441"/>
    </row>
    <row r="98" ht="15">
      <c r="A98" s="441"/>
    </row>
    <row r="99" ht="15">
      <c r="A99" s="441"/>
    </row>
    <row r="100" ht="15">
      <c r="A100" s="441"/>
    </row>
    <row r="101" ht="15">
      <c r="A101" s="441"/>
    </row>
    <row r="102" ht="15">
      <c r="A102" s="441"/>
    </row>
    <row r="103" ht="15">
      <c r="A103" s="441"/>
    </row>
    <row r="104" ht="15">
      <c r="A104" s="441"/>
    </row>
    <row r="105" ht="15">
      <c r="A105" s="441"/>
    </row>
    <row r="106" ht="15">
      <c r="A106" s="441"/>
    </row>
  </sheetData>
  <sheetProtection sheet="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tabColor rgb="FFFF0000"/>
  </sheetPr>
  <dimension ref="A3:H52"/>
  <sheetViews>
    <sheetView tabSelected="1" zoomScalePageLayoutView="0" workbookViewId="0" topLeftCell="A1">
      <selection activeCell="F49" sqref="F49"/>
    </sheetView>
  </sheetViews>
  <sheetFormatPr defaultColWidth="8.796875" defaultRowHeight="15"/>
  <cols>
    <col min="1" max="1" width="71.296875" style="0" customWidth="1"/>
  </cols>
  <sheetData>
    <row r="3" spans="1:7" ht="15">
      <c r="A3" s="440" t="s">
        <v>543</v>
      </c>
      <c r="B3" s="440"/>
      <c r="C3" s="440"/>
      <c r="D3" s="440"/>
      <c r="E3" s="440"/>
      <c r="F3" s="440"/>
      <c r="G3" s="440"/>
    </row>
    <row r="4" spans="1:7" ht="15">
      <c r="A4" s="440" t="s">
        <v>544</v>
      </c>
      <c r="B4" s="440"/>
      <c r="C4" s="440"/>
      <c r="D4" s="440"/>
      <c r="E4" s="440"/>
      <c r="F4" s="440"/>
      <c r="G4" s="440"/>
    </row>
    <row r="5" spans="1:7" ht="15">
      <c r="A5" s="440"/>
      <c r="B5" s="440"/>
      <c r="C5" s="440"/>
      <c r="D5" s="440"/>
      <c r="E5" s="440"/>
      <c r="F5" s="440"/>
      <c r="G5" s="440"/>
    </row>
    <row r="6" spans="1:7" ht="15">
      <c r="A6" s="440"/>
      <c r="B6" s="440"/>
      <c r="C6" s="440"/>
      <c r="D6" s="440"/>
      <c r="E6" s="440"/>
      <c r="F6" s="440"/>
      <c r="G6" s="440"/>
    </row>
    <row r="7" ht="15">
      <c r="A7" s="441" t="s">
        <v>378</v>
      </c>
    </row>
    <row r="8" ht="15">
      <c r="A8" s="441" t="str">
        <f>CONCATENATE("estimated ",inputPrYr!C4," 'total expenditures' exceed your ",inputPrYr!C4,"")</f>
        <v>estimated 2012 'total expenditures' exceed your 2012</v>
      </c>
    </row>
    <row r="9" ht="15">
      <c r="A9" s="444" t="s">
        <v>545</v>
      </c>
    </row>
    <row r="10" ht="15">
      <c r="A10" s="441"/>
    </row>
    <row r="11" ht="15">
      <c r="A11" s="441" t="s">
        <v>546</v>
      </c>
    </row>
    <row r="12" ht="15">
      <c r="A12" s="441" t="s">
        <v>547</v>
      </c>
    </row>
    <row r="13" ht="15">
      <c r="A13" s="441" t="s">
        <v>548</v>
      </c>
    </row>
    <row r="14" ht="15">
      <c r="A14" s="441"/>
    </row>
    <row r="15" ht="15">
      <c r="A15" s="442" t="s">
        <v>549</v>
      </c>
    </row>
    <row r="16" spans="1:7" ht="15">
      <c r="A16" s="440"/>
      <c r="B16" s="440"/>
      <c r="C16" s="440"/>
      <c r="D16" s="440"/>
      <c r="E16" s="440"/>
      <c r="F16" s="440"/>
      <c r="G16" s="440"/>
    </row>
    <row r="17" spans="1:8" ht="15">
      <c r="A17" s="447" t="s">
        <v>550</v>
      </c>
      <c r="B17" s="424"/>
      <c r="C17" s="424"/>
      <c r="D17" s="424"/>
      <c r="E17" s="424"/>
      <c r="F17" s="424"/>
      <c r="G17" s="424"/>
      <c r="H17" s="424"/>
    </row>
    <row r="18" spans="1:7" ht="15">
      <c r="A18" s="441" t="s">
        <v>551</v>
      </c>
      <c r="B18" s="448"/>
      <c r="C18" s="448"/>
      <c r="D18" s="448"/>
      <c r="E18" s="448"/>
      <c r="F18" s="448"/>
      <c r="G18" s="448"/>
    </row>
    <row r="19" ht="15">
      <c r="A19" s="441" t="s">
        <v>552</v>
      </c>
    </row>
    <row r="20" ht="15">
      <c r="A20" s="441" t="s">
        <v>553</v>
      </c>
    </row>
    <row r="22" ht="15">
      <c r="A22" s="442" t="s">
        <v>554</v>
      </c>
    </row>
    <row r="24" ht="15">
      <c r="A24" s="441" t="s">
        <v>555</v>
      </c>
    </row>
    <row r="25" ht="15">
      <c r="A25" s="441" t="s">
        <v>556</v>
      </c>
    </row>
    <row r="26" ht="15">
      <c r="A26" s="441" t="s">
        <v>557</v>
      </c>
    </row>
    <row r="28" ht="15">
      <c r="A28" s="442" t="s">
        <v>558</v>
      </c>
    </row>
    <row r="30" ht="15">
      <c r="A30" t="s">
        <v>559</v>
      </c>
    </row>
    <row r="31" ht="15">
      <c r="A31" t="s">
        <v>560</v>
      </c>
    </row>
    <row r="32" ht="15">
      <c r="A32" t="s">
        <v>561</v>
      </c>
    </row>
    <row r="33" ht="15">
      <c r="A33" s="441" t="s">
        <v>562</v>
      </c>
    </row>
    <row r="35" ht="15">
      <c r="A35" t="s">
        <v>563</v>
      </c>
    </row>
    <row r="36" ht="15">
      <c r="A36" t="s">
        <v>564</v>
      </c>
    </row>
    <row r="37" ht="15">
      <c r="A37" t="s">
        <v>565</v>
      </c>
    </row>
    <row r="38" ht="15">
      <c r="A38" t="s">
        <v>566</v>
      </c>
    </row>
    <row r="40" ht="15">
      <c r="A40" t="s">
        <v>567</v>
      </c>
    </row>
    <row r="41" ht="15">
      <c r="A41" t="s">
        <v>568</v>
      </c>
    </row>
    <row r="42" ht="15">
      <c r="A42" t="s">
        <v>569</v>
      </c>
    </row>
    <row r="43" ht="15">
      <c r="A43" t="s">
        <v>570</v>
      </c>
    </row>
    <row r="44" ht="15">
      <c r="A44" t="s">
        <v>571</v>
      </c>
    </row>
    <row r="45" ht="15">
      <c r="A45" t="s">
        <v>572</v>
      </c>
    </row>
    <row r="47" ht="15">
      <c r="A47" t="s">
        <v>829</v>
      </c>
    </row>
    <row r="48" ht="15">
      <c r="A48" t="s">
        <v>830</v>
      </c>
    </row>
    <row r="49" ht="15">
      <c r="A49" s="441" t="s">
        <v>831</v>
      </c>
    </row>
    <row r="50" ht="15">
      <c r="A50" s="441" t="s">
        <v>832</v>
      </c>
    </row>
    <row r="52" ht="15">
      <c r="A52" t="s">
        <v>683</v>
      </c>
    </row>
  </sheetData>
  <sheetProtection sheet="1"/>
  <printOptions/>
  <pageMargins left="0.7" right="0.7" top="0.75" bottom="0.75" header="0.3" footer="0.3"/>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X354"/>
  <sheetViews>
    <sheetView tabSelected="1" zoomScalePageLayoutView="0" workbookViewId="0" topLeftCell="A1">
      <selection activeCell="F49" sqref="F49"/>
    </sheetView>
  </sheetViews>
  <sheetFormatPr defaultColWidth="8.796875" defaultRowHeight="15"/>
  <cols>
    <col min="1" max="1" width="7.59765625" style="569" customWidth="1"/>
    <col min="2" max="2" width="11.19921875" style="600" customWidth="1"/>
    <col min="3" max="3" width="7.3984375" style="600" customWidth="1"/>
    <col min="4" max="4" width="8.8984375" style="600" customWidth="1"/>
    <col min="5" max="5" width="1.59765625" style="600" customWidth="1"/>
    <col min="6" max="6" width="14.296875" style="600" customWidth="1"/>
    <col min="7" max="7" width="2.59765625" style="600" customWidth="1"/>
    <col min="8" max="8" width="9.796875" style="600" customWidth="1"/>
    <col min="9" max="9" width="2" style="600" customWidth="1"/>
    <col min="10" max="10" width="8.59765625" style="600" customWidth="1"/>
    <col min="11" max="11" width="11.69921875" style="600" customWidth="1"/>
    <col min="12" max="12" width="7.59765625" style="569" customWidth="1"/>
    <col min="13" max="14" width="8.8984375" style="569" customWidth="1"/>
    <col min="15" max="15" width="9.8984375" style="569" bestFit="1" customWidth="1"/>
    <col min="16" max="16384" width="8.8984375" style="569" customWidth="1"/>
  </cols>
  <sheetData>
    <row r="1" spans="1:12" ht="14.25">
      <c r="A1" s="599"/>
      <c r="B1" s="599"/>
      <c r="C1" s="599"/>
      <c r="D1" s="599"/>
      <c r="E1" s="599"/>
      <c r="F1" s="599"/>
      <c r="G1" s="599"/>
      <c r="H1" s="599"/>
      <c r="I1" s="599"/>
      <c r="J1" s="599"/>
      <c r="K1" s="599"/>
      <c r="L1" s="599"/>
    </row>
    <row r="2" spans="1:12" ht="14.25">
      <c r="A2" s="599"/>
      <c r="B2" s="599"/>
      <c r="C2" s="599"/>
      <c r="D2" s="599"/>
      <c r="E2" s="599"/>
      <c r="F2" s="599"/>
      <c r="G2" s="599"/>
      <c r="H2" s="599"/>
      <c r="I2" s="599"/>
      <c r="J2" s="599"/>
      <c r="K2" s="599"/>
      <c r="L2" s="599"/>
    </row>
    <row r="3" spans="1:12" ht="14.25">
      <c r="A3" s="599"/>
      <c r="B3" s="599"/>
      <c r="C3" s="599"/>
      <c r="D3" s="599"/>
      <c r="E3" s="599"/>
      <c r="F3" s="599"/>
      <c r="G3" s="599"/>
      <c r="H3" s="599"/>
      <c r="I3" s="599"/>
      <c r="J3" s="599"/>
      <c r="K3" s="599"/>
      <c r="L3" s="599"/>
    </row>
    <row r="4" spans="1:12" ht="14.25">
      <c r="A4" s="599"/>
      <c r="L4" s="599"/>
    </row>
    <row r="5" spans="1:12" ht="15" customHeight="1">
      <c r="A5" s="599"/>
      <c r="L5" s="599"/>
    </row>
    <row r="6" spans="1:12" ht="33" customHeight="1">
      <c r="A6" s="599"/>
      <c r="B6" s="772" t="s">
        <v>776</v>
      </c>
      <c r="C6" s="781"/>
      <c r="D6" s="781"/>
      <c r="E6" s="781"/>
      <c r="F6" s="781"/>
      <c r="G6" s="781"/>
      <c r="H6" s="781"/>
      <c r="I6" s="781"/>
      <c r="J6" s="781"/>
      <c r="K6" s="781"/>
      <c r="L6" s="601"/>
    </row>
    <row r="7" spans="1:12" ht="40.5" customHeight="1">
      <c r="A7" s="599"/>
      <c r="B7" s="782" t="s">
        <v>777</v>
      </c>
      <c r="C7" s="783"/>
      <c r="D7" s="783"/>
      <c r="E7" s="783"/>
      <c r="F7" s="783"/>
      <c r="G7" s="783"/>
      <c r="H7" s="783"/>
      <c r="I7" s="783"/>
      <c r="J7" s="783"/>
      <c r="K7" s="783"/>
      <c r="L7" s="599"/>
    </row>
    <row r="8" spans="1:12" ht="14.25">
      <c r="A8" s="599"/>
      <c r="B8" s="774" t="s">
        <v>778</v>
      </c>
      <c r="C8" s="774"/>
      <c r="D8" s="774"/>
      <c r="E8" s="774"/>
      <c r="F8" s="774"/>
      <c r="G8" s="774"/>
      <c r="H8" s="774"/>
      <c r="I8" s="774"/>
      <c r="J8" s="774"/>
      <c r="K8" s="774"/>
      <c r="L8" s="599"/>
    </row>
    <row r="9" spans="1:12" ht="14.25">
      <c r="A9" s="599"/>
      <c r="L9" s="599"/>
    </row>
    <row r="10" spans="1:12" ht="14.25">
      <c r="A10" s="599"/>
      <c r="B10" s="774" t="s">
        <v>779</v>
      </c>
      <c r="C10" s="774"/>
      <c r="D10" s="774"/>
      <c r="E10" s="774"/>
      <c r="F10" s="774"/>
      <c r="G10" s="774"/>
      <c r="H10" s="774"/>
      <c r="I10" s="774"/>
      <c r="J10" s="774"/>
      <c r="K10" s="774"/>
      <c r="L10" s="599"/>
    </row>
    <row r="11" spans="1:12" ht="14.25">
      <c r="A11" s="599"/>
      <c r="B11" s="580"/>
      <c r="C11" s="580"/>
      <c r="D11" s="580"/>
      <c r="E11" s="580"/>
      <c r="F11" s="580"/>
      <c r="G11" s="580"/>
      <c r="H11" s="580"/>
      <c r="I11" s="580"/>
      <c r="J11" s="580"/>
      <c r="K11" s="580"/>
      <c r="L11" s="599"/>
    </row>
    <row r="12" spans="1:12" ht="32.25" customHeight="1">
      <c r="A12" s="599"/>
      <c r="B12" s="770" t="s">
        <v>780</v>
      </c>
      <c r="C12" s="770"/>
      <c r="D12" s="770"/>
      <c r="E12" s="770"/>
      <c r="F12" s="770"/>
      <c r="G12" s="770"/>
      <c r="H12" s="770"/>
      <c r="I12" s="770"/>
      <c r="J12" s="770"/>
      <c r="K12" s="770"/>
      <c r="L12" s="599"/>
    </row>
    <row r="13" spans="1:12" ht="14.25">
      <c r="A13" s="599"/>
      <c r="L13" s="599"/>
    </row>
    <row r="14" spans="1:12" ht="14.25">
      <c r="A14" s="599"/>
      <c r="B14" s="581" t="s">
        <v>781</v>
      </c>
      <c r="L14" s="599"/>
    </row>
    <row r="15" spans="1:12" ht="14.25">
      <c r="A15" s="599"/>
      <c r="L15" s="599"/>
    </row>
    <row r="16" spans="1:12" ht="14.25">
      <c r="A16" s="599"/>
      <c r="B16" s="600" t="s">
        <v>782</v>
      </c>
      <c r="L16" s="599"/>
    </row>
    <row r="17" spans="1:12" ht="14.25">
      <c r="A17" s="599"/>
      <c r="B17" s="600" t="s">
        <v>783</v>
      </c>
      <c r="L17" s="599"/>
    </row>
    <row r="18" spans="1:12" ht="14.25">
      <c r="A18" s="599"/>
      <c r="L18" s="599"/>
    </row>
    <row r="19" spans="1:12" ht="14.25">
      <c r="A19" s="599"/>
      <c r="B19" s="581" t="s">
        <v>784</v>
      </c>
      <c r="L19" s="599"/>
    </row>
    <row r="20" spans="1:12" ht="14.25">
      <c r="A20" s="599"/>
      <c r="B20" s="581"/>
      <c r="L20" s="599"/>
    </row>
    <row r="21" spans="1:12" ht="14.25">
      <c r="A21" s="599"/>
      <c r="B21" s="600" t="s">
        <v>785</v>
      </c>
      <c r="L21" s="599"/>
    </row>
    <row r="22" spans="1:12" ht="14.25">
      <c r="A22" s="599"/>
      <c r="L22" s="599"/>
    </row>
    <row r="23" spans="1:12" ht="14.25">
      <c r="A23" s="599"/>
      <c r="B23" s="600" t="s">
        <v>786</v>
      </c>
      <c r="E23" s="600" t="s">
        <v>787</v>
      </c>
      <c r="F23" s="773">
        <v>133685008</v>
      </c>
      <c r="G23" s="773"/>
      <c r="L23" s="599"/>
    </row>
    <row r="24" spans="1:12" ht="14.25">
      <c r="A24" s="599"/>
      <c r="L24" s="599"/>
    </row>
    <row r="25" spans="1:12" ht="14.25">
      <c r="A25" s="599"/>
      <c r="C25" s="784">
        <f>F23</f>
        <v>133685008</v>
      </c>
      <c r="D25" s="784"/>
      <c r="E25" s="600" t="s">
        <v>788</v>
      </c>
      <c r="F25" s="602">
        <v>1000</v>
      </c>
      <c r="G25" s="602" t="s">
        <v>787</v>
      </c>
      <c r="H25" s="603">
        <f>F23/F25</f>
        <v>133685.008</v>
      </c>
      <c r="L25" s="599"/>
    </row>
    <row r="26" spans="1:12" ht="15" thickBot="1">
      <c r="A26" s="599"/>
      <c r="L26" s="599"/>
    </row>
    <row r="27" spans="1:12" ht="14.25">
      <c r="A27" s="599"/>
      <c r="B27" s="582" t="s">
        <v>781</v>
      </c>
      <c r="C27" s="604"/>
      <c r="D27" s="604"/>
      <c r="E27" s="604"/>
      <c r="F27" s="604"/>
      <c r="G27" s="604"/>
      <c r="H27" s="604"/>
      <c r="I27" s="604"/>
      <c r="J27" s="604"/>
      <c r="K27" s="605"/>
      <c r="L27" s="599"/>
    </row>
    <row r="28" spans="1:12" ht="14.25">
      <c r="A28" s="599"/>
      <c r="B28" s="606">
        <f>F23</f>
        <v>133685008</v>
      </c>
      <c r="C28" s="607" t="s">
        <v>789</v>
      </c>
      <c r="D28" s="607"/>
      <c r="E28" s="607" t="s">
        <v>788</v>
      </c>
      <c r="F28" s="608">
        <v>1000</v>
      </c>
      <c r="G28" s="608" t="s">
        <v>787</v>
      </c>
      <c r="H28" s="609">
        <f>B28/F28</f>
        <v>133685.008</v>
      </c>
      <c r="I28" s="607" t="s">
        <v>790</v>
      </c>
      <c r="J28" s="607"/>
      <c r="K28" s="610"/>
      <c r="L28" s="599"/>
    </row>
    <row r="29" spans="1:12" ht="15" thickBot="1">
      <c r="A29" s="599"/>
      <c r="B29" s="611"/>
      <c r="C29" s="612"/>
      <c r="D29" s="612"/>
      <c r="E29" s="612"/>
      <c r="F29" s="612"/>
      <c r="G29" s="612"/>
      <c r="H29" s="612"/>
      <c r="I29" s="612"/>
      <c r="J29" s="612"/>
      <c r="K29" s="613"/>
      <c r="L29" s="599"/>
    </row>
    <row r="30" spans="1:12" ht="40.5" customHeight="1">
      <c r="A30" s="599"/>
      <c r="B30" s="769" t="s">
        <v>777</v>
      </c>
      <c r="C30" s="769"/>
      <c r="D30" s="769"/>
      <c r="E30" s="769"/>
      <c r="F30" s="769"/>
      <c r="G30" s="769"/>
      <c r="H30" s="769"/>
      <c r="I30" s="769"/>
      <c r="J30" s="769"/>
      <c r="K30" s="769"/>
      <c r="L30" s="599"/>
    </row>
    <row r="31" spans="1:12" ht="14.25">
      <c r="A31" s="599"/>
      <c r="B31" s="774" t="s">
        <v>791</v>
      </c>
      <c r="C31" s="774"/>
      <c r="D31" s="774"/>
      <c r="E31" s="774"/>
      <c r="F31" s="774"/>
      <c r="G31" s="774"/>
      <c r="H31" s="774"/>
      <c r="I31" s="774"/>
      <c r="J31" s="774"/>
      <c r="K31" s="774"/>
      <c r="L31" s="599"/>
    </row>
    <row r="32" spans="1:12" ht="14.25">
      <c r="A32" s="599"/>
      <c r="L32" s="599"/>
    </row>
    <row r="33" spans="1:12" ht="14.25">
      <c r="A33" s="599"/>
      <c r="B33" s="774" t="s">
        <v>792</v>
      </c>
      <c r="C33" s="774"/>
      <c r="D33" s="774"/>
      <c r="E33" s="774"/>
      <c r="F33" s="774"/>
      <c r="G33" s="774"/>
      <c r="H33" s="774"/>
      <c r="I33" s="774"/>
      <c r="J33" s="774"/>
      <c r="K33" s="774"/>
      <c r="L33" s="599"/>
    </row>
    <row r="34" spans="1:12" ht="14.25">
      <c r="A34" s="599"/>
      <c r="L34" s="599"/>
    </row>
    <row r="35" spans="1:12" ht="89.25" customHeight="1">
      <c r="A35" s="599"/>
      <c r="B35" s="770" t="s">
        <v>793</v>
      </c>
      <c r="C35" s="771"/>
      <c r="D35" s="771"/>
      <c r="E35" s="771"/>
      <c r="F35" s="771"/>
      <c r="G35" s="771"/>
      <c r="H35" s="771"/>
      <c r="I35" s="771"/>
      <c r="J35" s="771"/>
      <c r="K35" s="771"/>
      <c r="L35" s="599"/>
    </row>
    <row r="36" spans="1:12" ht="14.25">
      <c r="A36" s="599"/>
      <c r="L36" s="599"/>
    </row>
    <row r="37" spans="1:12" ht="14.25">
      <c r="A37" s="599"/>
      <c r="B37" s="581" t="s">
        <v>794</v>
      </c>
      <c r="L37" s="599"/>
    </row>
    <row r="38" spans="1:12" ht="14.25">
      <c r="A38" s="599"/>
      <c r="L38" s="599"/>
    </row>
    <row r="39" spans="1:12" ht="14.25">
      <c r="A39" s="599"/>
      <c r="B39" s="600" t="s">
        <v>795</v>
      </c>
      <c r="L39" s="599"/>
    </row>
    <row r="40" spans="1:12" ht="14.25">
      <c r="A40" s="599"/>
      <c r="L40" s="599"/>
    </row>
    <row r="41" spans="1:12" ht="14.25">
      <c r="A41" s="599"/>
      <c r="C41" s="775">
        <v>3120000</v>
      </c>
      <c r="D41" s="775"/>
      <c r="E41" s="600" t="s">
        <v>788</v>
      </c>
      <c r="F41" s="602">
        <v>1000</v>
      </c>
      <c r="G41" s="602" t="s">
        <v>787</v>
      </c>
      <c r="H41" s="614">
        <f>C41/F41</f>
        <v>3120</v>
      </c>
      <c r="L41" s="599"/>
    </row>
    <row r="42" spans="1:12" ht="14.25">
      <c r="A42" s="599"/>
      <c r="L42" s="599"/>
    </row>
    <row r="43" spans="1:12" ht="14.25">
      <c r="A43" s="599"/>
      <c r="B43" s="600" t="s">
        <v>796</v>
      </c>
      <c r="L43" s="599"/>
    </row>
    <row r="44" spans="1:12" ht="14.25">
      <c r="A44" s="599"/>
      <c r="L44" s="599"/>
    </row>
    <row r="45" spans="1:12" ht="14.25">
      <c r="A45" s="599"/>
      <c r="B45" s="600" t="s">
        <v>797</v>
      </c>
      <c r="L45" s="599"/>
    </row>
    <row r="46" spans="1:12" ht="15" thickBot="1">
      <c r="A46" s="599"/>
      <c r="L46" s="599"/>
    </row>
    <row r="47" spans="1:12" ht="14.25">
      <c r="A47" s="599"/>
      <c r="B47" s="615" t="s">
        <v>781</v>
      </c>
      <c r="C47" s="604"/>
      <c r="D47" s="604"/>
      <c r="E47" s="604"/>
      <c r="F47" s="604"/>
      <c r="G47" s="604"/>
      <c r="H47" s="604"/>
      <c r="I47" s="604"/>
      <c r="J47" s="604"/>
      <c r="K47" s="605"/>
      <c r="L47" s="599"/>
    </row>
    <row r="48" spans="1:12" ht="14.25">
      <c r="A48" s="599"/>
      <c r="B48" s="773">
        <v>133685008</v>
      </c>
      <c r="C48" s="773"/>
      <c r="D48" s="607" t="s">
        <v>798</v>
      </c>
      <c r="E48" s="607" t="s">
        <v>788</v>
      </c>
      <c r="F48" s="608">
        <v>1000</v>
      </c>
      <c r="G48" s="608" t="s">
        <v>787</v>
      </c>
      <c r="H48" s="609">
        <f>B48/F48</f>
        <v>133685.008</v>
      </c>
      <c r="I48" s="607" t="s">
        <v>799</v>
      </c>
      <c r="J48" s="607"/>
      <c r="K48" s="610"/>
      <c r="L48" s="599"/>
    </row>
    <row r="49" spans="1:12" ht="14.25">
      <c r="A49" s="599"/>
      <c r="B49" s="616"/>
      <c r="C49" s="607"/>
      <c r="D49" s="607"/>
      <c r="E49" s="607"/>
      <c r="F49" s="607"/>
      <c r="G49" s="607"/>
      <c r="H49" s="607"/>
      <c r="I49" s="607"/>
      <c r="J49" s="607"/>
      <c r="K49" s="610"/>
      <c r="L49" s="599"/>
    </row>
    <row r="50" spans="1:12" ht="14.25">
      <c r="A50" s="599"/>
      <c r="B50" s="617">
        <v>7067793</v>
      </c>
      <c r="C50" s="607" t="s">
        <v>800</v>
      </c>
      <c r="D50" s="607"/>
      <c r="E50" s="607" t="s">
        <v>788</v>
      </c>
      <c r="F50" s="609">
        <f>H48</f>
        <v>133685.008</v>
      </c>
      <c r="G50" s="776" t="s">
        <v>801</v>
      </c>
      <c r="H50" s="777"/>
      <c r="I50" s="608" t="s">
        <v>787</v>
      </c>
      <c r="J50" s="618">
        <f>B50/F50</f>
        <v>52.8690023342034</v>
      </c>
      <c r="K50" s="610"/>
      <c r="L50" s="599"/>
    </row>
    <row r="51" spans="1:15" ht="15" thickBot="1">
      <c r="A51" s="599"/>
      <c r="B51" s="611"/>
      <c r="C51" s="612"/>
      <c r="D51" s="612"/>
      <c r="E51" s="612"/>
      <c r="F51" s="612"/>
      <c r="G51" s="612"/>
      <c r="H51" s="612"/>
      <c r="I51" s="778" t="s">
        <v>802</v>
      </c>
      <c r="J51" s="778"/>
      <c r="K51" s="779"/>
      <c r="L51" s="599"/>
      <c r="O51" s="619"/>
    </row>
    <row r="52" spans="1:12" ht="40.5" customHeight="1">
      <c r="A52" s="599"/>
      <c r="B52" s="769" t="s">
        <v>777</v>
      </c>
      <c r="C52" s="769"/>
      <c r="D52" s="769"/>
      <c r="E52" s="769"/>
      <c r="F52" s="769"/>
      <c r="G52" s="769"/>
      <c r="H52" s="769"/>
      <c r="I52" s="769"/>
      <c r="J52" s="769"/>
      <c r="K52" s="769"/>
      <c r="L52" s="599"/>
    </row>
    <row r="53" spans="1:12" ht="14.25">
      <c r="A53" s="599"/>
      <c r="B53" s="774" t="s">
        <v>803</v>
      </c>
      <c r="C53" s="774"/>
      <c r="D53" s="774"/>
      <c r="E53" s="774"/>
      <c r="F53" s="774"/>
      <c r="G53" s="774"/>
      <c r="H53" s="774"/>
      <c r="I53" s="774"/>
      <c r="J53" s="774"/>
      <c r="K53" s="774"/>
      <c r="L53" s="599"/>
    </row>
    <row r="54" spans="1:12" ht="14.25">
      <c r="A54" s="599"/>
      <c r="B54" s="580"/>
      <c r="C54" s="580"/>
      <c r="D54" s="580"/>
      <c r="E54" s="580"/>
      <c r="F54" s="580"/>
      <c r="G54" s="580"/>
      <c r="H54" s="580"/>
      <c r="I54" s="580"/>
      <c r="J54" s="580"/>
      <c r="K54" s="580"/>
      <c r="L54" s="599"/>
    </row>
    <row r="55" spans="1:12" ht="14.25">
      <c r="A55" s="599"/>
      <c r="B55" s="772" t="s">
        <v>804</v>
      </c>
      <c r="C55" s="772"/>
      <c r="D55" s="772"/>
      <c r="E55" s="772"/>
      <c r="F55" s="772"/>
      <c r="G55" s="772"/>
      <c r="H55" s="772"/>
      <c r="I55" s="772"/>
      <c r="J55" s="772"/>
      <c r="K55" s="772"/>
      <c r="L55" s="599"/>
    </row>
    <row r="56" spans="1:12" ht="15" customHeight="1">
      <c r="A56" s="599"/>
      <c r="L56" s="599"/>
    </row>
    <row r="57" spans="1:24" ht="74.25" customHeight="1">
      <c r="A57" s="599"/>
      <c r="B57" s="770" t="s">
        <v>805</v>
      </c>
      <c r="C57" s="771"/>
      <c r="D57" s="771"/>
      <c r="E57" s="771"/>
      <c r="F57" s="771"/>
      <c r="G57" s="771"/>
      <c r="H57" s="771"/>
      <c r="I57" s="771"/>
      <c r="J57" s="771"/>
      <c r="K57" s="771"/>
      <c r="L57" s="599"/>
      <c r="M57" s="583"/>
      <c r="N57" s="568"/>
      <c r="O57" s="568"/>
      <c r="P57" s="568"/>
      <c r="Q57" s="568"/>
      <c r="R57" s="568"/>
      <c r="S57" s="568"/>
      <c r="T57" s="568"/>
      <c r="U57" s="568"/>
      <c r="V57" s="568"/>
      <c r="W57" s="568"/>
      <c r="X57" s="568"/>
    </row>
    <row r="58" spans="1:24" ht="15" customHeight="1">
      <c r="A58" s="599"/>
      <c r="B58" s="770"/>
      <c r="C58" s="771"/>
      <c r="D58" s="771"/>
      <c r="E58" s="771"/>
      <c r="F58" s="771"/>
      <c r="G58" s="771"/>
      <c r="H58" s="771"/>
      <c r="I58" s="771"/>
      <c r="J58" s="771"/>
      <c r="K58" s="771"/>
      <c r="L58" s="599"/>
      <c r="M58" s="583"/>
      <c r="N58" s="568"/>
      <c r="O58" s="568"/>
      <c r="P58" s="568"/>
      <c r="Q58" s="568"/>
      <c r="R58" s="568"/>
      <c r="S58" s="568"/>
      <c r="T58" s="568"/>
      <c r="U58" s="568"/>
      <c r="V58" s="568"/>
      <c r="W58" s="568"/>
      <c r="X58" s="568"/>
    </row>
    <row r="59" spans="1:24" ht="14.25">
      <c r="A59" s="599"/>
      <c r="B59" s="581" t="s">
        <v>794</v>
      </c>
      <c r="L59" s="599"/>
      <c r="M59" s="568"/>
      <c r="N59" s="568"/>
      <c r="O59" s="568"/>
      <c r="P59" s="568"/>
      <c r="Q59" s="568"/>
      <c r="R59" s="568"/>
      <c r="S59" s="568"/>
      <c r="T59" s="568"/>
      <c r="U59" s="568"/>
      <c r="V59" s="568"/>
      <c r="W59" s="568"/>
      <c r="X59" s="568"/>
    </row>
    <row r="60" spans="1:24" ht="14.25">
      <c r="A60" s="599"/>
      <c r="L60" s="599"/>
      <c r="M60" s="568"/>
      <c r="N60" s="568"/>
      <c r="O60" s="568"/>
      <c r="P60" s="568"/>
      <c r="Q60" s="568"/>
      <c r="R60" s="568"/>
      <c r="S60" s="568"/>
      <c r="T60" s="568"/>
      <c r="U60" s="568"/>
      <c r="V60" s="568"/>
      <c r="W60" s="568"/>
      <c r="X60" s="568"/>
    </row>
    <row r="61" spans="1:24" ht="14.25">
      <c r="A61" s="599"/>
      <c r="B61" s="600" t="s">
        <v>806</v>
      </c>
      <c r="L61" s="599"/>
      <c r="M61" s="568"/>
      <c r="N61" s="568"/>
      <c r="O61" s="568"/>
      <c r="P61" s="568"/>
      <c r="Q61" s="568"/>
      <c r="R61" s="568"/>
      <c r="S61" s="568"/>
      <c r="T61" s="568"/>
      <c r="U61" s="568"/>
      <c r="V61" s="568"/>
      <c r="W61" s="568"/>
      <c r="X61" s="568"/>
    </row>
    <row r="62" spans="1:24" ht="14.25">
      <c r="A62" s="599"/>
      <c r="B62" s="600" t="s">
        <v>807</v>
      </c>
      <c r="L62" s="599"/>
      <c r="M62" s="568"/>
      <c r="N62" s="568"/>
      <c r="O62" s="568"/>
      <c r="P62" s="568"/>
      <c r="Q62" s="568"/>
      <c r="R62" s="568"/>
      <c r="S62" s="568"/>
      <c r="T62" s="568"/>
      <c r="U62" s="568"/>
      <c r="V62" s="568"/>
      <c r="W62" s="568"/>
      <c r="X62" s="568"/>
    </row>
    <row r="63" spans="1:24" ht="14.25">
      <c r="A63" s="599"/>
      <c r="B63" s="600" t="s">
        <v>808</v>
      </c>
      <c r="L63" s="599"/>
      <c r="M63" s="568"/>
      <c r="N63" s="568"/>
      <c r="O63" s="568"/>
      <c r="P63" s="568"/>
      <c r="Q63" s="568"/>
      <c r="R63" s="568"/>
      <c r="S63" s="568"/>
      <c r="T63" s="568"/>
      <c r="U63" s="568"/>
      <c r="V63" s="568"/>
      <c r="W63" s="568"/>
      <c r="X63" s="568"/>
    </row>
    <row r="64" spans="1:24" ht="14.25">
      <c r="A64" s="599"/>
      <c r="L64" s="599"/>
      <c r="M64" s="568"/>
      <c r="N64" s="568"/>
      <c r="O64" s="568"/>
      <c r="P64" s="568"/>
      <c r="Q64" s="568"/>
      <c r="R64" s="568"/>
      <c r="S64" s="568"/>
      <c r="T64" s="568"/>
      <c r="U64" s="568"/>
      <c r="V64" s="568"/>
      <c r="W64" s="568"/>
      <c r="X64" s="568"/>
    </row>
    <row r="65" spans="1:24" ht="14.25">
      <c r="A65" s="599"/>
      <c r="B65" s="600" t="s">
        <v>809</v>
      </c>
      <c r="L65" s="599"/>
      <c r="M65" s="568"/>
      <c r="N65" s="568"/>
      <c r="O65" s="568"/>
      <c r="P65" s="568"/>
      <c r="Q65" s="568"/>
      <c r="R65" s="568"/>
      <c r="S65" s="568"/>
      <c r="T65" s="568"/>
      <c r="U65" s="568"/>
      <c r="V65" s="568"/>
      <c r="W65" s="568"/>
      <c r="X65" s="568"/>
    </row>
    <row r="66" spans="1:24" ht="14.25">
      <c r="A66" s="599"/>
      <c r="B66" s="600" t="s">
        <v>810</v>
      </c>
      <c r="L66" s="599"/>
      <c r="M66" s="568"/>
      <c r="N66" s="568"/>
      <c r="O66" s="568"/>
      <c r="P66" s="568"/>
      <c r="Q66" s="568"/>
      <c r="R66" s="568"/>
      <c r="S66" s="568"/>
      <c r="T66" s="568"/>
      <c r="U66" s="568"/>
      <c r="V66" s="568"/>
      <c r="W66" s="568"/>
      <c r="X66" s="568"/>
    </row>
    <row r="67" spans="1:24" ht="14.25">
      <c r="A67" s="599"/>
      <c r="L67" s="599"/>
      <c r="M67" s="568"/>
      <c r="N67" s="568"/>
      <c r="O67" s="568"/>
      <c r="P67" s="568"/>
      <c r="Q67" s="568"/>
      <c r="R67" s="568"/>
      <c r="S67" s="568"/>
      <c r="T67" s="568"/>
      <c r="U67" s="568"/>
      <c r="V67" s="568"/>
      <c r="W67" s="568"/>
      <c r="X67" s="568"/>
    </row>
    <row r="68" spans="1:24" ht="14.25">
      <c r="A68" s="599"/>
      <c r="B68" s="600" t="s">
        <v>811</v>
      </c>
      <c r="L68" s="599"/>
      <c r="M68" s="584"/>
      <c r="N68" s="567"/>
      <c r="O68" s="567"/>
      <c r="P68" s="567"/>
      <c r="Q68" s="567"/>
      <c r="R68" s="567"/>
      <c r="S68" s="567"/>
      <c r="T68" s="567"/>
      <c r="U68" s="567"/>
      <c r="V68" s="567"/>
      <c r="W68" s="567"/>
      <c r="X68" s="568"/>
    </row>
    <row r="69" spans="1:24" ht="14.25">
      <c r="A69" s="599"/>
      <c r="B69" s="600" t="s">
        <v>812</v>
      </c>
      <c r="L69" s="599"/>
      <c r="M69" s="568"/>
      <c r="N69" s="568"/>
      <c r="O69" s="568"/>
      <c r="P69" s="568"/>
      <c r="Q69" s="568"/>
      <c r="R69" s="568"/>
      <c r="S69" s="568"/>
      <c r="T69" s="568"/>
      <c r="U69" s="568"/>
      <c r="V69" s="568"/>
      <c r="W69" s="568"/>
      <c r="X69" s="568"/>
    </row>
    <row r="70" spans="1:24" ht="14.25">
      <c r="A70" s="599"/>
      <c r="B70" s="600" t="s">
        <v>813</v>
      </c>
      <c r="L70" s="599"/>
      <c r="M70" s="568"/>
      <c r="N70" s="568"/>
      <c r="O70" s="568"/>
      <c r="P70" s="568"/>
      <c r="Q70" s="568"/>
      <c r="R70" s="568"/>
      <c r="S70" s="568"/>
      <c r="T70" s="568"/>
      <c r="U70" s="568"/>
      <c r="V70" s="568"/>
      <c r="W70" s="568"/>
      <c r="X70" s="568"/>
    </row>
    <row r="71" spans="1:12" ht="15" thickBot="1">
      <c r="A71" s="599"/>
      <c r="B71" s="607"/>
      <c r="C71" s="607"/>
      <c r="D71" s="607"/>
      <c r="E71" s="607"/>
      <c r="F71" s="607"/>
      <c r="G71" s="607"/>
      <c r="H71" s="607"/>
      <c r="I71" s="607"/>
      <c r="J71" s="607"/>
      <c r="K71" s="607"/>
      <c r="L71" s="599"/>
    </row>
    <row r="72" spans="1:12" ht="14.25">
      <c r="A72" s="599"/>
      <c r="B72" s="582" t="s">
        <v>781</v>
      </c>
      <c r="C72" s="604"/>
      <c r="D72" s="604"/>
      <c r="E72" s="604"/>
      <c r="F72" s="604"/>
      <c r="G72" s="604"/>
      <c r="H72" s="604"/>
      <c r="I72" s="604"/>
      <c r="J72" s="604"/>
      <c r="K72" s="605"/>
      <c r="L72" s="620"/>
    </row>
    <row r="73" spans="1:12" ht="14.25">
      <c r="A73" s="599"/>
      <c r="B73" s="616"/>
      <c r="C73" s="607" t="s">
        <v>789</v>
      </c>
      <c r="D73" s="607"/>
      <c r="E73" s="607"/>
      <c r="F73" s="607"/>
      <c r="G73" s="607"/>
      <c r="H73" s="607"/>
      <c r="I73" s="607"/>
      <c r="J73" s="607"/>
      <c r="K73" s="610"/>
      <c r="L73" s="620"/>
    </row>
    <row r="74" spans="1:12" ht="14.25">
      <c r="A74" s="599"/>
      <c r="B74" s="616" t="s">
        <v>814</v>
      </c>
      <c r="C74" s="773">
        <v>133685008</v>
      </c>
      <c r="D74" s="773"/>
      <c r="E74" s="608" t="s">
        <v>788</v>
      </c>
      <c r="F74" s="608">
        <v>1000</v>
      </c>
      <c r="G74" s="608" t="s">
        <v>787</v>
      </c>
      <c r="H74" s="621">
        <f>C74/F74</f>
        <v>133685.008</v>
      </c>
      <c r="I74" s="607" t="s">
        <v>815</v>
      </c>
      <c r="J74" s="607"/>
      <c r="K74" s="610"/>
      <c r="L74" s="620"/>
    </row>
    <row r="75" spans="1:12" ht="14.25">
      <c r="A75" s="599"/>
      <c r="B75" s="616"/>
      <c r="C75" s="607"/>
      <c r="D75" s="607"/>
      <c r="E75" s="608"/>
      <c r="F75" s="607"/>
      <c r="G75" s="607"/>
      <c r="H75" s="607"/>
      <c r="I75" s="607"/>
      <c r="J75" s="607"/>
      <c r="K75" s="610"/>
      <c r="L75" s="620"/>
    </row>
    <row r="76" spans="1:12" ht="14.25">
      <c r="A76" s="599"/>
      <c r="B76" s="616"/>
      <c r="C76" s="607" t="s">
        <v>816</v>
      </c>
      <c r="D76" s="607"/>
      <c r="E76" s="608"/>
      <c r="F76" s="607" t="s">
        <v>815</v>
      </c>
      <c r="G76" s="607"/>
      <c r="H76" s="607"/>
      <c r="I76" s="607"/>
      <c r="J76" s="607"/>
      <c r="K76" s="610"/>
      <c r="L76" s="620"/>
    </row>
    <row r="77" spans="1:12" ht="14.25">
      <c r="A77" s="599"/>
      <c r="B77" s="616" t="s">
        <v>819</v>
      </c>
      <c r="C77" s="773">
        <v>5000</v>
      </c>
      <c r="D77" s="773"/>
      <c r="E77" s="608" t="s">
        <v>788</v>
      </c>
      <c r="F77" s="621">
        <f>H74</f>
        <v>133685.008</v>
      </c>
      <c r="G77" s="608" t="s">
        <v>787</v>
      </c>
      <c r="H77" s="618">
        <f>C77/F77</f>
        <v>0.03740135169083432</v>
      </c>
      <c r="I77" s="607" t="s">
        <v>817</v>
      </c>
      <c r="J77" s="607"/>
      <c r="K77" s="610"/>
      <c r="L77" s="620"/>
    </row>
    <row r="78" spans="1:12" ht="14.25">
      <c r="A78" s="599"/>
      <c r="B78" s="616"/>
      <c r="C78" s="607"/>
      <c r="D78" s="607"/>
      <c r="E78" s="608"/>
      <c r="F78" s="607"/>
      <c r="G78" s="607"/>
      <c r="H78" s="607"/>
      <c r="I78" s="607"/>
      <c r="J78" s="607"/>
      <c r="K78" s="610"/>
      <c r="L78" s="620"/>
    </row>
    <row r="79" spans="1:12" ht="14.25">
      <c r="A79" s="599"/>
      <c r="B79" s="622"/>
      <c r="C79" s="623" t="s">
        <v>818</v>
      </c>
      <c r="D79" s="623"/>
      <c r="E79" s="624"/>
      <c r="F79" s="623"/>
      <c r="G79" s="623"/>
      <c r="H79" s="623"/>
      <c r="I79" s="623"/>
      <c r="J79" s="623"/>
      <c r="K79" s="625"/>
      <c r="L79" s="620"/>
    </row>
    <row r="80" spans="1:12" ht="14.25">
      <c r="A80" s="599"/>
      <c r="B80" s="616" t="s">
        <v>365</v>
      </c>
      <c r="C80" s="773">
        <v>100000</v>
      </c>
      <c r="D80" s="773"/>
      <c r="E80" s="608" t="s">
        <v>111</v>
      </c>
      <c r="F80" s="608">
        <v>0.115</v>
      </c>
      <c r="G80" s="608" t="s">
        <v>787</v>
      </c>
      <c r="H80" s="621">
        <f>C80*F80</f>
        <v>11500</v>
      </c>
      <c r="I80" s="607" t="s">
        <v>820</v>
      </c>
      <c r="J80" s="607"/>
      <c r="K80" s="610"/>
      <c r="L80" s="620"/>
    </row>
    <row r="81" spans="1:12" ht="14.25">
      <c r="A81" s="599"/>
      <c r="B81" s="616"/>
      <c r="C81" s="607"/>
      <c r="D81" s="607"/>
      <c r="E81" s="608"/>
      <c r="F81" s="607"/>
      <c r="G81" s="607"/>
      <c r="H81" s="607"/>
      <c r="I81" s="607"/>
      <c r="J81" s="607"/>
      <c r="K81" s="610"/>
      <c r="L81" s="620"/>
    </row>
    <row r="82" spans="1:12" ht="14.25">
      <c r="A82" s="599"/>
      <c r="B82" s="622"/>
      <c r="C82" s="623" t="s">
        <v>821</v>
      </c>
      <c r="D82" s="623"/>
      <c r="E82" s="624"/>
      <c r="F82" s="623" t="s">
        <v>817</v>
      </c>
      <c r="G82" s="623"/>
      <c r="H82" s="623"/>
      <c r="I82" s="623"/>
      <c r="J82" s="623" t="s">
        <v>822</v>
      </c>
      <c r="K82" s="625"/>
      <c r="L82" s="620"/>
    </row>
    <row r="83" spans="1:12" ht="14.25">
      <c r="A83" s="599"/>
      <c r="B83" s="616" t="s">
        <v>366</v>
      </c>
      <c r="C83" s="765">
        <f>H80</f>
        <v>11500</v>
      </c>
      <c r="D83" s="765"/>
      <c r="E83" s="608" t="s">
        <v>111</v>
      </c>
      <c r="F83" s="618">
        <f>H77</f>
        <v>0.03740135169083432</v>
      </c>
      <c r="G83" s="608" t="s">
        <v>788</v>
      </c>
      <c r="H83" s="608">
        <v>1000</v>
      </c>
      <c r="I83" s="608" t="s">
        <v>787</v>
      </c>
      <c r="J83" s="626">
        <f>C83*F83/H83</f>
        <v>0.43011554444459466</v>
      </c>
      <c r="K83" s="610"/>
      <c r="L83" s="620"/>
    </row>
    <row r="84" spans="1:12" ht="15" thickBot="1">
      <c r="A84" s="599"/>
      <c r="B84" s="611"/>
      <c r="C84" s="627"/>
      <c r="D84" s="627"/>
      <c r="E84" s="628"/>
      <c r="F84" s="629"/>
      <c r="G84" s="628"/>
      <c r="H84" s="628"/>
      <c r="I84" s="628"/>
      <c r="J84" s="630"/>
      <c r="K84" s="613"/>
      <c r="L84" s="620"/>
    </row>
    <row r="85" spans="1:12" ht="40.5" customHeight="1">
      <c r="A85" s="599"/>
      <c r="B85" s="769" t="s">
        <v>777</v>
      </c>
      <c r="C85" s="769"/>
      <c r="D85" s="769"/>
      <c r="E85" s="769"/>
      <c r="F85" s="769"/>
      <c r="G85" s="769"/>
      <c r="H85" s="769"/>
      <c r="I85" s="769"/>
      <c r="J85" s="769"/>
      <c r="K85" s="769"/>
      <c r="L85" s="599"/>
    </row>
    <row r="86" spans="1:12" ht="14.25">
      <c r="A86" s="599"/>
      <c r="B86" s="772" t="s">
        <v>823</v>
      </c>
      <c r="C86" s="772"/>
      <c r="D86" s="772"/>
      <c r="E86" s="772"/>
      <c r="F86" s="772"/>
      <c r="G86" s="772"/>
      <c r="H86" s="772"/>
      <c r="I86" s="772"/>
      <c r="J86" s="772"/>
      <c r="K86" s="772"/>
      <c r="L86" s="599"/>
    </row>
    <row r="87" spans="1:12" ht="14.25">
      <c r="A87" s="599"/>
      <c r="B87" s="631"/>
      <c r="C87" s="631"/>
      <c r="D87" s="631"/>
      <c r="E87" s="631"/>
      <c r="F87" s="631"/>
      <c r="G87" s="631"/>
      <c r="H87" s="631"/>
      <c r="I87" s="631"/>
      <c r="J87" s="631"/>
      <c r="K87" s="631"/>
      <c r="L87" s="599"/>
    </row>
    <row r="88" spans="1:12" ht="14.25">
      <c r="A88" s="599"/>
      <c r="B88" s="772" t="s">
        <v>824</v>
      </c>
      <c r="C88" s="772"/>
      <c r="D88" s="772"/>
      <c r="E88" s="772"/>
      <c r="F88" s="772"/>
      <c r="G88" s="772"/>
      <c r="H88" s="772"/>
      <c r="I88" s="772"/>
      <c r="J88" s="772"/>
      <c r="K88" s="772"/>
      <c r="L88" s="599"/>
    </row>
    <row r="89" spans="1:12" ht="14.25">
      <c r="A89" s="599"/>
      <c r="B89" s="585"/>
      <c r="C89" s="585"/>
      <c r="D89" s="585"/>
      <c r="E89" s="585"/>
      <c r="F89" s="585"/>
      <c r="G89" s="585"/>
      <c r="H89" s="585"/>
      <c r="I89" s="585"/>
      <c r="J89" s="585"/>
      <c r="K89" s="585"/>
      <c r="L89" s="599"/>
    </row>
    <row r="90" spans="1:12" ht="45" customHeight="1">
      <c r="A90" s="599"/>
      <c r="B90" s="770" t="s">
        <v>825</v>
      </c>
      <c r="C90" s="770"/>
      <c r="D90" s="770"/>
      <c r="E90" s="770"/>
      <c r="F90" s="770"/>
      <c r="G90" s="770"/>
      <c r="H90" s="770"/>
      <c r="I90" s="770"/>
      <c r="J90" s="770"/>
      <c r="K90" s="770"/>
      <c r="L90" s="599"/>
    </row>
    <row r="91" spans="1:12" ht="15" customHeight="1" thickBot="1">
      <c r="A91" s="599"/>
      <c r="L91" s="599"/>
    </row>
    <row r="92" spans="1:12" ht="15" customHeight="1">
      <c r="A92" s="599"/>
      <c r="B92" s="586" t="s">
        <v>781</v>
      </c>
      <c r="C92" s="632"/>
      <c r="D92" s="632"/>
      <c r="E92" s="632"/>
      <c r="F92" s="632"/>
      <c r="G92" s="632"/>
      <c r="H92" s="632"/>
      <c r="I92" s="632"/>
      <c r="J92" s="632"/>
      <c r="K92" s="633"/>
      <c r="L92" s="599"/>
    </row>
    <row r="93" spans="1:12" ht="15" customHeight="1">
      <c r="A93" s="599"/>
      <c r="B93" s="634"/>
      <c r="C93" s="635" t="s">
        <v>789</v>
      </c>
      <c r="D93" s="635"/>
      <c r="E93" s="635"/>
      <c r="F93" s="635"/>
      <c r="G93" s="635"/>
      <c r="H93" s="635"/>
      <c r="I93" s="635"/>
      <c r="J93" s="635"/>
      <c r="K93" s="636"/>
      <c r="L93" s="599"/>
    </row>
    <row r="94" spans="1:12" ht="15" customHeight="1">
      <c r="A94" s="599"/>
      <c r="B94" s="634" t="s">
        <v>814</v>
      </c>
      <c r="C94" s="773">
        <v>133685008</v>
      </c>
      <c r="D94" s="773"/>
      <c r="E94" s="608" t="s">
        <v>788</v>
      </c>
      <c r="F94" s="608">
        <v>1000</v>
      </c>
      <c r="G94" s="608" t="s">
        <v>787</v>
      </c>
      <c r="H94" s="621">
        <f>C94/F94</f>
        <v>133685.008</v>
      </c>
      <c r="I94" s="635" t="s">
        <v>815</v>
      </c>
      <c r="J94" s="635"/>
      <c r="K94" s="636"/>
      <c r="L94" s="599"/>
    </row>
    <row r="95" spans="1:12" ht="15" customHeight="1">
      <c r="A95" s="599"/>
      <c r="B95" s="634"/>
      <c r="C95" s="635"/>
      <c r="D95" s="635"/>
      <c r="E95" s="608"/>
      <c r="F95" s="635"/>
      <c r="G95" s="635"/>
      <c r="H95" s="635"/>
      <c r="I95" s="635"/>
      <c r="J95" s="635"/>
      <c r="K95" s="636"/>
      <c r="L95" s="599"/>
    </row>
    <row r="96" spans="1:12" ht="15" customHeight="1">
      <c r="A96" s="599"/>
      <c r="B96" s="634"/>
      <c r="C96" s="635" t="s">
        <v>816</v>
      </c>
      <c r="D96" s="635"/>
      <c r="E96" s="608"/>
      <c r="F96" s="635" t="s">
        <v>815</v>
      </c>
      <c r="G96" s="635"/>
      <c r="H96" s="635"/>
      <c r="I96" s="635"/>
      <c r="J96" s="635"/>
      <c r="K96" s="636"/>
      <c r="L96" s="599"/>
    </row>
    <row r="97" spans="1:12" ht="15" customHeight="1">
      <c r="A97" s="599"/>
      <c r="B97" s="634" t="s">
        <v>819</v>
      </c>
      <c r="C97" s="773">
        <v>50000</v>
      </c>
      <c r="D97" s="773"/>
      <c r="E97" s="608" t="s">
        <v>788</v>
      </c>
      <c r="F97" s="621">
        <f>H94</f>
        <v>133685.008</v>
      </c>
      <c r="G97" s="608" t="s">
        <v>787</v>
      </c>
      <c r="H97" s="618">
        <f>C97/F97</f>
        <v>0.3740135169083432</v>
      </c>
      <c r="I97" s="635" t="s">
        <v>817</v>
      </c>
      <c r="J97" s="635"/>
      <c r="K97" s="636"/>
      <c r="L97" s="599"/>
    </row>
    <row r="98" spans="1:12" ht="15" customHeight="1">
      <c r="A98" s="599"/>
      <c r="B98" s="634"/>
      <c r="C98" s="635"/>
      <c r="D98" s="635"/>
      <c r="E98" s="608"/>
      <c r="F98" s="635"/>
      <c r="G98" s="635"/>
      <c r="H98" s="635"/>
      <c r="I98" s="635"/>
      <c r="J98" s="635"/>
      <c r="K98" s="636"/>
      <c r="L98" s="599"/>
    </row>
    <row r="99" spans="1:12" ht="15" customHeight="1">
      <c r="A99" s="599"/>
      <c r="B99" s="637"/>
      <c r="C99" s="638" t="s">
        <v>826</v>
      </c>
      <c r="D99" s="638"/>
      <c r="E99" s="624"/>
      <c r="F99" s="638"/>
      <c r="G99" s="638"/>
      <c r="H99" s="638"/>
      <c r="I99" s="638"/>
      <c r="J99" s="638"/>
      <c r="K99" s="639"/>
      <c r="L99" s="599"/>
    </row>
    <row r="100" spans="1:12" ht="15" customHeight="1">
      <c r="A100" s="599"/>
      <c r="B100" s="634" t="s">
        <v>365</v>
      </c>
      <c r="C100" s="773">
        <v>2500000</v>
      </c>
      <c r="D100" s="773"/>
      <c r="E100" s="608" t="s">
        <v>111</v>
      </c>
      <c r="F100" s="640">
        <v>0.3</v>
      </c>
      <c r="G100" s="608" t="s">
        <v>787</v>
      </c>
      <c r="H100" s="621">
        <f>C100*F100</f>
        <v>750000</v>
      </c>
      <c r="I100" s="635" t="s">
        <v>820</v>
      </c>
      <c r="J100" s="635"/>
      <c r="K100" s="636"/>
      <c r="L100" s="599"/>
    </row>
    <row r="101" spans="1:12" ht="15" customHeight="1">
      <c r="A101" s="599"/>
      <c r="B101" s="634"/>
      <c r="C101" s="635"/>
      <c r="D101" s="635"/>
      <c r="E101" s="608"/>
      <c r="F101" s="635"/>
      <c r="G101" s="635"/>
      <c r="H101" s="635"/>
      <c r="I101" s="635"/>
      <c r="J101" s="635"/>
      <c r="K101" s="636"/>
      <c r="L101" s="599"/>
    </row>
    <row r="102" spans="1:12" ht="15" customHeight="1">
      <c r="A102" s="599"/>
      <c r="B102" s="637"/>
      <c r="C102" s="638" t="s">
        <v>821</v>
      </c>
      <c r="D102" s="638"/>
      <c r="E102" s="624"/>
      <c r="F102" s="638" t="s">
        <v>817</v>
      </c>
      <c r="G102" s="638"/>
      <c r="H102" s="638"/>
      <c r="I102" s="638"/>
      <c r="J102" s="638" t="s">
        <v>822</v>
      </c>
      <c r="K102" s="639"/>
      <c r="L102" s="599"/>
    </row>
    <row r="103" spans="1:12" ht="15" customHeight="1">
      <c r="A103" s="599"/>
      <c r="B103" s="634" t="s">
        <v>366</v>
      </c>
      <c r="C103" s="765">
        <f>H100</f>
        <v>750000</v>
      </c>
      <c r="D103" s="765"/>
      <c r="E103" s="608" t="s">
        <v>111</v>
      </c>
      <c r="F103" s="618">
        <f>H97</f>
        <v>0.3740135169083432</v>
      </c>
      <c r="G103" s="608" t="s">
        <v>788</v>
      </c>
      <c r="H103" s="608">
        <v>1000</v>
      </c>
      <c r="I103" s="608" t="s">
        <v>787</v>
      </c>
      <c r="J103" s="626">
        <f>C103*F103/H103</f>
        <v>280.51013768125745</v>
      </c>
      <c r="K103" s="636"/>
      <c r="L103" s="599"/>
    </row>
    <row r="104" spans="1:12" ht="15" customHeight="1" thickBot="1">
      <c r="A104" s="599"/>
      <c r="B104" s="641"/>
      <c r="C104" s="627"/>
      <c r="D104" s="627"/>
      <c r="E104" s="628"/>
      <c r="F104" s="629"/>
      <c r="G104" s="628"/>
      <c r="H104" s="628"/>
      <c r="I104" s="628"/>
      <c r="J104" s="630"/>
      <c r="K104" s="642"/>
      <c r="L104" s="599"/>
    </row>
    <row r="105" spans="1:12" ht="40.5" customHeight="1">
      <c r="A105" s="599"/>
      <c r="B105" s="769" t="s">
        <v>777</v>
      </c>
      <c r="C105" s="780"/>
      <c r="D105" s="780"/>
      <c r="E105" s="780"/>
      <c r="F105" s="780"/>
      <c r="G105" s="780"/>
      <c r="H105" s="780"/>
      <c r="I105" s="780"/>
      <c r="J105" s="780"/>
      <c r="K105" s="780"/>
      <c r="L105" s="599"/>
    </row>
    <row r="106" spans="1:12" ht="15" customHeight="1">
      <c r="A106" s="599"/>
      <c r="B106" s="767" t="s">
        <v>827</v>
      </c>
      <c r="C106" s="781"/>
      <c r="D106" s="781"/>
      <c r="E106" s="781"/>
      <c r="F106" s="781"/>
      <c r="G106" s="781"/>
      <c r="H106" s="781"/>
      <c r="I106" s="781"/>
      <c r="J106" s="781"/>
      <c r="K106" s="781"/>
      <c r="L106" s="599"/>
    </row>
    <row r="107" spans="1:12" ht="15" customHeight="1">
      <c r="A107" s="599"/>
      <c r="B107" s="635"/>
      <c r="C107" s="643"/>
      <c r="D107" s="643"/>
      <c r="E107" s="608"/>
      <c r="F107" s="618"/>
      <c r="G107" s="608"/>
      <c r="H107" s="608"/>
      <c r="I107" s="608"/>
      <c r="J107" s="626"/>
      <c r="K107" s="635"/>
      <c r="L107" s="599"/>
    </row>
    <row r="108" spans="1:12" ht="15" customHeight="1">
      <c r="A108" s="599"/>
      <c r="B108" s="767" t="s">
        <v>828</v>
      </c>
      <c r="C108" s="768"/>
      <c r="D108" s="768"/>
      <c r="E108" s="768"/>
      <c r="F108" s="768"/>
      <c r="G108" s="768"/>
      <c r="H108" s="768"/>
      <c r="I108" s="768"/>
      <c r="J108" s="768"/>
      <c r="K108" s="768"/>
      <c r="L108" s="599"/>
    </row>
    <row r="109" spans="1:12" ht="15" customHeight="1">
      <c r="A109" s="599"/>
      <c r="B109" s="635"/>
      <c r="C109" s="643"/>
      <c r="D109" s="643"/>
      <c r="E109" s="608"/>
      <c r="F109" s="618"/>
      <c r="G109" s="608"/>
      <c r="H109" s="608"/>
      <c r="I109" s="608"/>
      <c r="J109" s="626"/>
      <c r="K109" s="635"/>
      <c r="L109" s="599"/>
    </row>
    <row r="110" spans="1:12" ht="59.25" customHeight="1">
      <c r="A110" s="599"/>
      <c r="B110" s="785" t="s">
        <v>337</v>
      </c>
      <c r="C110" s="771"/>
      <c r="D110" s="771"/>
      <c r="E110" s="771"/>
      <c r="F110" s="771"/>
      <c r="G110" s="771"/>
      <c r="H110" s="771"/>
      <c r="I110" s="771"/>
      <c r="J110" s="771"/>
      <c r="K110" s="771"/>
      <c r="L110" s="599"/>
    </row>
    <row r="111" spans="1:12" ht="15" thickBot="1">
      <c r="A111" s="599"/>
      <c r="B111" s="580"/>
      <c r="C111" s="580"/>
      <c r="D111" s="580"/>
      <c r="E111" s="580"/>
      <c r="F111" s="580"/>
      <c r="G111" s="580"/>
      <c r="H111" s="580"/>
      <c r="I111" s="580"/>
      <c r="J111" s="580"/>
      <c r="K111" s="580"/>
      <c r="L111" s="644"/>
    </row>
    <row r="112" spans="1:12" ht="14.25">
      <c r="A112" s="599"/>
      <c r="B112" s="582" t="s">
        <v>781</v>
      </c>
      <c r="C112" s="604"/>
      <c r="D112" s="604"/>
      <c r="E112" s="604"/>
      <c r="F112" s="604"/>
      <c r="G112" s="604"/>
      <c r="H112" s="604"/>
      <c r="I112" s="604"/>
      <c r="J112" s="604"/>
      <c r="K112" s="605"/>
      <c r="L112" s="599"/>
    </row>
    <row r="113" spans="1:12" ht="14.25">
      <c r="A113" s="599"/>
      <c r="B113" s="616"/>
      <c r="C113" s="607" t="s">
        <v>789</v>
      </c>
      <c r="D113" s="607"/>
      <c r="E113" s="607"/>
      <c r="F113" s="607"/>
      <c r="G113" s="607"/>
      <c r="H113" s="607"/>
      <c r="I113" s="607"/>
      <c r="J113" s="607"/>
      <c r="K113" s="610"/>
      <c r="L113" s="599"/>
    </row>
    <row r="114" spans="1:12" ht="14.25">
      <c r="A114" s="599"/>
      <c r="B114" s="616" t="s">
        <v>814</v>
      </c>
      <c r="C114" s="773">
        <v>133685008</v>
      </c>
      <c r="D114" s="773"/>
      <c r="E114" s="608" t="s">
        <v>788</v>
      </c>
      <c r="F114" s="608">
        <v>1000</v>
      </c>
      <c r="G114" s="608" t="s">
        <v>787</v>
      </c>
      <c r="H114" s="621">
        <f>C114/F114</f>
        <v>133685.008</v>
      </c>
      <c r="I114" s="607" t="s">
        <v>815</v>
      </c>
      <c r="J114" s="607"/>
      <c r="K114" s="610"/>
      <c r="L114" s="599"/>
    </row>
    <row r="115" spans="1:12" ht="14.25">
      <c r="A115" s="599"/>
      <c r="B115" s="616"/>
      <c r="C115" s="607"/>
      <c r="D115" s="607"/>
      <c r="E115" s="608"/>
      <c r="F115" s="607"/>
      <c r="G115" s="607"/>
      <c r="H115" s="607"/>
      <c r="I115" s="607"/>
      <c r="J115" s="607"/>
      <c r="K115" s="610"/>
      <c r="L115" s="599"/>
    </row>
    <row r="116" spans="1:12" ht="14.25">
      <c r="A116" s="599"/>
      <c r="B116" s="616"/>
      <c r="C116" s="607" t="s">
        <v>816</v>
      </c>
      <c r="D116" s="607"/>
      <c r="E116" s="608"/>
      <c r="F116" s="607" t="s">
        <v>815</v>
      </c>
      <c r="G116" s="607"/>
      <c r="H116" s="607"/>
      <c r="I116" s="607"/>
      <c r="J116" s="607"/>
      <c r="K116" s="610"/>
      <c r="L116" s="599"/>
    </row>
    <row r="117" spans="1:12" ht="14.25">
      <c r="A117" s="599"/>
      <c r="B117" s="616" t="s">
        <v>819</v>
      </c>
      <c r="C117" s="773">
        <v>50000</v>
      </c>
      <c r="D117" s="773"/>
      <c r="E117" s="608" t="s">
        <v>788</v>
      </c>
      <c r="F117" s="621">
        <f>H114</f>
        <v>133685.008</v>
      </c>
      <c r="G117" s="608" t="s">
        <v>787</v>
      </c>
      <c r="H117" s="618">
        <f>C117/F117</f>
        <v>0.3740135169083432</v>
      </c>
      <c r="I117" s="607" t="s">
        <v>817</v>
      </c>
      <c r="J117" s="607"/>
      <c r="K117" s="610"/>
      <c r="L117" s="599"/>
    </row>
    <row r="118" spans="1:12" ht="14.25">
      <c r="A118" s="599"/>
      <c r="B118" s="616"/>
      <c r="C118" s="607"/>
      <c r="D118" s="607"/>
      <c r="E118" s="608"/>
      <c r="F118" s="607"/>
      <c r="G118" s="607"/>
      <c r="H118" s="607"/>
      <c r="I118" s="607"/>
      <c r="J118" s="607"/>
      <c r="K118" s="610"/>
      <c r="L118" s="599"/>
    </row>
    <row r="119" spans="1:12" ht="14.25">
      <c r="A119" s="599"/>
      <c r="B119" s="622"/>
      <c r="C119" s="623" t="s">
        <v>826</v>
      </c>
      <c r="D119" s="623"/>
      <c r="E119" s="624"/>
      <c r="F119" s="623"/>
      <c r="G119" s="623"/>
      <c r="H119" s="623"/>
      <c r="I119" s="623"/>
      <c r="J119" s="623"/>
      <c r="K119" s="625"/>
      <c r="L119" s="599"/>
    </row>
    <row r="120" spans="1:12" ht="14.25">
      <c r="A120" s="599"/>
      <c r="B120" s="616" t="s">
        <v>365</v>
      </c>
      <c r="C120" s="773">
        <v>2500000</v>
      </c>
      <c r="D120" s="773"/>
      <c r="E120" s="608" t="s">
        <v>111</v>
      </c>
      <c r="F120" s="640">
        <v>0.25</v>
      </c>
      <c r="G120" s="608" t="s">
        <v>787</v>
      </c>
      <c r="H120" s="621">
        <f>C120*F120</f>
        <v>625000</v>
      </c>
      <c r="I120" s="607" t="s">
        <v>820</v>
      </c>
      <c r="J120" s="607"/>
      <c r="K120" s="610"/>
      <c r="L120" s="599"/>
    </row>
    <row r="121" spans="1:12" ht="14.25">
      <c r="A121" s="599"/>
      <c r="B121" s="616"/>
      <c r="C121" s="607"/>
      <c r="D121" s="607"/>
      <c r="E121" s="608"/>
      <c r="F121" s="607"/>
      <c r="G121" s="607"/>
      <c r="H121" s="607"/>
      <c r="I121" s="607"/>
      <c r="J121" s="607"/>
      <c r="K121" s="610"/>
      <c r="L121" s="599"/>
    </row>
    <row r="122" spans="1:12" ht="14.25">
      <c r="A122" s="599"/>
      <c r="B122" s="622"/>
      <c r="C122" s="623" t="s">
        <v>821</v>
      </c>
      <c r="D122" s="623"/>
      <c r="E122" s="624"/>
      <c r="F122" s="623" t="s">
        <v>817</v>
      </c>
      <c r="G122" s="623"/>
      <c r="H122" s="623"/>
      <c r="I122" s="623"/>
      <c r="J122" s="623" t="s">
        <v>822</v>
      </c>
      <c r="K122" s="625"/>
      <c r="L122" s="599"/>
    </row>
    <row r="123" spans="1:12" ht="14.25">
      <c r="A123" s="599"/>
      <c r="B123" s="616" t="s">
        <v>366</v>
      </c>
      <c r="C123" s="765">
        <f>H120</f>
        <v>625000</v>
      </c>
      <c r="D123" s="765"/>
      <c r="E123" s="608" t="s">
        <v>111</v>
      </c>
      <c r="F123" s="618">
        <f>H117</f>
        <v>0.3740135169083432</v>
      </c>
      <c r="G123" s="608" t="s">
        <v>788</v>
      </c>
      <c r="H123" s="608">
        <v>1000</v>
      </c>
      <c r="I123" s="608" t="s">
        <v>787</v>
      </c>
      <c r="J123" s="626">
        <f>C123*F123/H123</f>
        <v>233.7584480677145</v>
      </c>
      <c r="K123" s="610"/>
      <c r="L123" s="599"/>
    </row>
    <row r="124" spans="1:12" ht="15" thickBot="1">
      <c r="A124" s="599"/>
      <c r="B124" s="611"/>
      <c r="C124" s="627"/>
      <c r="D124" s="627"/>
      <c r="E124" s="628"/>
      <c r="F124" s="629"/>
      <c r="G124" s="628"/>
      <c r="H124" s="628"/>
      <c r="I124" s="628"/>
      <c r="J124" s="630"/>
      <c r="K124" s="613"/>
      <c r="L124" s="599"/>
    </row>
    <row r="125" spans="1:12" ht="40.5" customHeight="1">
      <c r="A125" s="599"/>
      <c r="B125" s="769" t="s">
        <v>777</v>
      </c>
      <c r="C125" s="769"/>
      <c r="D125" s="769"/>
      <c r="E125" s="769"/>
      <c r="F125" s="769"/>
      <c r="G125" s="769"/>
      <c r="H125" s="769"/>
      <c r="I125" s="769"/>
      <c r="J125" s="769"/>
      <c r="K125" s="769"/>
      <c r="L125" s="644"/>
    </row>
    <row r="126" spans="1:12" ht="14.25">
      <c r="A126" s="599"/>
      <c r="B126" s="772" t="s">
        <v>338</v>
      </c>
      <c r="C126" s="772"/>
      <c r="D126" s="772"/>
      <c r="E126" s="772"/>
      <c r="F126" s="772"/>
      <c r="G126" s="772"/>
      <c r="H126" s="772"/>
      <c r="I126" s="772"/>
      <c r="J126" s="772"/>
      <c r="K126" s="772"/>
      <c r="L126" s="644"/>
    </row>
    <row r="127" spans="1:12" ht="14.25">
      <c r="A127" s="599"/>
      <c r="B127" s="580"/>
      <c r="C127" s="580"/>
      <c r="D127" s="580"/>
      <c r="E127" s="580"/>
      <c r="F127" s="580"/>
      <c r="G127" s="580"/>
      <c r="H127" s="580"/>
      <c r="I127" s="580"/>
      <c r="J127" s="580"/>
      <c r="K127" s="580"/>
      <c r="L127" s="644"/>
    </row>
    <row r="128" spans="1:12" ht="14.25">
      <c r="A128" s="599"/>
      <c r="B128" s="772" t="s">
        <v>339</v>
      </c>
      <c r="C128" s="772"/>
      <c r="D128" s="772"/>
      <c r="E128" s="772"/>
      <c r="F128" s="772"/>
      <c r="G128" s="772"/>
      <c r="H128" s="772"/>
      <c r="I128" s="772"/>
      <c r="J128" s="772"/>
      <c r="K128" s="772"/>
      <c r="L128" s="644"/>
    </row>
    <row r="129" spans="1:12" ht="14.25">
      <c r="A129" s="599"/>
      <c r="B129" s="585"/>
      <c r="C129" s="585"/>
      <c r="D129" s="585"/>
      <c r="E129" s="585"/>
      <c r="F129" s="585"/>
      <c r="G129" s="585"/>
      <c r="H129" s="585"/>
      <c r="I129" s="585"/>
      <c r="J129" s="585"/>
      <c r="K129" s="585"/>
      <c r="L129" s="644"/>
    </row>
    <row r="130" spans="1:12" ht="74.25" customHeight="1">
      <c r="A130" s="599"/>
      <c r="B130" s="770" t="s">
        <v>367</v>
      </c>
      <c r="C130" s="770"/>
      <c r="D130" s="770"/>
      <c r="E130" s="770"/>
      <c r="F130" s="770"/>
      <c r="G130" s="770"/>
      <c r="H130" s="770"/>
      <c r="I130" s="770"/>
      <c r="J130" s="770"/>
      <c r="K130" s="770"/>
      <c r="L130" s="644"/>
    </row>
    <row r="131" spans="1:12" ht="15" thickBot="1">
      <c r="A131" s="599"/>
      <c r="L131" s="599"/>
    </row>
    <row r="132" spans="1:12" ht="14.25">
      <c r="A132" s="599"/>
      <c r="B132" s="582" t="s">
        <v>781</v>
      </c>
      <c r="C132" s="604"/>
      <c r="D132" s="604"/>
      <c r="E132" s="604"/>
      <c r="F132" s="604"/>
      <c r="G132" s="604"/>
      <c r="H132" s="604"/>
      <c r="I132" s="604"/>
      <c r="J132" s="604"/>
      <c r="K132" s="605"/>
      <c r="L132" s="599"/>
    </row>
    <row r="133" spans="1:12" ht="14.25">
      <c r="A133" s="599"/>
      <c r="B133" s="616"/>
      <c r="C133" s="786" t="s">
        <v>340</v>
      </c>
      <c r="D133" s="786"/>
      <c r="E133" s="607"/>
      <c r="F133" s="608" t="s">
        <v>341</v>
      </c>
      <c r="G133" s="607"/>
      <c r="H133" s="786" t="s">
        <v>820</v>
      </c>
      <c r="I133" s="786"/>
      <c r="J133" s="607"/>
      <c r="K133" s="610"/>
      <c r="L133" s="599"/>
    </row>
    <row r="134" spans="1:12" ht="14.25">
      <c r="A134" s="599"/>
      <c r="B134" s="616" t="s">
        <v>814</v>
      </c>
      <c r="C134" s="773">
        <v>100000</v>
      </c>
      <c r="D134" s="773"/>
      <c r="E134" s="608" t="s">
        <v>111</v>
      </c>
      <c r="F134" s="608">
        <v>0.115</v>
      </c>
      <c r="G134" s="608" t="s">
        <v>787</v>
      </c>
      <c r="H134" s="758">
        <f>C134*F134</f>
        <v>11500</v>
      </c>
      <c r="I134" s="758"/>
      <c r="J134" s="607"/>
      <c r="K134" s="610"/>
      <c r="L134" s="599"/>
    </row>
    <row r="135" spans="1:12" ht="14.25">
      <c r="A135" s="599"/>
      <c r="B135" s="616"/>
      <c r="C135" s="607"/>
      <c r="D135" s="607"/>
      <c r="E135" s="607"/>
      <c r="F135" s="607"/>
      <c r="G135" s="607"/>
      <c r="H135" s="607"/>
      <c r="I135" s="607"/>
      <c r="J135" s="607"/>
      <c r="K135" s="610"/>
      <c r="L135" s="599"/>
    </row>
    <row r="136" spans="1:12" ht="14.25">
      <c r="A136" s="599"/>
      <c r="B136" s="622"/>
      <c r="C136" s="766" t="s">
        <v>820</v>
      </c>
      <c r="D136" s="766"/>
      <c r="E136" s="623"/>
      <c r="F136" s="624" t="s">
        <v>342</v>
      </c>
      <c r="G136" s="624"/>
      <c r="H136" s="623"/>
      <c r="I136" s="623"/>
      <c r="J136" s="623" t="s">
        <v>343</v>
      </c>
      <c r="K136" s="625"/>
      <c r="L136" s="599"/>
    </row>
    <row r="137" spans="1:12" ht="14.25">
      <c r="A137" s="599"/>
      <c r="B137" s="616" t="s">
        <v>819</v>
      </c>
      <c r="C137" s="758">
        <f>H134</f>
        <v>11500</v>
      </c>
      <c r="D137" s="758"/>
      <c r="E137" s="608" t="s">
        <v>111</v>
      </c>
      <c r="F137" s="645">
        <v>52.869</v>
      </c>
      <c r="G137" s="608" t="s">
        <v>788</v>
      </c>
      <c r="H137" s="608">
        <v>1000</v>
      </c>
      <c r="I137" s="608" t="s">
        <v>787</v>
      </c>
      <c r="J137" s="646">
        <f>C137*F137/H137</f>
        <v>607.9935</v>
      </c>
      <c r="K137" s="610"/>
      <c r="L137" s="599"/>
    </row>
    <row r="138" spans="1:12" ht="15" thickBot="1">
      <c r="A138" s="599"/>
      <c r="B138" s="611"/>
      <c r="C138" s="647"/>
      <c r="D138" s="647"/>
      <c r="E138" s="628"/>
      <c r="F138" s="648"/>
      <c r="G138" s="628"/>
      <c r="H138" s="628"/>
      <c r="I138" s="628"/>
      <c r="J138" s="649"/>
      <c r="K138" s="613"/>
      <c r="L138" s="599"/>
    </row>
    <row r="139" spans="1:12" ht="40.5" customHeight="1">
      <c r="A139" s="599"/>
      <c r="B139" s="587" t="s">
        <v>777</v>
      </c>
      <c r="C139" s="588"/>
      <c r="D139" s="588"/>
      <c r="E139" s="589"/>
      <c r="F139" s="590"/>
      <c r="G139" s="589"/>
      <c r="H139" s="589"/>
      <c r="I139" s="589"/>
      <c r="J139" s="591"/>
      <c r="K139" s="592"/>
      <c r="L139" s="599"/>
    </row>
    <row r="140" spans="1:12" ht="14.25">
      <c r="A140" s="599"/>
      <c r="B140" s="593" t="s">
        <v>368</v>
      </c>
      <c r="C140" s="594"/>
      <c r="D140" s="594"/>
      <c r="E140" s="595"/>
      <c r="F140" s="596"/>
      <c r="G140" s="595"/>
      <c r="H140" s="595"/>
      <c r="I140" s="595"/>
      <c r="J140" s="597"/>
      <c r="K140" s="598"/>
      <c r="L140" s="599"/>
    </row>
    <row r="141" spans="1:12" ht="14.25">
      <c r="A141" s="599"/>
      <c r="B141" s="616"/>
      <c r="C141" s="621"/>
      <c r="D141" s="621"/>
      <c r="E141" s="608"/>
      <c r="F141" s="650"/>
      <c r="G141" s="608"/>
      <c r="H141" s="608"/>
      <c r="I141" s="608"/>
      <c r="J141" s="646"/>
      <c r="K141" s="610"/>
      <c r="L141" s="599"/>
    </row>
    <row r="142" spans="1:12" ht="14.25">
      <c r="A142" s="599"/>
      <c r="B142" s="593" t="s">
        <v>369</v>
      </c>
      <c r="C142" s="594"/>
      <c r="D142" s="594"/>
      <c r="E142" s="595"/>
      <c r="F142" s="596"/>
      <c r="G142" s="595"/>
      <c r="H142" s="595"/>
      <c r="I142" s="595"/>
      <c r="J142" s="597"/>
      <c r="K142" s="598"/>
      <c r="L142" s="599"/>
    </row>
    <row r="143" spans="1:12" ht="14.25">
      <c r="A143" s="599"/>
      <c r="B143" s="616"/>
      <c r="C143" s="621"/>
      <c r="D143" s="621"/>
      <c r="E143" s="608"/>
      <c r="F143" s="650"/>
      <c r="G143" s="608"/>
      <c r="H143" s="608"/>
      <c r="I143" s="608"/>
      <c r="J143" s="646"/>
      <c r="K143" s="610"/>
      <c r="L143" s="599"/>
    </row>
    <row r="144" spans="1:12" ht="76.5" customHeight="1">
      <c r="A144" s="599"/>
      <c r="B144" s="760" t="s">
        <v>370</v>
      </c>
      <c r="C144" s="761"/>
      <c r="D144" s="761"/>
      <c r="E144" s="761"/>
      <c r="F144" s="761"/>
      <c r="G144" s="761"/>
      <c r="H144" s="761"/>
      <c r="I144" s="761"/>
      <c r="J144" s="761"/>
      <c r="K144" s="762"/>
      <c r="L144" s="599"/>
    </row>
    <row r="145" spans="1:12" ht="15" thickBot="1">
      <c r="A145" s="599"/>
      <c r="B145" s="616"/>
      <c r="C145" s="621"/>
      <c r="D145" s="621"/>
      <c r="E145" s="608"/>
      <c r="F145" s="650"/>
      <c r="G145" s="608"/>
      <c r="H145" s="608"/>
      <c r="I145" s="608"/>
      <c r="J145" s="646"/>
      <c r="K145" s="610"/>
      <c r="L145" s="599"/>
    </row>
    <row r="146" spans="1:12" ht="14.25">
      <c r="A146" s="599"/>
      <c r="B146" s="582" t="s">
        <v>781</v>
      </c>
      <c r="C146" s="651"/>
      <c r="D146" s="651"/>
      <c r="E146" s="652"/>
      <c r="F146" s="653"/>
      <c r="G146" s="652"/>
      <c r="H146" s="652"/>
      <c r="I146" s="652"/>
      <c r="J146" s="654"/>
      <c r="K146" s="605"/>
      <c r="L146" s="599"/>
    </row>
    <row r="147" spans="1:12" ht="14.25">
      <c r="A147" s="599"/>
      <c r="B147" s="616"/>
      <c r="C147" s="758" t="s">
        <v>371</v>
      </c>
      <c r="D147" s="758"/>
      <c r="E147" s="608"/>
      <c r="F147" s="650" t="s">
        <v>372</v>
      </c>
      <c r="G147" s="608"/>
      <c r="H147" s="608"/>
      <c r="I147" s="608"/>
      <c r="J147" s="763" t="s">
        <v>373</v>
      </c>
      <c r="K147" s="764"/>
      <c r="L147" s="599"/>
    </row>
    <row r="148" spans="1:12" ht="14.25">
      <c r="A148" s="599"/>
      <c r="B148" s="616"/>
      <c r="C148" s="757">
        <v>52.869</v>
      </c>
      <c r="D148" s="757"/>
      <c r="E148" s="608" t="s">
        <v>111</v>
      </c>
      <c r="F148" s="655">
        <v>133685008</v>
      </c>
      <c r="G148" s="656" t="s">
        <v>788</v>
      </c>
      <c r="H148" s="608">
        <v>1000</v>
      </c>
      <c r="I148" s="608" t="s">
        <v>787</v>
      </c>
      <c r="J148" s="758">
        <f>C148*(F148/1000)</f>
        <v>7067792.687952</v>
      </c>
      <c r="K148" s="759"/>
      <c r="L148" s="599"/>
    </row>
    <row r="149" spans="1:12" ht="15" thickBot="1">
      <c r="A149" s="599"/>
      <c r="B149" s="611"/>
      <c r="C149" s="647"/>
      <c r="D149" s="647"/>
      <c r="E149" s="628"/>
      <c r="F149" s="648"/>
      <c r="G149" s="628"/>
      <c r="H149" s="628"/>
      <c r="I149" s="628"/>
      <c r="J149" s="649"/>
      <c r="K149" s="613"/>
      <c r="L149" s="599"/>
    </row>
    <row r="150" spans="1:12" ht="15" thickBot="1">
      <c r="A150" s="599"/>
      <c r="B150" s="611"/>
      <c r="C150" s="612"/>
      <c r="D150" s="612"/>
      <c r="E150" s="612"/>
      <c r="F150" s="612"/>
      <c r="G150" s="612"/>
      <c r="H150" s="612"/>
      <c r="I150" s="612"/>
      <c r="J150" s="612"/>
      <c r="K150" s="613"/>
      <c r="L150" s="599"/>
    </row>
    <row r="151" spans="1:12" ht="14.25">
      <c r="A151" s="599"/>
      <c r="B151" s="599"/>
      <c r="C151" s="599"/>
      <c r="D151" s="599"/>
      <c r="E151" s="599"/>
      <c r="F151" s="599"/>
      <c r="G151" s="599"/>
      <c r="H151" s="599"/>
      <c r="I151" s="599"/>
      <c r="J151" s="599"/>
      <c r="K151" s="599"/>
      <c r="L151" s="599"/>
    </row>
    <row r="152" spans="1:12" ht="14.25">
      <c r="A152" s="599"/>
      <c r="B152" s="599"/>
      <c r="C152" s="599"/>
      <c r="D152" s="599"/>
      <c r="E152" s="599"/>
      <c r="F152" s="599"/>
      <c r="G152" s="599"/>
      <c r="H152" s="599"/>
      <c r="I152" s="599"/>
      <c r="J152" s="599"/>
      <c r="K152" s="599"/>
      <c r="L152" s="599"/>
    </row>
    <row r="153" spans="1:12" ht="14.25">
      <c r="A153" s="599"/>
      <c r="B153" s="599"/>
      <c r="C153" s="599"/>
      <c r="D153" s="599"/>
      <c r="E153" s="599"/>
      <c r="F153" s="599"/>
      <c r="G153" s="599"/>
      <c r="H153" s="599"/>
      <c r="I153" s="599"/>
      <c r="J153" s="599"/>
      <c r="K153" s="599"/>
      <c r="L153" s="599"/>
    </row>
    <row r="154" spans="1:12" ht="14.25">
      <c r="A154" s="657"/>
      <c r="B154" s="657"/>
      <c r="C154" s="657"/>
      <c r="D154" s="657"/>
      <c r="E154" s="657"/>
      <c r="F154" s="657"/>
      <c r="G154" s="657"/>
      <c r="H154" s="657"/>
      <c r="I154" s="657"/>
      <c r="J154" s="657"/>
      <c r="K154" s="657"/>
      <c r="L154" s="657"/>
    </row>
    <row r="155" spans="1:12" ht="14.25">
      <c r="A155" s="657"/>
      <c r="B155" s="657"/>
      <c r="C155" s="657"/>
      <c r="D155" s="657"/>
      <c r="E155" s="657"/>
      <c r="F155" s="657"/>
      <c r="G155" s="657"/>
      <c r="H155" s="657"/>
      <c r="I155" s="657"/>
      <c r="J155" s="657"/>
      <c r="K155" s="657"/>
      <c r="L155" s="657"/>
    </row>
    <row r="156" spans="1:12" ht="14.25">
      <c r="A156" s="657"/>
      <c r="B156" s="657"/>
      <c r="C156" s="657"/>
      <c r="D156" s="657"/>
      <c r="E156" s="657"/>
      <c r="F156" s="657"/>
      <c r="G156" s="657"/>
      <c r="H156" s="657"/>
      <c r="I156" s="657"/>
      <c r="J156" s="657"/>
      <c r="K156" s="657"/>
      <c r="L156" s="657"/>
    </row>
    <row r="157" spans="1:12" ht="14.25">
      <c r="A157" s="657"/>
      <c r="B157" s="657"/>
      <c r="C157" s="657"/>
      <c r="D157" s="657"/>
      <c r="E157" s="657"/>
      <c r="F157" s="657"/>
      <c r="G157" s="657"/>
      <c r="H157" s="657"/>
      <c r="I157" s="657"/>
      <c r="J157" s="657"/>
      <c r="K157" s="657"/>
      <c r="L157" s="657"/>
    </row>
    <row r="158" spans="1:12" ht="14.25">
      <c r="A158" s="657"/>
      <c r="B158" s="657"/>
      <c r="C158" s="657"/>
      <c r="D158" s="657"/>
      <c r="E158" s="657"/>
      <c r="F158" s="657"/>
      <c r="G158" s="657"/>
      <c r="H158" s="657"/>
      <c r="I158" s="657"/>
      <c r="J158" s="657"/>
      <c r="K158" s="657"/>
      <c r="L158" s="657"/>
    </row>
    <row r="159" spans="1:12" ht="14.25">
      <c r="A159" s="657"/>
      <c r="B159" s="657"/>
      <c r="C159" s="657"/>
      <c r="D159" s="657"/>
      <c r="E159" s="657"/>
      <c r="F159" s="657"/>
      <c r="G159" s="657"/>
      <c r="H159" s="657"/>
      <c r="I159" s="657"/>
      <c r="J159" s="657"/>
      <c r="K159" s="657"/>
      <c r="L159" s="657"/>
    </row>
    <row r="160" spans="1:12" ht="14.25">
      <c r="A160" s="657"/>
      <c r="B160" s="657"/>
      <c r="C160" s="657"/>
      <c r="D160" s="657"/>
      <c r="E160" s="657"/>
      <c r="F160" s="657"/>
      <c r="G160" s="657"/>
      <c r="H160" s="657"/>
      <c r="I160" s="657"/>
      <c r="J160" s="657"/>
      <c r="K160" s="657"/>
      <c r="L160" s="657"/>
    </row>
    <row r="161" spans="1:12" ht="14.25">
      <c r="A161" s="657"/>
      <c r="B161" s="657"/>
      <c r="C161" s="657"/>
      <c r="D161" s="657"/>
      <c r="E161" s="657"/>
      <c r="F161" s="657"/>
      <c r="G161" s="657"/>
      <c r="H161" s="657"/>
      <c r="I161" s="657"/>
      <c r="J161" s="657"/>
      <c r="K161" s="657"/>
      <c r="L161" s="657"/>
    </row>
    <row r="162" spans="1:12" ht="14.25">
      <c r="A162" s="657"/>
      <c r="B162" s="657"/>
      <c r="C162" s="657"/>
      <c r="D162" s="657"/>
      <c r="E162" s="657"/>
      <c r="F162" s="657"/>
      <c r="G162" s="657"/>
      <c r="H162" s="657"/>
      <c r="I162" s="657"/>
      <c r="J162" s="657"/>
      <c r="K162" s="657"/>
      <c r="L162" s="657"/>
    </row>
    <row r="163" spans="1:12" ht="14.25">
      <c r="A163" s="657"/>
      <c r="B163" s="657"/>
      <c r="C163" s="657"/>
      <c r="D163" s="657"/>
      <c r="E163" s="657"/>
      <c r="F163" s="657"/>
      <c r="G163" s="657"/>
      <c r="H163" s="657"/>
      <c r="I163" s="657"/>
      <c r="J163" s="657"/>
      <c r="K163" s="657"/>
      <c r="L163" s="657"/>
    </row>
    <row r="164" spans="1:12" ht="14.25">
      <c r="A164" s="657"/>
      <c r="B164" s="657"/>
      <c r="C164" s="657"/>
      <c r="D164" s="657"/>
      <c r="E164" s="657"/>
      <c r="F164" s="657"/>
      <c r="G164" s="657"/>
      <c r="H164" s="657"/>
      <c r="I164" s="657"/>
      <c r="J164" s="657"/>
      <c r="K164" s="657"/>
      <c r="L164" s="657"/>
    </row>
    <row r="165" spans="1:12" ht="14.25">
      <c r="A165" s="657"/>
      <c r="B165" s="657"/>
      <c r="C165" s="657"/>
      <c r="D165" s="657"/>
      <c r="E165" s="657"/>
      <c r="F165" s="657"/>
      <c r="G165" s="657"/>
      <c r="H165" s="657"/>
      <c r="I165" s="657"/>
      <c r="J165" s="657"/>
      <c r="K165" s="657"/>
      <c r="L165" s="657"/>
    </row>
    <row r="166" spans="1:12" ht="14.25">
      <c r="A166" s="657"/>
      <c r="B166" s="657"/>
      <c r="C166" s="657"/>
      <c r="D166" s="657"/>
      <c r="E166" s="657"/>
      <c r="F166" s="657"/>
      <c r="G166" s="657"/>
      <c r="H166" s="657"/>
      <c r="I166" s="657"/>
      <c r="J166" s="657"/>
      <c r="K166" s="657"/>
      <c r="L166" s="657"/>
    </row>
    <row r="167" spans="1:12" ht="14.25">
      <c r="A167" s="657"/>
      <c r="B167" s="657"/>
      <c r="C167" s="657"/>
      <c r="D167" s="657"/>
      <c r="E167" s="657"/>
      <c r="F167" s="657"/>
      <c r="G167" s="657"/>
      <c r="H167" s="657"/>
      <c r="I167" s="657"/>
      <c r="J167" s="657"/>
      <c r="K167" s="657"/>
      <c r="L167" s="657"/>
    </row>
    <row r="168" spans="1:12" ht="14.25">
      <c r="A168" s="657"/>
      <c r="B168" s="657"/>
      <c r="C168" s="657"/>
      <c r="D168" s="657"/>
      <c r="E168" s="657"/>
      <c r="F168" s="657"/>
      <c r="G168" s="657"/>
      <c r="H168" s="657"/>
      <c r="I168" s="657"/>
      <c r="J168" s="657"/>
      <c r="K168" s="657"/>
      <c r="L168" s="657"/>
    </row>
    <row r="169" spans="1:12" ht="14.25">
      <c r="A169" s="657"/>
      <c r="B169" s="657"/>
      <c r="C169" s="657"/>
      <c r="D169" s="657"/>
      <c r="E169" s="657"/>
      <c r="F169" s="657"/>
      <c r="G169" s="657"/>
      <c r="H169" s="657"/>
      <c r="I169" s="657"/>
      <c r="J169" s="657"/>
      <c r="K169" s="657"/>
      <c r="L169" s="657"/>
    </row>
    <row r="170" spans="1:12" ht="14.25">
      <c r="A170" s="657"/>
      <c r="B170" s="657"/>
      <c r="C170" s="657"/>
      <c r="D170" s="657"/>
      <c r="E170" s="657"/>
      <c r="F170" s="657"/>
      <c r="G170" s="657"/>
      <c r="H170" s="657"/>
      <c r="I170" s="657"/>
      <c r="J170" s="657"/>
      <c r="K170" s="657"/>
      <c r="L170" s="657"/>
    </row>
    <row r="171" spans="1:12" ht="14.25">
      <c r="A171" s="657"/>
      <c r="B171" s="657"/>
      <c r="C171" s="657"/>
      <c r="D171" s="657"/>
      <c r="E171" s="657"/>
      <c r="F171" s="657"/>
      <c r="G171" s="657"/>
      <c r="H171" s="657"/>
      <c r="I171" s="657"/>
      <c r="J171" s="657"/>
      <c r="K171" s="657"/>
      <c r="L171" s="657"/>
    </row>
    <row r="172" spans="1:12" ht="14.25">
      <c r="A172" s="657"/>
      <c r="B172" s="657"/>
      <c r="C172" s="657"/>
      <c r="D172" s="657"/>
      <c r="E172" s="657"/>
      <c r="F172" s="657"/>
      <c r="G172" s="657"/>
      <c r="H172" s="657"/>
      <c r="I172" s="657"/>
      <c r="J172" s="657"/>
      <c r="K172" s="657"/>
      <c r="L172" s="657"/>
    </row>
    <row r="173" spans="1:12" ht="14.25">
      <c r="A173" s="657"/>
      <c r="B173" s="657"/>
      <c r="C173" s="657"/>
      <c r="D173" s="657"/>
      <c r="E173" s="657"/>
      <c r="F173" s="657"/>
      <c r="G173" s="657"/>
      <c r="H173" s="657"/>
      <c r="I173" s="657"/>
      <c r="J173" s="657"/>
      <c r="K173" s="657"/>
      <c r="L173" s="657"/>
    </row>
    <row r="174" spans="1:12" ht="14.25">
      <c r="A174" s="657"/>
      <c r="B174" s="657"/>
      <c r="C174" s="657"/>
      <c r="D174" s="657"/>
      <c r="E174" s="657"/>
      <c r="F174" s="657"/>
      <c r="G174" s="657"/>
      <c r="H174" s="657"/>
      <c r="I174" s="657"/>
      <c r="J174" s="657"/>
      <c r="K174" s="657"/>
      <c r="L174" s="657"/>
    </row>
    <row r="175" spans="1:12" ht="14.25">
      <c r="A175" s="657"/>
      <c r="B175" s="657"/>
      <c r="C175" s="657"/>
      <c r="D175" s="657"/>
      <c r="E175" s="657"/>
      <c r="F175" s="657"/>
      <c r="G175" s="657"/>
      <c r="H175" s="657"/>
      <c r="I175" s="657"/>
      <c r="J175" s="657"/>
      <c r="K175" s="657"/>
      <c r="L175" s="657"/>
    </row>
    <row r="176" spans="1:12" ht="14.25">
      <c r="A176" s="657"/>
      <c r="B176" s="657"/>
      <c r="C176" s="657"/>
      <c r="D176" s="657"/>
      <c r="E176" s="657"/>
      <c r="F176" s="657"/>
      <c r="G176" s="657"/>
      <c r="H176" s="657"/>
      <c r="I176" s="657"/>
      <c r="J176" s="657"/>
      <c r="K176" s="657"/>
      <c r="L176" s="657"/>
    </row>
    <row r="177" spans="1:12" ht="14.25">
      <c r="A177" s="657"/>
      <c r="B177" s="657"/>
      <c r="C177" s="657"/>
      <c r="D177" s="657"/>
      <c r="E177" s="657"/>
      <c r="F177" s="657"/>
      <c r="G177" s="657"/>
      <c r="H177" s="657"/>
      <c r="I177" s="657"/>
      <c r="J177" s="657"/>
      <c r="K177" s="657"/>
      <c r="L177" s="657"/>
    </row>
    <row r="178" spans="1:12" ht="14.25">
      <c r="A178" s="657"/>
      <c r="B178" s="657"/>
      <c r="C178" s="657"/>
      <c r="D178" s="657"/>
      <c r="E178" s="657"/>
      <c r="F178" s="657"/>
      <c r="G178" s="657"/>
      <c r="H178" s="657"/>
      <c r="I178" s="657"/>
      <c r="J178" s="657"/>
      <c r="K178" s="657"/>
      <c r="L178" s="657"/>
    </row>
    <row r="179" spans="1:12" ht="14.25">
      <c r="A179" s="657"/>
      <c r="B179" s="657"/>
      <c r="C179" s="657"/>
      <c r="D179" s="657"/>
      <c r="E179" s="657"/>
      <c r="F179" s="657"/>
      <c r="G179" s="657"/>
      <c r="H179" s="657"/>
      <c r="I179" s="657"/>
      <c r="J179" s="657"/>
      <c r="K179" s="657"/>
      <c r="L179" s="657"/>
    </row>
    <row r="180" spans="1:12" ht="14.25">
      <c r="A180" s="657"/>
      <c r="B180" s="657"/>
      <c r="C180" s="657"/>
      <c r="D180" s="657"/>
      <c r="E180" s="657"/>
      <c r="F180" s="657"/>
      <c r="G180" s="657"/>
      <c r="H180" s="657"/>
      <c r="I180" s="657"/>
      <c r="J180" s="657"/>
      <c r="K180" s="657"/>
      <c r="L180" s="657"/>
    </row>
    <row r="181" spans="1:12" ht="14.25">
      <c r="A181" s="657"/>
      <c r="B181" s="657"/>
      <c r="C181" s="657"/>
      <c r="D181" s="657"/>
      <c r="E181" s="657"/>
      <c r="F181" s="657"/>
      <c r="G181" s="657"/>
      <c r="H181" s="657"/>
      <c r="I181" s="657"/>
      <c r="J181" s="657"/>
      <c r="K181" s="657"/>
      <c r="L181" s="657"/>
    </row>
    <row r="182" spans="1:12" ht="14.25">
      <c r="A182" s="657"/>
      <c r="B182" s="657"/>
      <c r="C182" s="657"/>
      <c r="D182" s="657"/>
      <c r="E182" s="657"/>
      <c r="F182" s="657"/>
      <c r="G182" s="657"/>
      <c r="H182" s="657"/>
      <c r="I182" s="657"/>
      <c r="J182" s="657"/>
      <c r="K182" s="657"/>
      <c r="L182" s="657"/>
    </row>
    <row r="183" spans="1:12" ht="14.25">
      <c r="A183" s="657"/>
      <c r="B183" s="657"/>
      <c r="C183" s="657"/>
      <c r="D183" s="657"/>
      <c r="E183" s="657"/>
      <c r="F183" s="657"/>
      <c r="G183" s="657"/>
      <c r="H183" s="657"/>
      <c r="I183" s="657"/>
      <c r="J183" s="657"/>
      <c r="K183" s="657"/>
      <c r="L183" s="657"/>
    </row>
    <row r="184" spans="1:12" ht="14.25">
      <c r="A184" s="657"/>
      <c r="B184" s="657"/>
      <c r="C184" s="657"/>
      <c r="D184" s="657"/>
      <c r="E184" s="657"/>
      <c r="F184" s="657"/>
      <c r="G184" s="657"/>
      <c r="H184" s="657"/>
      <c r="I184" s="657"/>
      <c r="J184" s="657"/>
      <c r="K184" s="657"/>
      <c r="L184" s="657"/>
    </row>
    <row r="185" spans="1:12" ht="14.25">
      <c r="A185" s="657"/>
      <c r="B185" s="657"/>
      <c r="C185" s="657"/>
      <c r="D185" s="657"/>
      <c r="E185" s="657"/>
      <c r="F185" s="657"/>
      <c r="G185" s="657"/>
      <c r="H185" s="657"/>
      <c r="I185" s="657"/>
      <c r="J185" s="657"/>
      <c r="K185" s="657"/>
      <c r="L185" s="657"/>
    </row>
    <row r="186" spans="1:12" ht="14.25">
      <c r="A186" s="657"/>
      <c r="B186" s="657"/>
      <c r="C186" s="657"/>
      <c r="D186" s="657"/>
      <c r="E186" s="657"/>
      <c r="F186" s="657"/>
      <c r="G186" s="657"/>
      <c r="H186" s="657"/>
      <c r="I186" s="657"/>
      <c r="J186" s="657"/>
      <c r="K186" s="657"/>
      <c r="L186" s="657"/>
    </row>
    <row r="187" spans="1:12" ht="14.25">
      <c r="A187" s="657"/>
      <c r="B187" s="657"/>
      <c r="C187" s="657"/>
      <c r="D187" s="657"/>
      <c r="E187" s="657"/>
      <c r="F187" s="657"/>
      <c r="G187" s="657"/>
      <c r="H187" s="657"/>
      <c r="I187" s="657"/>
      <c r="J187" s="657"/>
      <c r="K187" s="657"/>
      <c r="L187" s="657"/>
    </row>
    <row r="188" spans="1:12" ht="14.25">
      <c r="A188" s="657"/>
      <c r="B188" s="657"/>
      <c r="C188" s="657"/>
      <c r="D188" s="657"/>
      <c r="E188" s="657"/>
      <c r="F188" s="657"/>
      <c r="G188" s="657"/>
      <c r="H188" s="657"/>
      <c r="I188" s="657"/>
      <c r="J188" s="657"/>
      <c r="K188" s="657"/>
      <c r="L188" s="657"/>
    </row>
    <row r="189" spans="1:12" ht="14.25">
      <c r="A189" s="657"/>
      <c r="B189" s="657"/>
      <c r="C189" s="657"/>
      <c r="D189" s="657"/>
      <c r="E189" s="657"/>
      <c r="F189" s="657"/>
      <c r="G189" s="657"/>
      <c r="H189" s="657"/>
      <c r="I189" s="657"/>
      <c r="J189" s="657"/>
      <c r="K189" s="657"/>
      <c r="L189" s="657"/>
    </row>
    <row r="190" spans="1:12" ht="14.25">
      <c r="A190" s="657"/>
      <c r="B190" s="657"/>
      <c r="C190" s="657"/>
      <c r="D190" s="657"/>
      <c r="E190" s="657"/>
      <c r="F190" s="657"/>
      <c r="G190" s="657"/>
      <c r="H190" s="657"/>
      <c r="I190" s="657"/>
      <c r="J190" s="657"/>
      <c r="K190" s="657"/>
      <c r="L190" s="657"/>
    </row>
    <row r="191" spans="1:12" ht="14.25">
      <c r="A191" s="657"/>
      <c r="B191" s="657"/>
      <c r="C191" s="657"/>
      <c r="D191" s="657"/>
      <c r="E191" s="657"/>
      <c r="F191" s="657"/>
      <c r="G191" s="657"/>
      <c r="H191" s="657"/>
      <c r="I191" s="657"/>
      <c r="J191" s="657"/>
      <c r="K191" s="657"/>
      <c r="L191" s="657"/>
    </row>
    <row r="192" spans="1:12" ht="14.25">
      <c r="A192" s="657"/>
      <c r="B192" s="657"/>
      <c r="C192" s="657"/>
      <c r="D192" s="657"/>
      <c r="E192" s="657"/>
      <c r="F192" s="657"/>
      <c r="G192" s="657"/>
      <c r="H192" s="657"/>
      <c r="I192" s="657"/>
      <c r="J192" s="657"/>
      <c r="K192" s="657"/>
      <c r="L192" s="657"/>
    </row>
    <row r="193" spans="1:12" ht="14.25">
      <c r="A193" s="657"/>
      <c r="B193" s="657"/>
      <c r="C193" s="657"/>
      <c r="D193" s="657"/>
      <c r="E193" s="657"/>
      <c r="F193" s="657"/>
      <c r="G193" s="657"/>
      <c r="H193" s="657"/>
      <c r="I193" s="657"/>
      <c r="J193" s="657"/>
      <c r="K193" s="657"/>
      <c r="L193" s="657"/>
    </row>
    <row r="194" spans="1:12" ht="14.25">
      <c r="A194" s="657"/>
      <c r="B194" s="657"/>
      <c r="C194" s="657"/>
      <c r="D194" s="657"/>
      <c r="E194" s="657"/>
      <c r="F194" s="657"/>
      <c r="G194" s="657"/>
      <c r="H194" s="657"/>
      <c r="I194" s="657"/>
      <c r="J194" s="657"/>
      <c r="K194" s="657"/>
      <c r="L194" s="657"/>
    </row>
    <row r="195" spans="1:12" ht="14.25">
      <c r="A195" s="657"/>
      <c r="B195" s="657"/>
      <c r="C195" s="657"/>
      <c r="D195" s="657"/>
      <c r="E195" s="657"/>
      <c r="F195" s="657"/>
      <c r="G195" s="657"/>
      <c r="H195" s="657"/>
      <c r="I195" s="657"/>
      <c r="J195" s="657"/>
      <c r="K195" s="657"/>
      <c r="L195" s="657"/>
    </row>
    <row r="196" spans="1:12" ht="14.25">
      <c r="A196" s="657"/>
      <c r="B196" s="657"/>
      <c r="C196" s="657"/>
      <c r="D196" s="657"/>
      <c r="E196" s="657"/>
      <c r="F196" s="657"/>
      <c r="G196" s="657"/>
      <c r="H196" s="657"/>
      <c r="I196" s="657"/>
      <c r="J196" s="657"/>
      <c r="K196" s="657"/>
      <c r="L196" s="657"/>
    </row>
    <row r="197" spans="1:12" ht="14.25">
      <c r="A197" s="657"/>
      <c r="B197" s="657"/>
      <c r="C197" s="657"/>
      <c r="D197" s="657"/>
      <c r="E197" s="657"/>
      <c r="F197" s="657"/>
      <c r="G197" s="657"/>
      <c r="H197" s="657"/>
      <c r="I197" s="657"/>
      <c r="J197" s="657"/>
      <c r="K197" s="657"/>
      <c r="L197" s="657"/>
    </row>
    <row r="198" spans="1:12" ht="14.25">
      <c r="A198" s="657"/>
      <c r="B198" s="657"/>
      <c r="C198" s="657"/>
      <c r="D198" s="657"/>
      <c r="E198" s="657"/>
      <c r="F198" s="657"/>
      <c r="G198" s="657"/>
      <c r="H198" s="657"/>
      <c r="I198" s="657"/>
      <c r="J198" s="657"/>
      <c r="K198" s="657"/>
      <c r="L198" s="657"/>
    </row>
    <row r="199" spans="1:12" ht="14.25">
      <c r="A199" s="657"/>
      <c r="B199" s="657"/>
      <c r="C199" s="657"/>
      <c r="D199" s="657"/>
      <c r="E199" s="657"/>
      <c r="F199" s="657"/>
      <c r="G199" s="657"/>
      <c r="H199" s="657"/>
      <c r="I199" s="657"/>
      <c r="J199" s="657"/>
      <c r="K199" s="657"/>
      <c r="L199" s="657"/>
    </row>
    <row r="200" spans="1:12" ht="14.25">
      <c r="A200" s="657"/>
      <c r="B200" s="657"/>
      <c r="C200" s="657"/>
      <c r="D200" s="657"/>
      <c r="E200" s="657"/>
      <c r="F200" s="657"/>
      <c r="G200" s="657"/>
      <c r="H200" s="657"/>
      <c r="I200" s="657"/>
      <c r="J200" s="657"/>
      <c r="K200" s="657"/>
      <c r="L200" s="657"/>
    </row>
    <row r="201" spans="1:12" ht="14.25">
      <c r="A201" s="657"/>
      <c r="B201" s="657"/>
      <c r="C201" s="657"/>
      <c r="D201" s="657"/>
      <c r="E201" s="657"/>
      <c r="F201" s="657"/>
      <c r="G201" s="657"/>
      <c r="H201" s="657"/>
      <c r="I201" s="657"/>
      <c r="J201" s="657"/>
      <c r="K201" s="657"/>
      <c r="L201" s="657"/>
    </row>
    <row r="202" spans="1:12" ht="14.25">
      <c r="A202" s="657"/>
      <c r="B202" s="657"/>
      <c r="C202" s="657"/>
      <c r="D202" s="657"/>
      <c r="E202" s="657"/>
      <c r="F202" s="657"/>
      <c r="G202" s="657"/>
      <c r="H202" s="657"/>
      <c r="I202" s="657"/>
      <c r="J202" s="657"/>
      <c r="K202" s="657"/>
      <c r="L202" s="657"/>
    </row>
    <row r="203" spans="1:12" ht="14.25">
      <c r="A203" s="657"/>
      <c r="B203" s="657"/>
      <c r="C203" s="657"/>
      <c r="D203" s="657"/>
      <c r="E203" s="657"/>
      <c r="F203" s="657"/>
      <c r="G203" s="657"/>
      <c r="H203" s="657"/>
      <c r="I203" s="657"/>
      <c r="J203" s="657"/>
      <c r="K203" s="657"/>
      <c r="L203" s="657"/>
    </row>
    <row r="204" spans="1:12" ht="14.25">
      <c r="A204" s="657"/>
      <c r="B204" s="657"/>
      <c r="C204" s="657"/>
      <c r="D204" s="657"/>
      <c r="E204" s="657"/>
      <c r="F204" s="657"/>
      <c r="G204" s="657"/>
      <c r="H204" s="657"/>
      <c r="I204" s="657"/>
      <c r="J204" s="657"/>
      <c r="K204" s="657"/>
      <c r="L204" s="657"/>
    </row>
    <row r="205" spans="1:12" ht="14.25">
      <c r="A205" s="657"/>
      <c r="B205" s="657"/>
      <c r="C205" s="657"/>
      <c r="D205" s="657"/>
      <c r="E205" s="657"/>
      <c r="F205" s="657"/>
      <c r="G205" s="657"/>
      <c r="H205" s="657"/>
      <c r="I205" s="657"/>
      <c r="J205" s="657"/>
      <c r="K205" s="657"/>
      <c r="L205" s="657"/>
    </row>
    <row r="206" spans="1:12" ht="14.25">
      <c r="A206" s="657"/>
      <c r="B206" s="657"/>
      <c r="C206" s="657"/>
      <c r="D206" s="657"/>
      <c r="E206" s="657"/>
      <c r="F206" s="657"/>
      <c r="G206" s="657"/>
      <c r="H206" s="657"/>
      <c r="I206" s="657"/>
      <c r="J206" s="657"/>
      <c r="K206" s="657"/>
      <c r="L206" s="657"/>
    </row>
    <row r="207" spans="1:12" ht="14.25">
      <c r="A207" s="657"/>
      <c r="B207" s="657"/>
      <c r="C207" s="657"/>
      <c r="D207" s="657"/>
      <c r="E207" s="657"/>
      <c r="F207" s="657"/>
      <c r="G207" s="657"/>
      <c r="H207" s="657"/>
      <c r="I207" s="657"/>
      <c r="J207" s="657"/>
      <c r="K207" s="657"/>
      <c r="L207" s="657"/>
    </row>
    <row r="208" spans="1:12" ht="14.25">
      <c r="A208" s="657"/>
      <c r="B208" s="657"/>
      <c r="C208" s="657"/>
      <c r="D208" s="657"/>
      <c r="E208" s="657"/>
      <c r="F208" s="657"/>
      <c r="G208" s="657"/>
      <c r="H208" s="657"/>
      <c r="I208" s="657"/>
      <c r="J208" s="657"/>
      <c r="K208" s="657"/>
      <c r="L208" s="657"/>
    </row>
    <row r="209" spans="1:12" ht="14.25">
      <c r="A209" s="657"/>
      <c r="B209" s="657"/>
      <c r="C209" s="657"/>
      <c r="D209" s="657"/>
      <c r="E209" s="657"/>
      <c r="F209" s="657"/>
      <c r="G209" s="657"/>
      <c r="H209" s="657"/>
      <c r="I209" s="657"/>
      <c r="J209" s="657"/>
      <c r="K209" s="657"/>
      <c r="L209" s="657"/>
    </row>
    <row r="210" spans="1:12" ht="14.25">
      <c r="A210" s="657"/>
      <c r="B210" s="657"/>
      <c r="C210" s="657"/>
      <c r="D210" s="657"/>
      <c r="E210" s="657"/>
      <c r="F210" s="657"/>
      <c r="G210" s="657"/>
      <c r="H210" s="657"/>
      <c r="I210" s="657"/>
      <c r="J210" s="657"/>
      <c r="K210" s="657"/>
      <c r="L210" s="657"/>
    </row>
    <row r="211" spans="1:12" ht="14.25">
      <c r="A211" s="657"/>
      <c r="B211" s="657"/>
      <c r="C211" s="657"/>
      <c r="D211" s="657"/>
      <c r="E211" s="657"/>
      <c r="F211" s="657"/>
      <c r="G211" s="657"/>
      <c r="H211" s="657"/>
      <c r="I211" s="657"/>
      <c r="J211" s="657"/>
      <c r="K211" s="657"/>
      <c r="L211" s="657"/>
    </row>
    <row r="212" spans="1:12" ht="14.25">
      <c r="A212" s="657"/>
      <c r="B212" s="657"/>
      <c r="C212" s="657"/>
      <c r="D212" s="657"/>
      <c r="E212" s="657"/>
      <c r="F212" s="657"/>
      <c r="G212" s="657"/>
      <c r="H212" s="657"/>
      <c r="I212" s="657"/>
      <c r="J212" s="657"/>
      <c r="K212" s="657"/>
      <c r="L212" s="657"/>
    </row>
    <row r="213" spans="1:12" ht="14.25">
      <c r="A213" s="657"/>
      <c r="B213" s="657"/>
      <c r="C213" s="657"/>
      <c r="D213" s="657"/>
      <c r="E213" s="657"/>
      <c r="F213" s="657"/>
      <c r="G213" s="657"/>
      <c r="H213" s="657"/>
      <c r="I213" s="657"/>
      <c r="J213" s="657"/>
      <c r="K213" s="657"/>
      <c r="L213" s="657"/>
    </row>
    <row r="214" spans="1:12" ht="14.25">
      <c r="A214" s="657"/>
      <c r="B214" s="657"/>
      <c r="C214" s="657"/>
      <c r="D214" s="657"/>
      <c r="E214" s="657"/>
      <c r="F214" s="657"/>
      <c r="G214" s="657"/>
      <c r="H214" s="657"/>
      <c r="I214" s="657"/>
      <c r="J214" s="657"/>
      <c r="K214" s="657"/>
      <c r="L214" s="657"/>
    </row>
    <row r="215" spans="1:12" ht="14.25">
      <c r="A215" s="657"/>
      <c r="B215" s="657"/>
      <c r="C215" s="657"/>
      <c r="D215" s="657"/>
      <c r="E215" s="657"/>
      <c r="F215" s="657"/>
      <c r="G215" s="657"/>
      <c r="H215" s="657"/>
      <c r="I215" s="657"/>
      <c r="J215" s="657"/>
      <c r="K215" s="657"/>
      <c r="L215" s="657"/>
    </row>
    <row r="216" spans="1:12" ht="14.25">
      <c r="A216" s="657"/>
      <c r="B216" s="657"/>
      <c r="C216" s="657"/>
      <c r="D216" s="657"/>
      <c r="E216" s="657"/>
      <c r="F216" s="657"/>
      <c r="G216" s="657"/>
      <c r="H216" s="657"/>
      <c r="I216" s="657"/>
      <c r="J216" s="657"/>
      <c r="K216" s="657"/>
      <c r="L216" s="657"/>
    </row>
    <row r="217" spans="1:12" ht="14.25">
      <c r="A217" s="657"/>
      <c r="B217" s="657"/>
      <c r="C217" s="657"/>
      <c r="D217" s="657"/>
      <c r="E217" s="657"/>
      <c r="F217" s="657"/>
      <c r="G217" s="657"/>
      <c r="H217" s="657"/>
      <c r="I217" s="657"/>
      <c r="J217" s="657"/>
      <c r="K217" s="657"/>
      <c r="L217" s="657"/>
    </row>
    <row r="218" spans="1:12" ht="14.25">
      <c r="A218" s="657"/>
      <c r="B218" s="657"/>
      <c r="C218" s="657"/>
      <c r="D218" s="657"/>
      <c r="E218" s="657"/>
      <c r="F218" s="657"/>
      <c r="G218" s="657"/>
      <c r="H218" s="657"/>
      <c r="I218" s="657"/>
      <c r="J218" s="657"/>
      <c r="K218" s="657"/>
      <c r="L218" s="657"/>
    </row>
    <row r="219" spans="1:12" ht="14.25">
      <c r="A219" s="657"/>
      <c r="B219" s="657"/>
      <c r="C219" s="657"/>
      <c r="D219" s="657"/>
      <c r="E219" s="657"/>
      <c r="F219" s="657"/>
      <c r="G219" s="657"/>
      <c r="H219" s="657"/>
      <c r="I219" s="657"/>
      <c r="J219" s="657"/>
      <c r="K219" s="657"/>
      <c r="L219" s="657"/>
    </row>
    <row r="220" spans="1:12" ht="14.25">
      <c r="A220" s="657"/>
      <c r="B220" s="657"/>
      <c r="C220" s="657"/>
      <c r="D220" s="657"/>
      <c r="E220" s="657"/>
      <c r="F220" s="657"/>
      <c r="G220" s="657"/>
      <c r="H220" s="657"/>
      <c r="I220" s="657"/>
      <c r="J220" s="657"/>
      <c r="K220" s="657"/>
      <c r="L220" s="657"/>
    </row>
    <row r="221" spans="1:12" ht="14.25">
      <c r="A221" s="657"/>
      <c r="B221" s="657"/>
      <c r="C221" s="657"/>
      <c r="D221" s="657"/>
      <c r="E221" s="657"/>
      <c r="F221" s="657"/>
      <c r="G221" s="657"/>
      <c r="H221" s="657"/>
      <c r="I221" s="657"/>
      <c r="J221" s="657"/>
      <c r="K221" s="657"/>
      <c r="L221" s="657"/>
    </row>
    <row r="222" spans="1:12" ht="14.25">
      <c r="A222" s="657"/>
      <c r="B222" s="657"/>
      <c r="C222" s="657"/>
      <c r="D222" s="657"/>
      <c r="E222" s="657"/>
      <c r="F222" s="657"/>
      <c r="G222" s="657"/>
      <c r="H222" s="657"/>
      <c r="I222" s="657"/>
      <c r="J222" s="657"/>
      <c r="K222" s="657"/>
      <c r="L222" s="657"/>
    </row>
    <row r="223" spans="1:12" ht="14.25">
      <c r="A223" s="657"/>
      <c r="B223" s="657"/>
      <c r="C223" s="657"/>
      <c r="D223" s="657"/>
      <c r="E223" s="657"/>
      <c r="F223" s="657"/>
      <c r="G223" s="657"/>
      <c r="H223" s="657"/>
      <c r="I223" s="657"/>
      <c r="J223" s="657"/>
      <c r="K223" s="657"/>
      <c r="L223" s="657"/>
    </row>
    <row r="224" spans="1:12" ht="14.25">
      <c r="A224" s="657"/>
      <c r="B224" s="657"/>
      <c r="C224" s="657"/>
      <c r="D224" s="657"/>
      <c r="E224" s="657"/>
      <c r="F224" s="657"/>
      <c r="G224" s="657"/>
      <c r="H224" s="657"/>
      <c r="I224" s="657"/>
      <c r="J224" s="657"/>
      <c r="K224" s="657"/>
      <c r="L224" s="657"/>
    </row>
    <row r="225" spans="1:12" ht="14.25">
      <c r="A225" s="657"/>
      <c r="B225" s="657"/>
      <c r="C225" s="657"/>
      <c r="D225" s="657"/>
      <c r="E225" s="657"/>
      <c r="F225" s="657"/>
      <c r="G225" s="657"/>
      <c r="H225" s="657"/>
      <c r="I225" s="657"/>
      <c r="J225" s="657"/>
      <c r="K225" s="657"/>
      <c r="L225" s="657"/>
    </row>
    <row r="226" spans="1:12" ht="14.25">
      <c r="A226" s="657"/>
      <c r="B226" s="657"/>
      <c r="C226" s="657"/>
      <c r="D226" s="657"/>
      <c r="E226" s="657"/>
      <c r="F226" s="657"/>
      <c r="G226" s="657"/>
      <c r="H226" s="657"/>
      <c r="I226" s="657"/>
      <c r="J226" s="657"/>
      <c r="K226" s="657"/>
      <c r="L226" s="657"/>
    </row>
    <row r="227" spans="1:12" ht="14.25">
      <c r="A227" s="657"/>
      <c r="B227" s="657"/>
      <c r="C227" s="657"/>
      <c r="D227" s="657"/>
      <c r="E227" s="657"/>
      <c r="F227" s="657"/>
      <c r="G227" s="657"/>
      <c r="H227" s="657"/>
      <c r="I227" s="657"/>
      <c r="J227" s="657"/>
      <c r="K227" s="657"/>
      <c r="L227" s="657"/>
    </row>
    <row r="228" spans="1:12" ht="14.25">
      <c r="A228" s="657"/>
      <c r="B228" s="657"/>
      <c r="C228" s="657"/>
      <c r="D228" s="657"/>
      <c r="E228" s="657"/>
      <c r="F228" s="657"/>
      <c r="G228" s="657"/>
      <c r="H228" s="657"/>
      <c r="I228" s="657"/>
      <c r="J228" s="657"/>
      <c r="K228" s="657"/>
      <c r="L228" s="657"/>
    </row>
    <row r="229" spans="1:12" ht="14.25">
      <c r="A229" s="657"/>
      <c r="B229" s="657"/>
      <c r="C229" s="657"/>
      <c r="D229" s="657"/>
      <c r="E229" s="657"/>
      <c r="F229" s="657"/>
      <c r="G229" s="657"/>
      <c r="H229" s="657"/>
      <c r="I229" s="657"/>
      <c r="J229" s="657"/>
      <c r="K229" s="657"/>
      <c r="L229" s="657"/>
    </row>
    <row r="230" spans="1:12" ht="14.25">
      <c r="A230" s="657"/>
      <c r="B230" s="657"/>
      <c r="C230" s="657"/>
      <c r="D230" s="657"/>
      <c r="E230" s="657"/>
      <c r="F230" s="657"/>
      <c r="G230" s="657"/>
      <c r="H230" s="657"/>
      <c r="I230" s="657"/>
      <c r="J230" s="657"/>
      <c r="K230" s="657"/>
      <c r="L230" s="657"/>
    </row>
    <row r="231" spans="1:12" ht="14.25">
      <c r="A231" s="657"/>
      <c r="B231" s="657"/>
      <c r="C231" s="657"/>
      <c r="D231" s="657"/>
      <c r="E231" s="657"/>
      <c r="F231" s="657"/>
      <c r="G231" s="657"/>
      <c r="H231" s="657"/>
      <c r="I231" s="657"/>
      <c r="J231" s="657"/>
      <c r="K231" s="657"/>
      <c r="L231" s="657"/>
    </row>
    <row r="232" spans="1:12" ht="14.25">
      <c r="A232" s="657"/>
      <c r="B232" s="657"/>
      <c r="C232" s="657"/>
      <c r="D232" s="657"/>
      <c r="E232" s="657"/>
      <c r="F232" s="657"/>
      <c r="G232" s="657"/>
      <c r="H232" s="657"/>
      <c r="I232" s="657"/>
      <c r="J232" s="657"/>
      <c r="K232" s="657"/>
      <c r="L232" s="657"/>
    </row>
    <row r="233" spans="1:12" ht="14.25">
      <c r="A233" s="657"/>
      <c r="B233" s="657"/>
      <c r="C233" s="657"/>
      <c r="D233" s="657"/>
      <c r="E233" s="657"/>
      <c r="F233" s="657"/>
      <c r="G233" s="657"/>
      <c r="H233" s="657"/>
      <c r="I233" s="657"/>
      <c r="J233" s="657"/>
      <c r="K233" s="657"/>
      <c r="L233" s="657"/>
    </row>
    <row r="234" spans="1:12" ht="14.25">
      <c r="A234" s="657"/>
      <c r="B234" s="657"/>
      <c r="C234" s="657"/>
      <c r="D234" s="657"/>
      <c r="E234" s="657"/>
      <c r="F234" s="657"/>
      <c r="G234" s="657"/>
      <c r="H234" s="657"/>
      <c r="I234" s="657"/>
      <c r="J234" s="657"/>
      <c r="K234" s="657"/>
      <c r="L234" s="657"/>
    </row>
    <row r="235" spans="1:12" ht="14.25">
      <c r="A235" s="657"/>
      <c r="B235" s="657"/>
      <c r="C235" s="657"/>
      <c r="D235" s="657"/>
      <c r="E235" s="657"/>
      <c r="F235" s="657"/>
      <c r="G235" s="657"/>
      <c r="H235" s="657"/>
      <c r="I235" s="657"/>
      <c r="J235" s="657"/>
      <c r="K235" s="657"/>
      <c r="L235" s="657"/>
    </row>
    <row r="236" spans="1:12" ht="14.25">
      <c r="A236" s="657"/>
      <c r="B236" s="657"/>
      <c r="C236" s="657"/>
      <c r="D236" s="657"/>
      <c r="E236" s="657"/>
      <c r="F236" s="657"/>
      <c r="G236" s="657"/>
      <c r="H236" s="657"/>
      <c r="I236" s="657"/>
      <c r="J236" s="657"/>
      <c r="K236" s="657"/>
      <c r="L236" s="657"/>
    </row>
    <row r="237" spans="1:12" ht="14.25">
      <c r="A237" s="657"/>
      <c r="B237" s="657"/>
      <c r="C237" s="657"/>
      <c r="D237" s="657"/>
      <c r="E237" s="657"/>
      <c r="F237" s="657"/>
      <c r="G237" s="657"/>
      <c r="H237" s="657"/>
      <c r="I237" s="657"/>
      <c r="J237" s="657"/>
      <c r="K237" s="657"/>
      <c r="L237" s="657"/>
    </row>
    <row r="238" spans="1:12" ht="14.25">
      <c r="A238" s="657"/>
      <c r="B238" s="657"/>
      <c r="C238" s="657"/>
      <c r="D238" s="657"/>
      <c r="E238" s="657"/>
      <c r="F238" s="657"/>
      <c r="G238" s="657"/>
      <c r="H238" s="657"/>
      <c r="I238" s="657"/>
      <c r="J238" s="657"/>
      <c r="K238" s="657"/>
      <c r="L238" s="657"/>
    </row>
    <row r="239" spans="1:12" ht="14.25">
      <c r="A239" s="657"/>
      <c r="B239" s="657"/>
      <c r="C239" s="657"/>
      <c r="D239" s="657"/>
      <c r="E239" s="657"/>
      <c r="F239" s="657"/>
      <c r="G239" s="657"/>
      <c r="H239" s="657"/>
      <c r="I239" s="657"/>
      <c r="J239" s="657"/>
      <c r="K239" s="657"/>
      <c r="L239" s="657"/>
    </row>
    <row r="240" spans="1:12" ht="14.25">
      <c r="A240" s="657"/>
      <c r="B240" s="657"/>
      <c r="C240" s="657"/>
      <c r="D240" s="657"/>
      <c r="E240" s="657"/>
      <c r="F240" s="657"/>
      <c r="G240" s="657"/>
      <c r="H240" s="657"/>
      <c r="I240" s="657"/>
      <c r="J240" s="657"/>
      <c r="K240" s="657"/>
      <c r="L240" s="657"/>
    </row>
    <row r="241" spans="1:12" ht="14.25">
      <c r="A241" s="657"/>
      <c r="B241" s="657"/>
      <c r="C241" s="657"/>
      <c r="D241" s="657"/>
      <c r="E241" s="657"/>
      <c r="F241" s="657"/>
      <c r="G241" s="657"/>
      <c r="H241" s="657"/>
      <c r="I241" s="657"/>
      <c r="J241" s="657"/>
      <c r="K241" s="657"/>
      <c r="L241" s="657"/>
    </row>
    <row r="242" spans="1:12" ht="14.25">
      <c r="A242" s="657"/>
      <c r="B242" s="657"/>
      <c r="C242" s="657"/>
      <c r="D242" s="657"/>
      <c r="E242" s="657"/>
      <c r="F242" s="657"/>
      <c r="G242" s="657"/>
      <c r="H242" s="657"/>
      <c r="I242" s="657"/>
      <c r="J242" s="657"/>
      <c r="K242" s="657"/>
      <c r="L242" s="657"/>
    </row>
    <row r="243" spans="1:12" ht="14.25">
      <c r="A243" s="657"/>
      <c r="B243" s="657"/>
      <c r="C243" s="657"/>
      <c r="D243" s="657"/>
      <c r="E243" s="657"/>
      <c r="F243" s="657"/>
      <c r="G243" s="657"/>
      <c r="H243" s="657"/>
      <c r="I243" s="657"/>
      <c r="J243" s="657"/>
      <c r="K243" s="657"/>
      <c r="L243" s="657"/>
    </row>
    <row r="244" spans="1:12" ht="14.25">
      <c r="A244" s="657"/>
      <c r="B244" s="657"/>
      <c r="C244" s="657"/>
      <c r="D244" s="657"/>
      <c r="E244" s="657"/>
      <c r="F244" s="657"/>
      <c r="G244" s="657"/>
      <c r="H244" s="657"/>
      <c r="I244" s="657"/>
      <c r="J244" s="657"/>
      <c r="K244" s="657"/>
      <c r="L244" s="657"/>
    </row>
    <row r="245" spans="1:12" ht="14.25">
      <c r="A245" s="657"/>
      <c r="B245" s="657"/>
      <c r="C245" s="657"/>
      <c r="D245" s="657"/>
      <c r="E245" s="657"/>
      <c r="F245" s="657"/>
      <c r="G245" s="657"/>
      <c r="H245" s="657"/>
      <c r="I245" s="657"/>
      <c r="J245" s="657"/>
      <c r="K245" s="657"/>
      <c r="L245" s="657"/>
    </row>
    <row r="246" spans="1:12" ht="14.25">
      <c r="A246" s="657"/>
      <c r="B246" s="657"/>
      <c r="C246" s="657"/>
      <c r="D246" s="657"/>
      <c r="E246" s="657"/>
      <c r="F246" s="657"/>
      <c r="G246" s="657"/>
      <c r="H246" s="657"/>
      <c r="I246" s="657"/>
      <c r="J246" s="657"/>
      <c r="K246" s="657"/>
      <c r="L246" s="657"/>
    </row>
    <row r="247" spans="1:12" ht="14.25">
      <c r="A247" s="657"/>
      <c r="B247" s="657"/>
      <c r="C247" s="657"/>
      <c r="D247" s="657"/>
      <c r="E247" s="657"/>
      <c r="F247" s="657"/>
      <c r="G247" s="657"/>
      <c r="H247" s="657"/>
      <c r="I247" s="657"/>
      <c r="J247" s="657"/>
      <c r="K247" s="657"/>
      <c r="L247" s="657"/>
    </row>
    <row r="248" spans="1:12" ht="14.25">
      <c r="A248" s="657"/>
      <c r="B248" s="657"/>
      <c r="C248" s="657"/>
      <c r="D248" s="657"/>
      <c r="E248" s="657"/>
      <c r="F248" s="657"/>
      <c r="G248" s="657"/>
      <c r="H248" s="657"/>
      <c r="I248" s="657"/>
      <c r="J248" s="657"/>
      <c r="K248" s="657"/>
      <c r="L248" s="657"/>
    </row>
    <row r="249" spans="1:12" ht="14.25">
      <c r="A249" s="657"/>
      <c r="B249" s="657"/>
      <c r="C249" s="657"/>
      <c r="D249" s="657"/>
      <c r="E249" s="657"/>
      <c r="F249" s="657"/>
      <c r="G249" s="657"/>
      <c r="H249" s="657"/>
      <c r="I249" s="657"/>
      <c r="J249" s="657"/>
      <c r="K249" s="657"/>
      <c r="L249" s="657"/>
    </row>
    <row r="250" spans="1:12" ht="14.25">
      <c r="A250" s="657"/>
      <c r="B250" s="657"/>
      <c r="C250" s="657"/>
      <c r="D250" s="657"/>
      <c r="E250" s="657"/>
      <c r="F250" s="657"/>
      <c r="G250" s="657"/>
      <c r="H250" s="657"/>
      <c r="I250" s="657"/>
      <c r="J250" s="657"/>
      <c r="K250" s="657"/>
      <c r="L250" s="657"/>
    </row>
    <row r="251" spans="1:12" ht="14.25">
      <c r="A251" s="657"/>
      <c r="B251" s="657"/>
      <c r="C251" s="657"/>
      <c r="D251" s="657"/>
      <c r="E251" s="657"/>
      <c r="F251" s="657"/>
      <c r="G251" s="657"/>
      <c r="H251" s="657"/>
      <c r="I251" s="657"/>
      <c r="J251" s="657"/>
      <c r="K251" s="657"/>
      <c r="L251" s="657"/>
    </row>
    <row r="252" spans="1:12" ht="14.25">
      <c r="A252" s="657"/>
      <c r="B252" s="657"/>
      <c r="C252" s="657"/>
      <c r="D252" s="657"/>
      <c r="E252" s="657"/>
      <c r="F252" s="657"/>
      <c r="G252" s="657"/>
      <c r="H252" s="657"/>
      <c r="I252" s="657"/>
      <c r="J252" s="657"/>
      <c r="K252" s="657"/>
      <c r="L252" s="657"/>
    </row>
    <row r="253" spans="1:12" ht="14.25">
      <c r="A253" s="657"/>
      <c r="B253" s="657"/>
      <c r="C253" s="657"/>
      <c r="D253" s="657"/>
      <c r="E253" s="657"/>
      <c r="F253" s="657"/>
      <c r="G253" s="657"/>
      <c r="H253" s="657"/>
      <c r="I253" s="657"/>
      <c r="J253" s="657"/>
      <c r="K253" s="657"/>
      <c r="L253" s="657"/>
    </row>
    <row r="254" spans="1:12" ht="14.25">
      <c r="A254" s="657"/>
      <c r="B254" s="657"/>
      <c r="C254" s="657"/>
      <c r="D254" s="657"/>
      <c r="E254" s="657"/>
      <c r="F254" s="657"/>
      <c r="G254" s="657"/>
      <c r="H254" s="657"/>
      <c r="I254" s="657"/>
      <c r="J254" s="657"/>
      <c r="K254" s="657"/>
      <c r="L254" s="657"/>
    </row>
    <row r="255" spans="1:12" ht="14.25">
      <c r="A255" s="657"/>
      <c r="B255" s="657"/>
      <c r="C255" s="657"/>
      <c r="D255" s="657"/>
      <c r="E255" s="657"/>
      <c r="F255" s="657"/>
      <c r="G255" s="657"/>
      <c r="H255" s="657"/>
      <c r="I255" s="657"/>
      <c r="J255" s="657"/>
      <c r="K255" s="657"/>
      <c r="L255" s="657"/>
    </row>
    <row r="256" spans="1:12" ht="14.25">
      <c r="A256" s="657"/>
      <c r="B256" s="657"/>
      <c r="C256" s="657"/>
      <c r="D256" s="657"/>
      <c r="E256" s="657"/>
      <c r="F256" s="657"/>
      <c r="G256" s="657"/>
      <c r="H256" s="657"/>
      <c r="I256" s="657"/>
      <c r="J256" s="657"/>
      <c r="K256" s="657"/>
      <c r="L256" s="657"/>
    </row>
    <row r="257" spans="1:12" ht="14.25">
      <c r="A257" s="657"/>
      <c r="B257" s="657"/>
      <c r="C257" s="657"/>
      <c r="D257" s="657"/>
      <c r="E257" s="657"/>
      <c r="F257" s="657"/>
      <c r="G257" s="657"/>
      <c r="H257" s="657"/>
      <c r="I257" s="657"/>
      <c r="J257" s="657"/>
      <c r="K257" s="657"/>
      <c r="L257" s="657"/>
    </row>
    <row r="258" spans="1:12" ht="14.25">
      <c r="A258" s="657"/>
      <c r="B258" s="657"/>
      <c r="C258" s="657"/>
      <c r="D258" s="657"/>
      <c r="E258" s="657"/>
      <c r="F258" s="657"/>
      <c r="G258" s="657"/>
      <c r="H258" s="657"/>
      <c r="I258" s="657"/>
      <c r="J258" s="657"/>
      <c r="K258" s="657"/>
      <c r="L258" s="657"/>
    </row>
    <row r="259" spans="1:12" ht="14.25">
      <c r="A259" s="657"/>
      <c r="B259" s="657"/>
      <c r="C259" s="657"/>
      <c r="D259" s="657"/>
      <c r="E259" s="657"/>
      <c r="F259" s="657"/>
      <c r="G259" s="657"/>
      <c r="H259" s="657"/>
      <c r="I259" s="657"/>
      <c r="J259" s="657"/>
      <c r="K259" s="657"/>
      <c r="L259" s="657"/>
    </row>
    <row r="260" spans="1:12" ht="14.25">
      <c r="A260" s="657"/>
      <c r="B260" s="657"/>
      <c r="C260" s="657"/>
      <c r="D260" s="657"/>
      <c r="E260" s="657"/>
      <c r="F260" s="657"/>
      <c r="G260" s="657"/>
      <c r="H260" s="657"/>
      <c r="I260" s="657"/>
      <c r="J260" s="657"/>
      <c r="K260" s="657"/>
      <c r="L260" s="657"/>
    </row>
    <row r="261" spans="1:12" ht="14.25">
      <c r="A261" s="657"/>
      <c r="B261" s="657"/>
      <c r="C261" s="657"/>
      <c r="D261" s="657"/>
      <c r="E261" s="657"/>
      <c r="F261" s="657"/>
      <c r="G261" s="657"/>
      <c r="H261" s="657"/>
      <c r="I261" s="657"/>
      <c r="J261" s="657"/>
      <c r="K261" s="657"/>
      <c r="L261" s="657"/>
    </row>
    <row r="262" spans="1:12" ht="14.25">
      <c r="A262" s="657"/>
      <c r="B262" s="657"/>
      <c r="C262" s="657"/>
      <c r="D262" s="657"/>
      <c r="E262" s="657"/>
      <c r="F262" s="657"/>
      <c r="G262" s="657"/>
      <c r="H262" s="657"/>
      <c r="I262" s="657"/>
      <c r="J262" s="657"/>
      <c r="K262" s="657"/>
      <c r="L262" s="657"/>
    </row>
    <row r="263" spans="1:12" ht="14.25">
      <c r="A263" s="657"/>
      <c r="B263" s="657"/>
      <c r="C263" s="657"/>
      <c r="D263" s="657"/>
      <c r="E263" s="657"/>
      <c r="F263" s="657"/>
      <c r="G263" s="657"/>
      <c r="H263" s="657"/>
      <c r="I263" s="657"/>
      <c r="J263" s="657"/>
      <c r="K263" s="657"/>
      <c r="L263" s="657"/>
    </row>
    <row r="264" spans="1:12" ht="14.25">
      <c r="A264" s="657"/>
      <c r="B264" s="657"/>
      <c r="C264" s="657"/>
      <c r="D264" s="657"/>
      <c r="E264" s="657"/>
      <c r="F264" s="657"/>
      <c r="G264" s="657"/>
      <c r="H264" s="657"/>
      <c r="I264" s="657"/>
      <c r="J264" s="657"/>
      <c r="K264" s="657"/>
      <c r="L264" s="657"/>
    </row>
    <row r="265" spans="1:12" ht="14.25">
      <c r="A265" s="657"/>
      <c r="B265" s="657"/>
      <c r="C265" s="657"/>
      <c r="D265" s="657"/>
      <c r="E265" s="657"/>
      <c r="F265" s="657"/>
      <c r="G265" s="657"/>
      <c r="H265" s="657"/>
      <c r="I265" s="657"/>
      <c r="J265" s="657"/>
      <c r="K265" s="657"/>
      <c r="L265" s="657"/>
    </row>
    <row r="266" spans="1:12" ht="14.25">
      <c r="A266" s="657"/>
      <c r="B266" s="657"/>
      <c r="C266" s="657"/>
      <c r="D266" s="657"/>
      <c r="E266" s="657"/>
      <c r="F266" s="657"/>
      <c r="G266" s="657"/>
      <c r="H266" s="657"/>
      <c r="I266" s="657"/>
      <c r="J266" s="657"/>
      <c r="K266" s="657"/>
      <c r="L266" s="657"/>
    </row>
    <row r="267" spans="1:12" ht="14.25">
      <c r="A267" s="657"/>
      <c r="B267" s="657"/>
      <c r="C267" s="657"/>
      <c r="D267" s="657"/>
      <c r="E267" s="657"/>
      <c r="F267" s="657"/>
      <c r="G267" s="657"/>
      <c r="H267" s="657"/>
      <c r="I267" s="657"/>
      <c r="J267" s="657"/>
      <c r="K267" s="657"/>
      <c r="L267" s="657"/>
    </row>
    <row r="268" spans="1:12" ht="14.25">
      <c r="A268" s="657"/>
      <c r="B268" s="657"/>
      <c r="C268" s="657"/>
      <c r="D268" s="657"/>
      <c r="E268" s="657"/>
      <c r="F268" s="657"/>
      <c r="G268" s="657"/>
      <c r="H268" s="657"/>
      <c r="I268" s="657"/>
      <c r="J268" s="657"/>
      <c r="K268" s="657"/>
      <c r="L268" s="657"/>
    </row>
    <row r="269" spans="1:12" ht="14.25">
      <c r="A269" s="657"/>
      <c r="B269" s="657"/>
      <c r="C269" s="657"/>
      <c r="D269" s="657"/>
      <c r="E269" s="657"/>
      <c r="F269" s="657"/>
      <c r="G269" s="657"/>
      <c r="H269" s="657"/>
      <c r="I269" s="657"/>
      <c r="J269" s="657"/>
      <c r="K269" s="657"/>
      <c r="L269" s="657"/>
    </row>
    <row r="270" spans="1:12" ht="14.25">
      <c r="A270" s="657"/>
      <c r="B270" s="657"/>
      <c r="C270" s="657"/>
      <c r="D270" s="657"/>
      <c r="E270" s="657"/>
      <c r="F270" s="657"/>
      <c r="G270" s="657"/>
      <c r="H270" s="657"/>
      <c r="I270" s="657"/>
      <c r="J270" s="657"/>
      <c r="K270" s="657"/>
      <c r="L270" s="657"/>
    </row>
    <row r="271" spans="1:12" ht="14.25">
      <c r="A271" s="657"/>
      <c r="B271" s="657"/>
      <c r="C271" s="657"/>
      <c r="D271" s="657"/>
      <c r="E271" s="657"/>
      <c r="F271" s="657"/>
      <c r="G271" s="657"/>
      <c r="H271" s="657"/>
      <c r="I271" s="657"/>
      <c r="J271" s="657"/>
      <c r="K271" s="657"/>
      <c r="L271" s="657"/>
    </row>
    <row r="272" spans="1:12" ht="14.25">
      <c r="A272" s="657"/>
      <c r="B272" s="657"/>
      <c r="C272" s="657"/>
      <c r="D272" s="657"/>
      <c r="E272" s="657"/>
      <c r="F272" s="657"/>
      <c r="G272" s="657"/>
      <c r="H272" s="657"/>
      <c r="I272" s="657"/>
      <c r="J272" s="657"/>
      <c r="K272" s="657"/>
      <c r="L272" s="657"/>
    </row>
    <row r="273" spans="1:12" ht="14.25">
      <c r="A273" s="657"/>
      <c r="B273" s="657"/>
      <c r="C273" s="657"/>
      <c r="D273" s="657"/>
      <c r="E273" s="657"/>
      <c r="F273" s="657"/>
      <c r="G273" s="657"/>
      <c r="H273" s="657"/>
      <c r="I273" s="657"/>
      <c r="J273" s="657"/>
      <c r="K273" s="657"/>
      <c r="L273" s="657"/>
    </row>
    <row r="274" spans="1:12" ht="14.25">
      <c r="A274" s="657"/>
      <c r="B274" s="657"/>
      <c r="C274" s="657"/>
      <c r="D274" s="657"/>
      <c r="E274" s="657"/>
      <c r="F274" s="657"/>
      <c r="G274" s="657"/>
      <c r="H274" s="657"/>
      <c r="I274" s="657"/>
      <c r="J274" s="657"/>
      <c r="K274" s="657"/>
      <c r="L274" s="657"/>
    </row>
    <row r="275" spans="1:12" ht="14.25">
      <c r="A275" s="657"/>
      <c r="B275" s="657"/>
      <c r="C275" s="657"/>
      <c r="D275" s="657"/>
      <c r="E275" s="657"/>
      <c r="F275" s="657"/>
      <c r="G275" s="657"/>
      <c r="H275" s="657"/>
      <c r="I275" s="657"/>
      <c r="J275" s="657"/>
      <c r="K275" s="657"/>
      <c r="L275" s="657"/>
    </row>
    <row r="276" spans="1:12" ht="14.25">
      <c r="A276" s="657"/>
      <c r="B276" s="657"/>
      <c r="C276" s="657"/>
      <c r="D276" s="657"/>
      <c r="E276" s="657"/>
      <c r="F276" s="657"/>
      <c r="G276" s="657"/>
      <c r="H276" s="657"/>
      <c r="I276" s="657"/>
      <c r="J276" s="657"/>
      <c r="K276" s="657"/>
      <c r="L276" s="657"/>
    </row>
    <row r="277" spans="1:12" ht="14.25">
      <c r="A277" s="657"/>
      <c r="B277" s="657"/>
      <c r="C277" s="657"/>
      <c r="D277" s="657"/>
      <c r="E277" s="657"/>
      <c r="F277" s="657"/>
      <c r="G277" s="657"/>
      <c r="H277" s="657"/>
      <c r="I277" s="657"/>
      <c r="J277" s="657"/>
      <c r="K277" s="657"/>
      <c r="L277" s="657"/>
    </row>
    <row r="278" spans="1:12" ht="14.25">
      <c r="A278" s="657"/>
      <c r="B278" s="657"/>
      <c r="C278" s="657"/>
      <c r="D278" s="657"/>
      <c r="E278" s="657"/>
      <c r="F278" s="657"/>
      <c r="G278" s="657"/>
      <c r="H278" s="657"/>
      <c r="I278" s="657"/>
      <c r="J278" s="657"/>
      <c r="K278" s="657"/>
      <c r="L278" s="657"/>
    </row>
    <row r="279" spans="1:12" ht="14.25">
      <c r="A279" s="657"/>
      <c r="B279" s="657"/>
      <c r="C279" s="657"/>
      <c r="D279" s="657"/>
      <c r="E279" s="657"/>
      <c r="F279" s="657"/>
      <c r="G279" s="657"/>
      <c r="H279" s="657"/>
      <c r="I279" s="657"/>
      <c r="J279" s="657"/>
      <c r="K279" s="657"/>
      <c r="L279" s="657"/>
    </row>
    <row r="280" spans="1:12" ht="14.25">
      <c r="A280" s="657"/>
      <c r="B280" s="657"/>
      <c r="C280" s="657"/>
      <c r="D280" s="657"/>
      <c r="E280" s="657"/>
      <c r="F280" s="657"/>
      <c r="G280" s="657"/>
      <c r="H280" s="657"/>
      <c r="I280" s="657"/>
      <c r="J280" s="657"/>
      <c r="K280" s="657"/>
      <c r="L280" s="657"/>
    </row>
    <row r="281" spans="1:12" ht="14.25">
      <c r="A281" s="657"/>
      <c r="B281" s="657"/>
      <c r="C281" s="657"/>
      <c r="D281" s="657"/>
      <c r="E281" s="657"/>
      <c r="F281" s="657"/>
      <c r="G281" s="657"/>
      <c r="H281" s="657"/>
      <c r="I281" s="657"/>
      <c r="J281" s="657"/>
      <c r="K281" s="657"/>
      <c r="L281" s="657"/>
    </row>
    <row r="282" spans="1:12" ht="14.25">
      <c r="A282" s="657"/>
      <c r="B282" s="657"/>
      <c r="C282" s="657"/>
      <c r="D282" s="657"/>
      <c r="E282" s="657"/>
      <c r="F282" s="657"/>
      <c r="G282" s="657"/>
      <c r="H282" s="657"/>
      <c r="I282" s="657"/>
      <c r="J282" s="657"/>
      <c r="K282" s="657"/>
      <c r="L282" s="657"/>
    </row>
    <row r="283" spans="1:12" ht="14.25">
      <c r="A283" s="657"/>
      <c r="B283" s="657"/>
      <c r="C283" s="657"/>
      <c r="D283" s="657"/>
      <c r="E283" s="657"/>
      <c r="F283" s="657"/>
      <c r="G283" s="657"/>
      <c r="H283" s="657"/>
      <c r="I283" s="657"/>
      <c r="J283" s="657"/>
      <c r="K283" s="657"/>
      <c r="L283" s="657"/>
    </row>
    <row r="284" spans="1:12" ht="14.25">
      <c r="A284" s="657"/>
      <c r="B284" s="657"/>
      <c r="C284" s="657"/>
      <c r="D284" s="657"/>
      <c r="E284" s="657"/>
      <c r="F284" s="657"/>
      <c r="G284" s="657"/>
      <c r="H284" s="657"/>
      <c r="I284" s="657"/>
      <c r="J284" s="657"/>
      <c r="K284" s="657"/>
      <c r="L284" s="657"/>
    </row>
    <row r="285" spans="1:12" ht="14.25">
      <c r="A285" s="657"/>
      <c r="B285" s="657"/>
      <c r="C285" s="657"/>
      <c r="D285" s="657"/>
      <c r="E285" s="657"/>
      <c r="F285" s="657"/>
      <c r="G285" s="657"/>
      <c r="H285" s="657"/>
      <c r="I285" s="657"/>
      <c r="J285" s="657"/>
      <c r="K285" s="657"/>
      <c r="L285" s="657"/>
    </row>
    <row r="286" spans="1:12" ht="14.25">
      <c r="A286" s="657"/>
      <c r="B286" s="657"/>
      <c r="C286" s="657"/>
      <c r="D286" s="657"/>
      <c r="E286" s="657"/>
      <c r="F286" s="657"/>
      <c r="G286" s="657"/>
      <c r="H286" s="657"/>
      <c r="I286" s="657"/>
      <c r="J286" s="657"/>
      <c r="K286" s="657"/>
      <c r="L286" s="657"/>
    </row>
    <row r="287" spans="1:12" ht="14.25">
      <c r="A287" s="657"/>
      <c r="B287" s="657"/>
      <c r="C287" s="657"/>
      <c r="D287" s="657"/>
      <c r="E287" s="657"/>
      <c r="F287" s="657"/>
      <c r="G287" s="657"/>
      <c r="H287" s="657"/>
      <c r="I287" s="657"/>
      <c r="J287" s="657"/>
      <c r="K287" s="657"/>
      <c r="L287" s="657"/>
    </row>
    <row r="288" spans="1:12" ht="14.25">
      <c r="A288" s="657"/>
      <c r="B288" s="657"/>
      <c r="C288" s="657"/>
      <c r="D288" s="657"/>
      <c r="E288" s="657"/>
      <c r="F288" s="657"/>
      <c r="G288" s="657"/>
      <c r="H288" s="657"/>
      <c r="I288" s="657"/>
      <c r="J288" s="657"/>
      <c r="K288" s="657"/>
      <c r="L288" s="657"/>
    </row>
    <row r="289" spans="1:12" ht="14.25">
      <c r="A289" s="657"/>
      <c r="B289" s="657"/>
      <c r="C289" s="657"/>
      <c r="D289" s="657"/>
      <c r="E289" s="657"/>
      <c r="F289" s="657"/>
      <c r="G289" s="657"/>
      <c r="H289" s="657"/>
      <c r="I289" s="657"/>
      <c r="J289" s="657"/>
      <c r="K289" s="657"/>
      <c r="L289" s="657"/>
    </row>
    <row r="290" spans="1:12" ht="14.25">
      <c r="A290" s="657"/>
      <c r="B290" s="657"/>
      <c r="C290" s="657"/>
      <c r="D290" s="657"/>
      <c r="E290" s="657"/>
      <c r="F290" s="657"/>
      <c r="G290" s="657"/>
      <c r="H290" s="657"/>
      <c r="I290" s="657"/>
      <c r="J290" s="657"/>
      <c r="K290" s="657"/>
      <c r="L290" s="657"/>
    </row>
    <row r="291" spans="1:12" ht="14.25">
      <c r="A291" s="657"/>
      <c r="B291" s="657"/>
      <c r="C291" s="657"/>
      <c r="D291" s="657"/>
      <c r="E291" s="657"/>
      <c r="F291" s="657"/>
      <c r="G291" s="657"/>
      <c r="H291" s="657"/>
      <c r="I291" s="657"/>
      <c r="J291" s="657"/>
      <c r="K291" s="657"/>
      <c r="L291" s="657"/>
    </row>
    <row r="292" spans="1:12" ht="14.25">
      <c r="A292" s="657"/>
      <c r="B292" s="657"/>
      <c r="C292" s="657"/>
      <c r="D292" s="657"/>
      <c r="E292" s="657"/>
      <c r="F292" s="657"/>
      <c r="G292" s="657"/>
      <c r="H292" s="657"/>
      <c r="I292" s="657"/>
      <c r="J292" s="657"/>
      <c r="K292" s="657"/>
      <c r="L292" s="657"/>
    </row>
    <row r="293" spans="1:12" ht="14.25">
      <c r="A293" s="657"/>
      <c r="B293" s="657"/>
      <c r="C293" s="657"/>
      <c r="D293" s="657"/>
      <c r="E293" s="657"/>
      <c r="F293" s="657"/>
      <c r="G293" s="657"/>
      <c r="H293" s="657"/>
      <c r="I293" s="657"/>
      <c r="J293" s="657"/>
      <c r="K293" s="657"/>
      <c r="L293" s="657"/>
    </row>
    <row r="294" spans="1:12" ht="14.25">
      <c r="A294" s="657"/>
      <c r="B294" s="657"/>
      <c r="C294" s="657"/>
      <c r="D294" s="657"/>
      <c r="E294" s="657"/>
      <c r="F294" s="657"/>
      <c r="G294" s="657"/>
      <c r="H294" s="657"/>
      <c r="I294" s="657"/>
      <c r="J294" s="657"/>
      <c r="K294" s="657"/>
      <c r="L294" s="657"/>
    </row>
    <row r="295" spans="1:12" ht="14.25">
      <c r="A295" s="657"/>
      <c r="B295" s="657"/>
      <c r="C295" s="657"/>
      <c r="D295" s="657"/>
      <c r="E295" s="657"/>
      <c r="F295" s="657"/>
      <c r="G295" s="657"/>
      <c r="H295" s="657"/>
      <c r="I295" s="657"/>
      <c r="J295" s="657"/>
      <c r="K295" s="657"/>
      <c r="L295" s="657"/>
    </row>
    <row r="296" spans="1:12" ht="14.25">
      <c r="A296" s="657"/>
      <c r="B296" s="657"/>
      <c r="C296" s="657"/>
      <c r="D296" s="657"/>
      <c r="E296" s="657"/>
      <c r="F296" s="657"/>
      <c r="G296" s="657"/>
      <c r="H296" s="657"/>
      <c r="I296" s="657"/>
      <c r="J296" s="657"/>
      <c r="K296" s="657"/>
      <c r="L296" s="657"/>
    </row>
    <row r="297" spans="1:12" ht="14.25">
      <c r="A297" s="657"/>
      <c r="B297" s="657"/>
      <c r="C297" s="657"/>
      <c r="D297" s="657"/>
      <c r="E297" s="657"/>
      <c r="F297" s="657"/>
      <c r="G297" s="657"/>
      <c r="H297" s="657"/>
      <c r="I297" s="657"/>
      <c r="J297" s="657"/>
      <c r="K297" s="657"/>
      <c r="L297" s="657"/>
    </row>
    <row r="298" spans="1:12" ht="14.25">
      <c r="A298" s="657"/>
      <c r="B298" s="657"/>
      <c r="C298" s="657"/>
      <c r="D298" s="657"/>
      <c r="E298" s="657"/>
      <c r="F298" s="657"/>
      <c r="G298" s="657"/>
      <c r="H298" s="657"/>
      <c r="I298" s="657"/>
      <c r="J298" s="657"/>
      <c r="K298" s="657"/>
      <c r="L298" s="657"/>
    </row>
    <row r="299" spans="1:12" ht="14.25">
      <c r="A299" s="657"/>
      <c r="B299" s="657"/>
      <c r="C299" s="657"/>
      <c r="D299" s="657"/>
      <c r="E299" s="657"/>
      <c r="F299" s="657"/>
      <c r="G299" s="657"/>
      <c r="H299" s="657"/>
      <c r="I299" s="657"/>
      <c r="J299" s="657"/>
      <c r="K299" s="657"/>
      <c r="L299" s="657"/>
    </row>
    <row r="300" spans="1:12" ht="14.25">
      <c r="A300" s="657"/>
      <c r="B300" s="657"/>
      <c r="C300" s="657"/>
      <c r="D300" s="657"/>
      <c r="E300" s="657"/>
      <c r="F300" s="657"/>
      <c r="G300" s="657"/>
      <c r="H300" s="657"/>
      <c r="I300" s="657"/>
      <c r="J300" s="657"/>
      <c r="K300" s="657"/>
      <c r="L300" s="657"/>
    </row>
    <row r="301" spans="1:12" ht="14.25">
      <c r="A301" s="657"/>
      <c r="B301" s="657"/>
      <c r="C301" s="657"/>
      <c r="D301" s="657"/>
      <c r="E301" s="657"/>
      <c r="F301" s="657"/>
      <c r="G301" s="657"/>
      <c r="H301" s="657"/>
      <c r="I301" s="657"/>
      <c r="J301" s="657"/>
      <c r="K301" s="657"/>
      <c r="L301" s="657"/>
    </row>
    <row r="302" spans="1:12" ht="14.25">
      <c r="A302" s="657"/>
      <c r="B302" s="657"/>
      <c r="C302" s="657"/>
      <c r="D302" s="657"/>
      <c r="E302" s="657"/>
      <c r="F302" s="657"/>
      <c r="G302" s="657"/>
      <c r="H302" s="657"/>
      <c r="I302" s="657"/>
      <c r="J302" s="657"/>
      <c r="K302" s="657"/>
      <c r="L302" s="657"/>
    </row>
    <row r="303" spans="1:12" ht="14.25">
      <c r="A303" s="657"/>
      <c r="B303" s="657"/>
      <c r="C303" s="657"/>
      <c r="D303" s="657"/>
      <c r="E303" s="657"/>
      <c r="F303" s="657"/>
      <c r="G303" s="657"/>
      <c r="H303" s="657"/>
      <c r="I303" s="657"/>
      <c r="J303" s="657"/>
      <c r="K303" s="657"/>
      <c r="L303" s="657"/>
    </row>
    <row r="304" spans="1:12" ht="14.25">
      <c r="A304" s="657"/>
      <c r="B304" s="657"/>
      <c r="C304" s="657"/>
      <c r="D304" s="657"/>
      <c r="E304" s="657"/>
      <c r="F304" s="657"/>
      <c r="G304" s="657"/>
      <c r="H304" s="657"/>
      <c r="I304" s="657"/>
      <c r="J304" s="657"/>
      <c r="K304" s="657"/>
      <c r="L304" s="657"/>
    </row>
    <row r="305" spans="1:12" ht="14.25">
      <c r="A305" s="657"/>
      <c r="B305" s="657"/>
      <c r="C305" s="657"/>
      <c r="D305" s="657"/>
      <c r="E305" s="657"/>
      <c r="F305" s="657"/>
      <c r="G305" s="657"/>
      <c r="H305" s="657"/>
      <c r="I305" s="657"/>
      <c r="J305" s="657"/>
      <c r="K305" s="657"/>
      <c r="L305" s="657"/>
    </row>
    <row r="306" spans="1:12" ht="14.25">
      <c r="A306" s="657"/>
      <c r="B306" s="657"/>
      <c r="C306" s="657"/>
      <c r="D306" s="657"/>
      <c r="E306" s="657"/>
      <c r="F306" s="657"/>
      <c r="G306" s="657"/>
      <c r="H306" s="657"/>
      <c r="I306" s="657"/>
      <c r="J306" s="657"/>
      <c r="K306" s="657"/>
      <c r="L306" s="657"/>
    </row>
    <row r="307" spans="1:12" ht="14.25">
      <c r="A307" s="657"/>
      <c r="B307" s="657"/>
      <c r="C307" s="657"/>
      <c r="D307" s="657"/>
      <c r="E307" s="657"/>
      <c r="F307" s="657"/>
      <c r="G307" s="657"/>
      <c r="H307" s="657"/>
      <c r="I307" s="657"/>
      <c r="J307" s="657"/>
      <c r="K307" s="657"/>
      <c r="L307" s="657"/>
    </row>
    <row r="308" spans="1:12" ht="14.25">
      <c r="A308" s="657"/>
      <c r="B308" s="657"/>
      <c r="C308" s="657"/>
      <c r="D308" s="657"/>
      <c r="E308" s="657"/>
      <c r="F308" s="657"/>
      <c r="G308" s="657"/>
      <c r="H308" s="657"/>
      <c r="I308" s="657"/>
      <c r="J308" s="657"/>
      <c r="K308" s="657"/>
      <c r="L308" s="657"/>
    </row>
    <row r="309" spans="1:12" ht="14.25">
      <c r="A309" s="657"/>
      <c r="B309" s="657"/>
      <c r="C309" s="657"/>
      <c r="D309" s="657"/>
      <c r="E309" s="657"/>
      <c r="F309" s="657"/>
      <c r="G309" s="657"/>
      <c r="H309" s="657"/>
      <c r="I309" s="657"/>
      <c r="J309" s="657"/>
      <c r="K309" s="657"/>
      <c r="L309" s="657"/>
    </row>
    <row r="310" spans="1:12" ht="14.25">
      <c r="A310" s="657"/>
      <c r="B310" s="657"/>
      <c r="C310" s="657"/>
      <c r="D310" s="657"/>
      <c r="E310" s="657"/>
      <c r="F310" s="657"/>
      <c r="G310" s="657"/>
      <c r="H310" s="657"/>
      <c r="I310" s="657"/>
      <c r="J310" s="657"/>
      <c r="K310" s="657"/>
      <c r="L310" s="657"/>
    </row>
    <row r="311" spans="1:12" ht="14.25">
      <c r="A311" s="657"/>
      <c r="B311" s="657"/>
      <c r="C311" s="657"/>
      <c r="D311" s="657"/>
      <c r="E311" s="657"/>
      <c r="F311" s="657"/>
      <c r="G311" s="657"/>
      <c r="H311" s="657"/>
      <c r="I311" s="657"/>
      <c r="J311" s="657"/>
      <c r="K311" s="657"/>
      <c r="L311" s="657"/>
    </row>
    <row r="312" spans="1:12" ht="14.25">
      <c r="A312" s="657"/>
      <c r="B312" s="657"/>
      <c r="C312" s="657"/>
      <c r="D312" s="657"/>
      <c r="E312" s="657"/>
      <c r="F312" s="657"/>
      <c r="G312" s="657"/>
      <c r="H312" s="657"/>
      <c r="I312" s="657"/>
      <c r="J312" s="657"/>
      <c r="K312" s="657"/>
      <c r="L312" s="657"/>
    </row>
    <row r="313" spans="1:12" ht="14.25">
      <c r="A313" s="657"/>
      <c r="B313" s="657"/>
      <c r="C313" s="657"/>
      <c r="D313" s="657"/>
      <c r="E313" s="657"/>
      <c r="F313" s="657"/>
      <c r="G313" s="657"/>
      <c r="H313" s="657"/>
      <c r="I313" s="657"/>
      <c r="J313" s="657"/>
      <c r="K313" s="657"/>
      <c r="L313" s="657"/>
    </row>
    <row r="314" spans="1:12" ht="14.25">
      <c r="A314" s="657"/>
      <c r="B314" s="657"/>
      <c r="C314" s="657"/>
      <c r="D314" s="657"/>
      <c r="E314" s="657"/>
      <c r="F314" s="657"/>
      <c r="G314" s="657"/>
      <c r="H314" s="657"/>
      <c r="I314" s="657"/>
      <c r="J314" s="657"/>
      <c r="K314" s="657"/>
      <c r="L314" s="657"/>
    </row>
    <row r="315" spans="1:12" ht="14.25">
      <c r="A315" s="657"/>
      <c r="B315" s="657"/>
      <c r="C315" s="657"/>
      <c r="D315" s="657"/>
      <c r="E315" s="657"/>
      <c r="F315" s="657"/>
      <c r="G315" s="657"/>
      <c r="H315" s="657"/>
      <c r="I315" s="657"/>
      <c r="J315" s="657"/>
      <c r="K315" s="657"/>
      <c r="L315" s="657"/>
    </row>
    <row r="316" spans="1:12" ht="14.25">
      <c r="A316" s="657"/>
      <c r="B316" s="657"/>
      <c r="C316" s="657"/>
      <c r="D316" s="657"/>
      <c r="E316" s="657"/>
      <c r="F316" s="657"/>
      <c r="G316" s="657"/>
      <c r="H316" s="657"/>
      <c r="I316" s="657"/>
      <c r="J316" s="657"/>
      <c r="K316" s="657"/>
      <c r="L316" s="657"/>
    </row>
    <row r="317" spans="1:12" ht="14.25">
      <c r="A317" s="657"/>
      <c r="B317" s="657"/>
      <c r="C317" s="657"/>
      <c r="D317" s="657"/>
      <c r="E317" s="657"/>
      <c r="F317" s="657"/>
      <c r="G317" s="657"/>
      <c r="H317" s="657"/>
      <c r="I317" s="657"/>
      <c r="J317" s="657"/>
      <c r="K317" s="657"/>
      <c r="L317" s="657"/>
    </row>
    <row r="318" spans="1:12" ht="14.25">
      <c r="A318" s="657"/>
      <c r="B318" s="657"/>
      <c r="C318" s="657"/>
      <c r="D318" s="657"/>
      <c r="E318" s="657"/>
      <c r="F318" s="657"/>
      <c r="G318" s="657"/>
      <c r="H318" s="657"/>
      <c r="I318" s="657"/>
      <c r="J318" s="657"/>
      <c r="K318" s="657"/>
      <c r="L318" s="657"/>
    </row>
    <row r="319" spans="1:12" ht="14.25">
      <c r="A319" s="657"/>
      <c r="B319" s="657"/>
      <c r="C319" s="657"/>
      <c r="D319" s="657"/>
      <c r="E319" s="657"/>
      <c r="F319" s="657"/>
      <c r="G319" s="657"/>
      <c r="H319" s="657"/>
      <c r="I319" s="657"/>
      <c r="J319" s="657"/>
      <c r="K319" s="657"/>
      <c r="L319" s="657"/>
    </row>
    <row r="320" spans="1:12" ht="14.25">
      <c r="A320" s="657"/>
      <c r="B320" s="657"/>
      <c r="C320" s="657"/>
      <c r="D320" s="657"/>
      <c r="E320" s="657"/>
      <c r="F320" s="657"/>
      <c r="G320" s="657"/>
      <c r="H320" s="657"/>
      <c r="I320" s="657"/>
      <c r="J320" s="657"/>
      <c r="K320" s="657"/>
      <c r="L320" s="657"/>
    </row>
    <row r="321" spans="1:12" ht="14.25">
      <c r="A321" s="657"/>
      <c r="B321" s="657"/>
      <c r="C321" s="657"/>
      <c r="D321" s="657"/>
      <c r="E321" s="657"/>
      <c r="F321" s="657"/>
      <c r="G321" s="657"/>
      <c r="H321" s="657"/>
      <c r="I321" s="657"/>
      <c r="J321" s="657"/>
      <c r="K321" s="657"/>
      <c r="L321" s="657"/>
    </row>
    <row r="322" spans="1:12" ht="14.25">
      <c r="A322" s="657"/>
      <c r="B322" s="657"/>
      <c r="C322" s="657"/>
      <c r="D322" s="657"/>
      <c r="E322" s="657"/>
      <c r="F322" s="657"/>
      <c r="G322" s="657"/>
      <c r="H322" s="657"/>
      <c r="I322" s="657"/>
      <c r="J322" s="657"/>
      <c r="K322" s="657"/>
      <c r="L322" s="657"/>
    </row>
    <row r="323" spans="1:12" ht="14.25">
      <c r="A323" s="657"/>
      <c r="B323" s="657"/>
      <c r="C323" s="657"/>
      <c r="D323" s="657"/>
      <c r="E323" s="657"/>
      <c r="F323" s="657"/>
      <c r="G323" s="657"/>
      <c r="H323" s="657"/>
      <c r="I323" s="657"/>
      <c r="J323" s="657"/>
      <c r="K323" s="657"/>
      <c r="L323" s="657"/>
    </row>
    <row r="324" spans="1:12" ht="14.25">
      <c r="A324" s="657"/>
      <c r="B324" s="657"/>
      <c r="C324" s="657"/>
      <c r="D324" s="657"/>
      <c r="E324" s="657"/>
      <c r="F324" s="657"/>
      <c r="G324" s="657"/>
      <c r="H324" s="657"/>
      <c r="I324" s="657"/>
      <c r="J324" s="657"/>
      <c r="K324" s="657"/>
      <c r="L324" s="657"/>
    </row>
    <row r="325" spans="1:12" ht="14.25">
      <c r="A325" s="657"/>
      <c r="B325" s="657"/>
      <c r="C325" s="657"/>
      <c r="D325" s="657"/>
      <c r="E325" s="657"/>
      <c r="F325" s="657"/>
      <c r="G325" s="657"/>
      <c r="H325" s="657"/>
      <c r="I325" s="657"/>
      <c r="J325" s="657"/>
      <c r="K325" s="657"/>
      <c r="L325" s="657"/>
    </row>
    <row r="326" spans="1:12" ht="14.25">
      <c r="A326" s="657"/>
      <c r="B326" s="657"/>
      <c r="C326" s="657"/>
      <c r="D326" s="657"/>
      <c r="E326" s="657"/>
      <c r="F326" s="657"/>
      <c r="G326" s="657"/>
      <c r="H326" s="657"/>
      <c r="I326" s="657"/>
      <c r="J326" s="657"/>
      <c r="K326" s="657"/>
      <c r="L326" s="657"/>
    </row>
    <row r="327" spans="1:12" ht="14.25">
      <c r="A327" s="657"/>
      <c r="B327" s="657"/>
      <c r="C327" s="657"/>
      <c r="D327" s="657"/>
      <c r="E327" s="657"/>
      <c r="F327" s="657"/>
      <c r="G327" s="657"/>
      <c r="H327" s="657"/>
      <c r="I327" s="657"/>
      <c r="J327" s="657"/>
      <c r="K327" s="657"/>
      <c r="L327" s="657"/>
    </row>
    <row r="328" spans="1:12" ht="14.25">
      <c r="A328" s="657"/>
      <c r="B328" s="657"/>
      <c r="C328" s="657"/>
      <c r="D328" s="657"/>
      <c r="E328" s="657"/>
      <c r="F328" s="657"/>
      <c r="G328" s="657"/>
      <c r="H328" s="657"/>
      <c r="I328" s="657"/>
      <c r="J328" s="657"/>
      <c r="K328" s="657"/>
      <c r="L328" s="657"/>
    </row>
    <row r="329" spans="1:12" ht="14.25">
      <c r="A329" s="657"/>
      <c r="B329" s="657"/>
      <c r="C329" s="657"/>
      <c r="D329" s="657"/>
      <c r="E329" s="657"/>
      <c r="F329" s="657"/>
      <c r="G329" s="657"/>
      <c r="H329" s="657"/>
      <c r="I329" s="657"/>
      <c r="J329" s="657"/>
      <c r="K329" s="657"/>
      <c r="L329" s="657"/>
    </row>
    <row r="330" spans="1:12" ht="14.25">
      <c r="A330" s="657"/>
      <c r="B330" s="657"/>
      <c r="C330" s="657"/>
      <c r="D330" s="657"/>
      <c r="E330" s="657"/>
      <c r="F330" s="657"/>
      <c r="G330" s="657"/>
      <c r="H330" s="657"/>
      <c r="I330" s="657"/>
      <c r="J330" s="657"/>
      <c r="K330" s="657"/>
      <c r="L330" s="657"/>
    </row>
    <row r="331" spans="1:12" ht="14.25">
      <c r="A331" s="657"/>
      <c r="B331" s="657"/>
      <c r="C331" s="657"/>
      <c r="D331" s="657"/>
      <c r="E331" s="657"/>
      <c r="F331" s="657"/>
      <c r="G331" s="657"/>
      <c r="H331" s="657"/>
      <c r="I331" s="657"/>
      <c r="J331" s="657"/>
      <c r="K331" s="657"/>
      <c r="L331" s="657"/>
    </row>
    <row r="332" spans="1:12" ht="14.25">
      <c r="A332" s="657"/>
      <c r="B332" s="657"/>
      <c r="C332" s="657"/>
      <c r="D332" s="657"/>
      <c r="E332" s="657"/>
      <c r="F332" s="657"/>
      <c r="G332" s="657"/>
      <c r="H332" s="657"/>
      <c r="I332" s="657"/>
      <c r="J332" s="657"/>
      <c r="K332" s="657"/>
      <c r="L332" s="657"/>
    </row>
    <row r="333" spans="1:12" ht="14.25">
      <c r="A333" s="657"/>
      <c r="B333" s="657"/>
      <c r="C333" s="657"/>
      <c r="D333" s="657"/>
      <c r="E333" s="657"/>
      <c r="F333" s="657"/>
      <c r="G333" s="657"/>
      <c r="H333" s="657"/>
      <c r="I333" s="657"/>
      <c r="J333" s="657"/>
      <c r="K333" s="657"/>
      <c r="L333" s="657"/>
    </row>
    <row r="334" spans="1:12" ht="14.25">
      <c r="A334" s="657"/>
      <c r="B334" s="657"/>
      <c r="C334" s="657"/>
      <c r="D334" s="657"/>
      <c r="E334" s="657"/>
      <c r="F334" s="657"/>
      <c r="G334" s="657"/>
      <c r="H334" s="657"/>
      <c r="I334" s="657"/>
      <c r="J334" s="657"/>
      <c r="K334" s="657"/>
      <c r="L334" s="657"/>
    </row>
    <row r="335" spans="1:12" ht="14.25">
      <c r="A335" s="657"/>
      <c r="B335" s="657"/>
      <c r="C335" s="657"/>
      <c r="D335" s="657"/>
      <c r="E335" s="657"/>
      <c r="F335" s="657"/>
      <c r="G335" s="657"/>
      <c r="H335" s="657"/>
      <c r="I335" s="657"/>
      <c r="J335" s="657"/>
      <c r="K335" s="657"/>
      <c r="L335" s="657"/>
    </row>
    <row r="336" spans="1:12" ht="14.25">
      <c r="A336" s="657"/>
      <c r="B336" s="657"/>
      <c r="C336" s="657"/>
      <c r="D336" s="657"/>
      <c r="E336" s="657"/>
      <c r="F336" s="657"/>
      <c r="G336" s="657"/>
      <c r="H336" s="657"/>
      <c r="I336" s="657"/>
      <c r="J336" s="657"/>
      <c r="K336" s="657"/>
      <c r="L336" s="657"/>
    </row>
    <row r="337" spans="1:12" ht="14.25">
      <c r="A337" s="657"/>
      <c r="B337" s="657"/>
      <c r="C337" s="657"/>
      <c r="D337" s="657"/>
      <c r="E337" s="657"/>
      <c r="F337" s="657"/>
      <c r="G337" s="657"/>
      <c r="H337" s="657"/>
      <c r="I337" s="657"/>
      <c r="J337" s="657"/>
      <c r="K337" s="657"/>
      <c r="L337" s="657"/>
    </row>
    <row r="338" spans="1:12" ht="14.25">
      <c r="A338" s="657"/>
      <c r="B338" s="657"/>
      <c r="C338" s="657"/>
      <c r="D338" s="657"/>
      <c r="E338" s="657"/>
      <c r="F338" s="657"/>
      <c r="G338" s="657"/>
      <c r="H338" s="657"/>
      <c r="I338" s="657"/>
      <c r="J338" s="657"/>
      <c r="K338" s="657"/>
      <c r="L338" s="657"/>
    </row>
    <row r="339" spans="1:12" ht="14.25">
      <c r="A339" s="657"/>
      <c r="B339" s="657"/>
      <c r="C339" s="657"/>
      <c r="D339" s="657"/>
      <c r="E339" s="657"/>
      <c r="F339" s="657"/>
      <c r="G339" s="657"/>
      <c r="H339" s="657"/>
      <c r="I339" s="657"/>
      <c r="J339" s="657"/>
      <c r="K339" s="657"/>
      <c r="L339" s="657"/>
    </row>
    <row r="340" spans="1:12" ht="14.25">
      <c r="A340" s="657"/>
      <c r="B340" s="657"/>
      <c r="C340" s="657"/>
      <c r="D340" s="657"/>
      <c r="E340" s="657"/>
      <c r="F340" s="657"/>
      <c r="G340" s="657"/>
      <c r="H340" s="657"/>
      <c r="I340" s="657"/>
      <c r="J340" s="657"/>
      <c r="K340" s="657"/>
      <c r="L340" s="657"/>
    </row>
    <row r="341" spans="1:12" ht="14.25">
      <c r="A341" s="657"/>
      <c r="B341" s="657"/>
      <c r="C341" s="657"/>
      <c r="D341" s="657"/>
      <c r="E341" s="657"/>
      <c r="F341" s="657"/>
      <c r="G341" s="657"/>
      <c r="H341" s="657"/>
      <c r="I341" s="657"/>
      <c r="J341" s="657"/>
      <c r="K341" s="657"/>
      <c r="L341" s="657"/>
    </row>
    <row r="342" spans="1:12" ht="14.25">
      <c r="A342" s="657"/>
      <c r="B342" s="657"/>
      <c r="C342" s="657"/>
      <c r="D342" s="657"/>
      <c r="E342" s="657"/>
      <c r="F342" s="657"/>
      <c r="G342" s="657"/>
      <c r="H342" s="657"/>
      <c r="I342" s="657"/>
      <c r="J342" s="657"/>
      <c r="K342" s="657"/>
      <c r="L342" s="657"/>
    </row>
    <row r="343" spans="1:12" ht="14.25">
      <c r="A343" s="657"/>
      <c r="B343" s="657"/>
      <c r="C343" s="657"/>
      <c r="D343" s="657"/>
      <c r="E343" s="657"/>
      <c r="F343" s="657"/>
      <c r="G343" s="657"/>
      <c r="H343" s="657"/>
      <c r="I343" s="657"/>
      <c r="J343" s="657"/>
      <c r="K343" s="657"/>
      <c r="L343" s="657"/>
    </row>
    <row r="344" spans="1:12" ht="14.25">
      <c r="A344" s="657"/>
      <c r="B344" s="657"/>
      <c r="C344" s="657"/>
      <c r="D344" s="657"/>
      <c r="E344" s="657"/>
      <c r="F344" s="657"/>
      <c r="G344" s="657"/>
      <c r="H344" s="657"/>
      <c r="I344" s="657"/>
      <c r="J344" s="657"/>
      <c r="K344" s="657"/>
      <c r="L344" s="657"/>
    </row>
    <row r="345" spans="1:12" ht="14.25">
      <c r="A345" s="657"/>
      <c r="B345" s="657"/>
      <c r="C345" s="657"/>
      <c r="D345" s="657"/>
      <c r="E345" s="657"/>
      <c r="F345" s="657"/>
      <c r="G345" s="657"/>
      <c r="H345" s="657"/>
      <c r="I345" s="657"/>
      <c r="J345" s="657"/>
      <c r="K345" s="657"/>
      <c r="L345" s="657"/>
    </row>
    <row r="346" spans="1:12" ht="14.25">
      <c r="A346" s="657"/>
      <c r="B346" s="657"/>
      <c r="C346" s="657"/>
      <c r="D346" s="657"/>
      <c r="E346" s="657"/>
      <c r="F346" s="657"/>
      <c r="G346" s="657"/>
      <c r="H346" s="657"/>
      <c r="I346" s="657"/>
      <c r="J346" s="657"/>
      <c r="K346" s="657"/>
      <c r="L346" s="657"/>
    </row>
    <row r="347" spans="1:12" ht="14.25">
      <c r="A347" s="657"/>
      <c r="B347" s="657"/>
      <c r="C347" s="657"/>
      <c r="D347" s="657"/>
      <c r="E347" s="657"/>
      <c r="F347" s="657"/>
      <c r="G347" s="657"/>
      <c r="H347" s="657"/>
      <c r="I347" s="657"/>
      <c r="J347" s="657"/>
      <c r="K347" s="657"/>
      <c r="L347" s="657"/>
    </row>
    <row r="348" spans="1:12" ht="14.25">
      <c r="A348" s="657"/>
      <c r="B348" s="657"/>
      <c r="C348" s="657"/>
      <c r="D348" s="657"/>
      <c r="E348" s="657"/>
      <c r="F348" s="657"/>
      <c r="G348" s="657"/>
      <c r="H348" s="657"/>
      <c r="I348" s="657"/>
      <c r="J348" s="657"/>
      <c r="K348" s="657"/>
      <c r="L348" s="657"/>
    </row>
    <row r="349" spans="1:12" ht="14.25">
      <c r="A349" s="657"/>
      <c r="B349" s="657"/>
      <c r="C349" s="657"/>
      <c r="D349" s="657"/>
      <c r="E349" s="657"/>
      <c r="F349" s="657"/>
      <c r="G349" s="657"/>
      <c r="H349" s="657"/>
      <c r="I349" s="657"/>
      <c r="J349" s="657"/>
      <c r="K349" s="657"/>
      <c r="L349" s="657"/>
    </row>
    <row r="350" spans="1:12" ht="14.25">
      <c r="A350" s="657"/>
      <c r="B350" s="657"/>
      <c r="C350" s="657"/>
      <c r="D350" s="657"/>
      <c r="E350" s="657"/>
      <c r="F350" s="657"/>
      <c r="G350" s="657"/>
      <c r="H350" s="657"/>
      <c r="I350" s="657"/>
      <c r="J350" s="657"/>
      <c r="K350" s="657"/>
      <c r="L350" s="657"/>
    </row>
    <row r="351" spans="1:12" ht="14.25">
      <c r="A351" s="657"/>
      <c r="B351" s="657"/>
      <c r="C351" s="657"/>
      <c r="D351" s="657"/>
      <c r="E351" s="657"/>
      <c r="F351" s="657"/>
      <c r="G351" s="657"/>
      <c r="H351" s="657"/>
      <c r="I351" s="657"/>
      <c r="J351" s="657"/>
      <c r="K351" s="657"/>
      <c r="L351" s="657"/>
    </row>
    <row r="352" spans="1:12" ht="14.25">
      <c r="A352" s="657"/>
      <c r="B352" s="657"/>
      <c r="C352" s="657"/>
      <c r="D352" s="657"/>
      <c r="E352" s="657"/>
      <c r="F352" s="657"/>
      <c r="G352" s="657"/>
      <c r="H352" s="657"/>
      <c r="I352" s="657"/>
      <c r="J352" s="657"/>
      <c r="K352" s="657"/>
      <c r="L352" s="657"/>
    </row>
    <row r="353" spans="1:12" ht="14.25">
      <c r="A353" s="657"/>
      <c r="B353" s="657"/>
      <c r="C353" s="657"/>
      <c r="D353" s="657"/>
      <c r="E353" s="657"/>
      <c r="F353" s="657"/>
      <c r="G353" s="657"/>
      <c r="H353" s="657"/>
      <c r="I353" s="657"/>
      <c r="J353" s="657"/>
      <c r="K353" s="657"/>
      <c r="L353" s="657"/>
    </row>
    <row r="354" spans="1:12" ht="14.25">
      <c r="A354" s="657"/>
      <c r="B354" s="657"/>
      <c r="C354" s="657"/>
      <c r="D354" s="657"/>
      <c r="E354" s="657"/>
      <c r="F354" s="657"/>
      <c r="G354" s="657"/>
      <c r="H354" s="657"/>
      <c r="I354" s="657"/>
      <c r="J354" s="657"/>
      <c r="K354" s="657"/>
      <c r="L354" s="657"/>
    </row>
  </sheetData>
  <sheetProtection sheet="1" objects="1" scenarios="1"/>
  <mergeCells count="55">
    <mergeCell ref="C134:D134"/>
    <mergeCell ref="B110:K110"/>
    <mergeCell ref="C120:D120"/>
    <mergeCell ref="C123:D123"/>
    <mergeCell ref="B130:K130"/>
    <mergeCell ref="C133:D133"/>
    <mergeCell ref="H133:I133"/>
    <mergeCell ref="C114:D114"/>
    <mergeCell ref="B6:K6"/>
    <mergeCell ref="B7:K7"/>
    <mergeCell ref="B8:K8"/>
    <mergeCell ref="B10:K10"/>
    <mergeCell ref="C83:D83"/>
    <mergeCell ref="B52:K52"/>
    <mergeCell ref="B12:K12"/>
    <mergeCell ref="C25:D25"/>
    <mergeCell ref="F23:G23"/>
    <mergeCell ref="B53:K53"/>
    <mergeCell ref="C77:D77"/>
    <mergeCell ref="C80:D80"/>
    <mergeCell ref="C117:D117"/>
    <mergeCell ref="B88:K88"/>
    <mergeCell ref="B105:K105"/>
    <mergeCell ref="B106:K106"/>
    <mergeCell ref="B85:K85"/>
    <mergeCell ref="B86:K86"/>
    <mergeCell ref="B55:K55"/>
    <mergeCell ref="B30:K30"/>
    <mergeCell ref="B31:K31"/>
    <mergeCell ref="B33:K33"/>
    <mergeCell ref="B35:K35"/>
    <mergeCell ref="C41:D41"/>
    <mergeCell ref="B48:C48"/>
    <mergeCell ref="G50:H50"/>
    <mergeCell ref="I51:K51"/>
    <mergeCell ref="B125:K125"/>
    <mergeCell ref="B57:K57"/>
    <mergeCell ref="B126:K126"/>
    <mergeCell ref="B128:K128"/>
    <mergeCell ref="B90:K90"/>
    <mergeCell ref="C94:D94"/>
    <mergeCell ref="C97:D97"/>
    <mergeCell ref="C100:D100"/>
    <mergeCell ref="B58:K58"/>
    <mergeCell ref="C74:D74"/>
    <mergeCell ref="C148:D148"/>
    <mergeCell ref="J148:K148"/>
    <mergeCell ref="B144:K144"/>
    <mergeCell ref="C147:D147"/>
    <mergeCell ref="J147:K147"/>
    <mergeCell ref="C103:D103"/>
    <mergeCell ref="H134:I134"/>
    <mergeCell ref="C136:D136"/>
    <mergeCell ref="C137:D137"/>
    <mergeCell ref="B108:K108"/>
  </mergeCells>
  <printOptions/>
  <pageMargins left="0.7" right="0.7" top="0.75" bottom="0.75" header="0.3" footer="0.3"/>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A40"/>
  <sheetViews>
    <sheetView tabSelected="1" zoomScalePageLayoutView="0" workbookViewId="0" topLeftCell="A1">
      <selection activeCell="F49" sqref="F49"/>
    </sheetView>
  </sheetViews>
  <sheetFormatPr defaultColWidth="8.796875" defaultRowHeight="15"/>
  <cols>
    <col min="1" max="1" width="71.19921875" style="0" customWidth="1"/>
  </cols>
  <sheetData>
    <row r="1" ht="16.5">
      <c r="A1" s="573" t="s">
        <v>755</v>
      </c>
    </row>
    <row r="3" ht="31.5">
      <c r="A3" s="574" t="s">
        <v>756</v>
      </c>
    </row>
    <row r="4" ht="15.75">
      <c r="A4" s="575" t="s">
        <v>757</v>
      </c>
    </row>
    <row r="7" ht="31.5">
      <c r="A7" s="574" t="s">
        <v>758</v>
      </c>
    </row>
    <row r="8" ht="15.75">
      <c r="A8" s="575" t="s">
        <v>759</v>
      </c>
    </row>
    <row r="11" ht="15.75">
      <c r="A11" s="572" t="s">
        <v>760</v>
      </c>
    </row>
    <row r="12" ht="15.75">
      <c r="A12" s="575" t="s">
        <v>761</v>
      </c>
    </row>
    <row r="15" ht="15.75">
      <c r="A15" s="572" t="s">
        <v>762</v>
      </c>
    </row>
    <row r="16" ht="15.75">
      <c r="A16" s="575" t="s">
        <v>763</v>
      </c>
    </row>
    <row r="19" ht="15.75">
      <c r="A19" s="572" t="s">
        <v>764</v>
      </c>
    </row>
    <row r="20" ht="15.75">
      <c r="A20" s="575" t="s">
        <v>765</v>
      </c>
    </row>
    <row r="23" ht="15.75">
      <c r="A23" s="572" t="s">
        <v>766</v>
      </c>
    </row>
    <row r="24" ht="15.75">
      <c r="A24" s="575" t="s">
        <v>767</v>
      </c>
    </row>
    <row r="27" ht="15.75">
      <c r="A27" s="572" t="s">
        <v>768</v>
      </c>
    </row>
    <row r="28" ht="15.75">
      <c r="A28" s="575" t="s">
        <v>769</v>
      </c>
    </row>
    <row r="31" ht="15.75">
      <c r="A31" s="572" t="s">
        <v>770</v>
      </c>
    </row>
    <row r="32" ht="15.75">
      <c r="A32" s="575" t="s">
        <v>771</v>
      </c>
    </row>
    <row r="35" ht="15.75">
      <c r="A35" s="572" t="s">
        <v>772</v>
      </c>
    </row>
    <row r="36" ht="15.75">
      <c r="A36" s="575" t="s">
        <v>773</v>
      </c>
    </row>
    <row r="39" ht="15.75">
      <c r="A39" s="572" t="s">
        <v>774</v>
      </c>
    </row>
    <row r="40" ht="15.75">
      <c r="A40" s="575" t="s">
        <v>775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F49" sqref="F49"/>
    </sheetView>
  </sheetViews>
  <sheetFormatPr defaultColWidth="8.796875" defaultRowHeight="15"/>
  <cols>
    <col min="1" max="1" width="13.796875" style="0" customWidth="1"/>
    <col min="2" max="2" width="16.09765625" style="0" customWidth="1"/>
  </cols>
  <sheetData>
    <row r="2" spans="1:6" ht="54" customHeight="1">
      <c r="A2" s="692" t="s">
        <v>938</v>
      </c>
      <c r="B2" s="693"/>
      <c r="C2" s="693"/>
      <c r="D2" s="693"/>
      <c r="E2" s="693"/>
      <c r="F2" s="693"/>
    </row>
    <row r="4" spans="1:6" ht="15.75">
      <c r="A4" s="428"/>
      <c r="B4" s="428"/>
      <c r="C4" s="428"/>
      <c r="D4" s="429"/>
      <c r="E4" s="428"/>
      <c r="F4" s="428"/>
    </row>
    <row r="5" spans="1:6" ht="15.75">
      <c r="A5" s="430" t="s">
        <v>939</v>
      </c>
      <c r="B5" s="431" t="s">
        <v>93</v>
      </c>
      <c r="C5" s="432"/>
      <c r="D5" s="430" t="s">
        <v>375</v>
      </c>
      <c r="E5" s="428"/>
      <c r="F5" s="428"/>
    </row>
    <row r="6" spans="1:6" ht="15.75">
      <c r="A6" s="430"/>
      <c r="B6" s="433"/>
      <c r="C6" s="434"/>
      <c r="D6" s="430" t="s">
        <v>374</v>
      </c>
      <c r="E6" s="428"/>
      <c r="F6" s="428"/>
    </row>
    <row r="7" spans="1:6" ht="15.75">
      <c r="A7" s="430" t="s">
        <v>940</v>
      </c>
      <c r="B7" s="431" t="s">
        <v>94</v>
      </c>
      <c r="C7" s="435"/>
      <c r="D7" s="430"/>
      <c r="E7" s="428"/>
      <c r="F7" s="428"/>
    </row>
    <row r="8" spans="1:6" ht="15.75">
      <c r="A8" s="430"/>
      <c r="B8" s="430"/>
      <c r="C8" s="430"/>
      <c r="D8" s="430"/>
      <c r="E8" s="428"/>
      <c r="F8" s="428"/>
    </row>
    <row r="9" spans="1:6" ht="15.75">
      <c r="A9" s="430" t="s">
        <v>941</v>
      </c>
      <c r="B9" s="436" t="s">
        <v>95</v>
      </c>
      <c r="C9" s="436"/>
      <c r="D9" s="436"/>
      <c r="E9" s="437"/>
      <c r="F9" s="428"/>
    </row>
    <row r="10" spans="1:6" ht="15.75">
      <c r="A10" s="430"/>
      <c r="B10" s="430"/>
      <c r="C10" s="430"/>
      <c r="D10" s="430"/>
      <c r="E10" s="428"/>
      <c r="F10" s="428"/>
    </row>
    <row r="11" spans="1:6" ht="15.75">
      <c r="A11" s="430"/>
      <c r="B11" s="430"/>
      <c r="C11" s="430"/>
      <c r="D11" s="430"/>
      <c r="E11" s="428"/>
      <c r="F11" s="428"/>
    </row>
    <row r="12" spans="1:6" ht="15.75">
      <c r="A12" s="430" t="s">
        <v>943</v>
      </c>
      <c r="B12" s="436" t="s">
        <v>96</v>
      </c>
      <c r="C12" s="436"/>
      <c r="D12" s="436"/>
      <c r="E12" s="437"/>
      <c r="F12" s="428"/>
    </row>
    <row r="15" spans="1:6" ht="15.75">
      <c r="A15" s="694" t="s">
        <v>944</v>
      </c>
      <c r="B15" s="694"/>
      <c r="C15" s="430"/>
      <c r="D15" s="430"/>
      <c r="E15" s="430"/>
      <c r="F15" s="428"/>
    </row>
    <row r="16" spans="1:6" ht="15.75">
      <c r="A16" s="430"/>
      <c r="B16" s="430"/>
      <c r="C16" s="430"/>
      <c r="D16" s="430"/>
      <c r="E16" s="430"/>
      <c r="F16" s="428"/>
    </row>
    <row r="17" spans="1:5" ht="15.75">
      <c r="A17" s="430" t="s">
        <v>939</v>
      </c>
      <c r="B17" s="433" t="s">
        <v>945</v>
      </c>
      <c r="C17" s="430"/>
      <c r="D17" s="430"/>
      <c r="E17" s="430"/>
    </row>
    <row r="18" spans="1:5" ht="15.75">
      <c r="A18" s="430"/>
      <c r="B18" s="430"/>
      <c r="C18" s="430"/>
      <c r="D18" s="430"/>
      <c r="E18" s="430"/>
    </row>
    <row r="19" spans="1:5" ht="15.75">
      <c r="A19" s="430" t="s">
        <v>940</v>
      </c>
      <c r="B19" s="430" t="s">
        <v>946</v>
      </c>
      <c r="C19" s="430"/>
      <c r="D19" s="430"/>
      <c r="E19" s="430"/>
    </row>
    <row r="20" spans="1:5" ht="15.75">
      <c r="A20" s="430"/>
      <c r="B20" s="430"/>
      <c r="C20" s="430"/>
      <c r="D20" s="430"/>
      <c r="E20" s="430"/>
    </row>
    <row r="21" spans="1:5" ht="15.75">
      <c r="A21" s="430" t="s">
        <v>941</v>
      </c>
      <c r="B21" s="430" t="s">
        <v>942</v>
      </c>
      <c r="C21" s="430"/>
      <c r="D21" s="430"/>
      <c r="E21" s="430"/>
    </row>
    <row r="22" spans="1:5" ht="15.75">
      <c r="A22" s="430"/>
      <c r="B22" s="430"/>
      <c r="C22" s="430"/>
      <c r="D22" s="430"/>
      <c r="E22" s="430"/>
    </row>
    <row r="23" spans="1:5" ht="15.75">
      <c r="A23" s="430" t="s">
        <v>943</v>
      </c>
      <c r="B23" s="430" t="s">
        <v>942</v>
      </c>
      <c r="C23" s="430"/>
      <c r="D23" s="430"/>
      <c r="E23" s="43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dimension ref="A1:A134"/>
  <sheetViews>
    <sheetView tabSelected="1" zoomScalePageLayoutView="0" workbookViewId="0" topLeftCell="A1">
      <selection activeCell="F49" sqref="F49"/>
    </sheetView>
  </sheetViews>
  <sheetFormatPr defaultColWidth="8.796875" defaultRowHeight="15"/>
  <cols>
    <col min="1" max="1" width="80.09765625" style="77" customWidth="1"/>
    <col min="2" max="16384" width="8.8984375" style="77" customWidth="1"/>
  </cols>
  <sheetData>
    <row r="1" ht="15.75">
      <c r="A1" s="438" t="s">
        <v>376</v>
      </c>
    </row>
    <row r="2" ht="15.75">
      <c r="A2" s="571" t="s">
        <v>377</v>
      </c>
    </row>
    <row r="4" ht="15.75">
      <c r="A4" s="438" t="s">
        <v>732</v>
      </c>
    </row>
    <row r="5" ht="15.75">
      <c r="A5" s="571" t="s">
        <v>733</v>
      </c>
    </row>
    <row r="6" ht="15.75">
      <c r="A6" s="571" t="s">
        <v>734</v>
      </c>
    </row>
    <row r="7" ht="15.75">
      <c r="A7" s="570" t="s">
        <v>735</v>
      </c>
    </row>
    <row r="8" ht="15.75">
      <c r="A8" s="571" t="s">
        <v>736</v>
      </c>
    </row>
    <row r="9" ht="15.75">
      <c r="A9" s="571" t="s">
        <v>737</v>
      </c>
    </row>
    <row r="10" ht="15.75">
      <c r="A10" s="571" t="s">
        <v>738</v>
      </c>
    </row>
    <row r="11" ht="15.75">
      <c r="A11" s="571" t="s">
        <v>739</v>
      </c>
    </row>
    <row r="12" ht="15.75">
      <c r="A12" s="571" t="s">
        <v>740</v>
      </c>
    </row>
    <row r="13" ht="15.75">
      <c r="A13" s="571" t="s">
        <v>741</v>
      </c>
    </row>
    <row r="14" ht="15.75">
      <c r="A14" s="571" t="s">
        <v>742</v>
      </c>
    </row>
    <row r="15" ht="15.75">
      <c r="A15" s="571" t="s">
        <v>743</v>
      </c>
    </row>
    <row r="16" ht="15.75">
      <c r="A16" s="571" t="s">
        <v>744</v>
      </c>
    </row>
    <row r="17" ht="15.75">
      <c r="A17" s="571" t="s">
        <v>745</v>
      </c>
    </row>
    <row r="18" ht="15.75">
      <c r="A18" s="571" t="s">
        <v>746</v>
      </c>
    </row>
    <row r="19" ht="15.75">
      <c r="A19" s="571" t="s">
        <v>747</v>
      </c>
    </row>
    <row r="20" ht="15.75">
      <c r="A20" s="571" t="s">
        <v>748</v>
      </c>
    </row>
    <row r="21" ht="15.75">
      <c r="A21" s="571" t="s">
        <v>749</v>
      </c>
    </row>
    <row r="22" ht="15.75">
      <c r="A22" s="571" t="s">
        <v>750</v>
      </c>
    </row>
    <row r="23" ht="15.75">
      <c r="A23" s="571" t="s">
        <v>751</v>
      </c>
    </row>
    <row r="24" ht="15.75">
      <c r="A24" s="571" t="s">
        <v>752</v>
      </c>
    </row>
    <row r="25" ht="15.75">
      <c r="A25" s="570" t="s">
        <v>753</v>
      </c>
    </row>
    <row r="26" ht="15.75">
      <c r="A26" s="77" t="s">
        <v>754</v>
      </c>
    </row>
    <row r="32" ht="15.75">
      <c r="A32" s="438" t="s">
        <v>665</v>
      </c>
    </row>
    <row r="33" ht="15.75">
      <c r="A33" s="77" t="s">
        <v>666</v>
      </c>
    </row>
    <row r="35" ht="15.75">
      <c r="A35" s="438" t="s">
        <v>659</v>
      </c>
    </row>
    <row r="36" ht="15.75">
      <c r="A36" s="77" t="s">
        <v>660</v>
      </c>
    </row>
    <row r="37" ht="15.75">
      <c r="A37" s="77" t="s">
        <v>661</v>
      </c>
    </row>
    <row r="38" ht="15.75">
      <c r="A38" s="77" t="s">
        <v>662</v>
      </c>
    </row>
    <row r="40" ht="15.75">
      <c r="A40" s="451" t="s">
        <v>40</v>
      </c>
    </row>
    <row r="41" ht="15.75">
      <c r="A41" s="77" t="s">
        <v>658</v>
      </c>
    </row>
    <row r="43" ht="15.75">
      <c r="A43" s="438" t="s">
        <v>947</v>
      </c>
    </row>
    <row r="44" ht="15.75">
      <c r="A44" s="439" t="s">
        <v>948</v>
      </c>
    </row>
    <row r="45" ht="15.75">
      <c r="A45" s="439" t="s">
        <v>949</v>
      </c>
    </row>
    <row r="46" ht="15.75">
      <c r="A46" s="439" t="s">
        <v>950</v>
      </c>
    </row>
    <row r="47" ht="15.75">
      <c r="A47" s="77" t="s">
        <v>951</v>
      </c>
    </row>
    <row r="49" ht="15.75">
      <c r="A49" s="416" t="s">
        <v>325</v>
      </c>
    </row>
    <row r="50" ht="15.75">
      <c r="A50" s="77" t="s">
        <v>326</v>
      </c>
    </row>
    <row r="51" ht="15.75">
      <c r="A51" s="77" t="s">
        <v>327</v>
      </c>
    </row>
    <row r="52" ht="15.75">
      <c r="A52" s="77" t="s">
        <v>328</v>
      </c>
    </row>
    <row r="53" ht="15.75">
      <c r="A53" s="77" t="s">
        <v>627</v>
      </c>
    </row>
    <row r="54" ht="15.75">
      <c r="A54" s="77" t="s">
        <v>626</v>
      </c>
    </row>
    <row r="55" ht="15.75">
      <c r="A55" s="77" t="s">
        <v>628</v>
      </c>
    </row>
    <row r="56" ht="15.75">
      <c r="A56" s="77" t="s">
        <v>630</v>
      </c>
    </row>
    <row r="57" ht="22.5" customHeight="1">
      <c r="A57" s="80" t="s">
        <v>629</v>
      </c>
    </row>
    <row r="58" ht="22.5" customHeight="1">
      <c r="A58" s="80" t="s">
        <v>644</v>
      </c>
    </row>
    <row r="59" ht="22.5" customHeight="1">
      <c r="A59" s="426" t="s">
        <v>648</v>
      </c>
    </row>
    <row r="61" ht="15.75">
      <c r="A61" s="416" t="s">
        <v>318</v>
      </c>
    </row>
    <row r="62" ht="15.75">
      <c r="A62" s="77" t="s">
        <v>319</v>
      </c>
    </row>
    <row r="63" ht="15.75">
      <c r="A63" s="77" t="s">
        <v>320</v>
      </c>
    </row>
    <row r="65" ht="15.75">
      <c r="A65" s="416" t="s">
        <v>430</v>
      </c>
    </row>
    <row r="66" ht="15.75">
      <c r="A66" s="77" t="s">
        <v>896</v>
      </c>
    </row>
    <row r="67" ht="15.75">
      <c r="A67" s="77" t="s">
        <v>897</v>
      </c>
    </row>
    <row r="68" ht="15.75">
      <c r="A68" s="77" t="s">
        <v>898</v>
      </c>
    </row>
    <row r="69" ht="15.75">
      <c r="A69" s="77" t="s">
        <v>899</v>
      </c>
    </row>
    <row r="70" ht="15.75">
      <c r="A70" s="77" t="s">
        <v>900</v>
      </c>
    </row>
    <row r="71" ht="15.75">
      <c r="A71" s="77" t="s">
        <v>901</v>
      </c>
    </row>
    <row r="72" ht="31.5">
      <c r="A72" s="80" t="s">
        <v>902</v>
      </c>
    </row>
    <row r="73" ht="31.5">
      <c r="A73" s="80" t="s">
        <v>903</v>
      </c>
    </row>
    <row r="74" ht="15.75">
      <c r="A74" s="80" t="s">
        <v>904</v>
      </c>
    </row>
    <row r="75" ht="15.75">
      <c r="A75" s="80" t="s">
        <v>905</v>
      </c>
    </row>
    <row r="76" ht="31.5">
      <c r="A76" s="80" t="s">
        <v>906</v>
      </c>
    </row>
    <row r="77" ht="15.75">
      <c r="A77" s="77" t="s">
        <v>907</v>
      </c>
    </row>
    <row r="78" ht="31.5">
      <c r="A78" s="80" t="s">
        <v>908</v>
      </c>
    </row>
    <row r="79" ht="15.75">
      <c r="A79" s="77" t="s">
        <v>909</v>
      </c>
    </row>
    <row r="80" ht="15.75">
      <c r="A80" s="77" t="s">
        <v>910</v>
      </c>
    </row>
    <row r="81" ht="15.75">
      <c r="A81" s="77" t="s">
        <v>911</v>
      </c>
    </row>
    <row r="82" ht="15.75">
      <c r="A82" s="77" t="s">
        <v>912</v>
      </c>
    </row>
    <row r="83" ht="31.5">
      <c r="A83" s="80" t="s">
        <v>41</v>
      </c>
    </row>
    <row r="84" ht="15.75">
      <c r="A84" s="77" t="s">
        <v>42</v>
      </c>
    </row>
    <row r="87" ht="15.75">
      <c r="A87" s="416" t="s">
        <v>890</v>
      </c>
    </row>
    <row r="88" ht="15.75">
      <c r="A88" s="77" t="s">
        <v>893</v>
      </c>
    </row>
    <row r="89" ht="15.75">
      <c r="A89" s="77" t="s">
        <v>891</v>
      </c>
    </row>
    <row r="90" ht="15.75">
      <c r="A90" s="77" t="s">
        <v>892</v>
      </c>
    </row>
    <row r="91" ht="15.75">
      <c r="A91" s="77" t="s">
        <v>329</v>
      </c>
    </row>
    <row r="93" ht="15.75">
      <c r="A93" s="416" t="s">
        <v>886</v>
      </c>
    </row>
    <row r="94" ht="31.5">
      <c r="A94" s="80" t="s">
        <v>887</v>
      </c>
    </row>
    <row r="95" ht="15.75">
      <c r="A95" s="77" t="s">
        <v>888</v>
      </c>
    </row>
    <row r="96" ht="15.75">
      <c r="A96" s="77" t="s">
        <v>889</v>
      </c>
    </row>
    <row r="99" ht="15.75">
      <c r="A99" s="416" t="s">
        <v>607</v>
      </c>
    </row>
    <row r="100" ht="47.25">
      <c r="A100" s="80" t="s">
        <v>330</v>
      </c>
    </row>
    <row r="101" ht="15.75">
      <c r="A101" s="77" t="s">
        <v>608</v>
      </c>
    </row>
    <row r="102" ht="15.75">
      <c r="A102" s="77" t="s">
        <v>2</v>
      </c>
    </row>
    <row r="103" ht="15.75">
      <c r="A103" s="77" t="s">
        <v>331</v>
      </c>
    </row>
    <row r="104" ht="15.75">
      <c r="A104" s="77" t="s">
        <v>609</v>
      </c>
    </row>
    <row r="105" ht="15.75">
      <c r="A105" s="77" t="s">
        <v>610</v>
      </c>
    </row>
    <row r="106" ht="15.75">
      <c r="A106" s="77" t="s">
        <v>3</v>
      </c>
    </row>
    <row r="107" ht="15.75">
      <c r="A107" s="80" t="s">
        <v>850</v>
      </c>
    </row>
    <row r="108" ht="31.5">
      <c r="A108" s="80" t="s">
        <v>435</v>
      </c>
    </row>
    <row r="109" ht="15.75">
      <c r="A109" s="77" t="s">
        <v>4</v>
      </c>
    </row>
    <row r="110" ht="15.75">
      <c r="A110" s="77" t="s">
        <v>5</v>
      </c>
    </row>
    <row r="111" ht="15.75">
      <c r="A111" s="77" t="s">
        <v>332</v>
      </c>
    </row>
    <row r="112" ht="15.75">
      <c r="A112" s="77" t="s">
        <v>849</v>
      </c>
    </row>
    <row r="113" ht="15.75">
      <c r="A113" s="77" t="s">
        <v>573</v>
      </c>
    </row>
    <row r="114" ht="31.5">
      <c r="A114" s="80" t="s">
        <v>574</v>
      </c>
    </row>
    <row r="115" ht="15.75">
      <c r="A115" s="77" t="s">
        <v>6</v>
      </c>
    </row>
    <row r="116" ht="15.75">
      <c r="A116" s="77" t="s">
        <v>7</v>
      </c>
    </row>
    <row r="117" ht="31.5">
      <c r="A117" s="80" t="s">
        <v>8</v>
      </c>
    </row>
    <row r="118" ht="15.75">
      <c r="A118" s="77" t="s">
        <v>575</v>
      </c>
    </row>
    <row r="119" ht="15.75">
      <c r="A119" s="77" t="s">
        <v>10</v>
      </c>
    </row>
    <row r="120" ht="15.75">
      <c r="A120" s="77" t="s">
        <v>9</v>
      </c>
    </row>
    <row r="121" ht="15.75">
      <c r="A121" s="77" t="s">
        <v>15</v>
      </c>
    </row>
    <row r="122" ht="15.75">
      <c r="A122" s="77" t="s">
        <v>852</v>
      </c>
    </row>
    <row r="123" ht="15.75">
      <c r="A123" s="77" t="s">
        <v>853</v>
      </c>
    </row>
    <row r="124" ht="15.75">
      <c r="A124" s="77" t="s">
        <v>856</v>
      </c>
    </row>
    <row r="125" ht="15.75">
      <c r="A125" s="77" t="s">
        <v>836</v>
      </c>
    </row>
    <row r="126" ht="15.75">
      <c r="A126" s="77" t="s">
        <v>432</v>
      </c>
    </row>
    <row r="127" ht="15.75">
      <c r="A127" s="77" t="s">
        <v>837</v>
      </c>
    </row>
    <row r="128" ht="15.75">
      <c r="A128" s="77" t="s">
        <v>858</v>
      </c>
    </row>
    <row r="129" ht="15.75">
      <c r="A129" s="77" t="s">
        <v>863</v>
      </c>
    </row>
    <row r="130" ht="15.75">
      <c r="A130" s="77" t="s">
        <v>864</v>
      </c>
    </row>
    <row r="131" ht="15.75">
      <c r="A131" s="77" t="s">
        <v>433</v>
      </c>
    </row>
    <row r="132" ht="15.75">
      <c r="A132" s="77" t="s">
        <v>434</v>
      </c>
    </row>
    <row r="133" ht="15.75">
      <c r="A133" s="77" t="s">
        <v>885</v>
      </c>
    </row>
    <row r="134" ht="15.75">
      <c r="A134" s="77" t="s">
        <v>883</v>
      </c>
    </row>
  </sheetData>
  <sheetProtection sheet="1"/>
  <printOptions/>
  <pageMargins left="0.75" right="0.75" top="1" bottom="1" header="0.5" footer="0.5"/>
  <pageSetup horizontalDpi="600" verticalDpi="600"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B1:F91"/>
  <sheetViews>
    <sheetView tabSelected="1" zoomScalePageLayoutView="0" workbookViewId="0" topLeftCell="A1">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344"/>
      <c r="D3" s="344"/>
      <c r="E3" s="345"/>
    </row>
    <row r="4" spans="2:5" ht="15.75">
      <c r="B4" s="90"/>
      <c r="C4" s="338"/>
      <c r="D4" s="338"/>
      <c r="E4" s="338"/>
    </row>
    <row r="5" spans="2:5" ht="15.75">
      <c r="B5" s="89" t="s">
        <v>123</v>
      </c>
      <c r="C5" s="481" t="str">
        <f>general!C4</f>
        <v>Prior Year Actual</v>
      </c>
      <c r="D5" s="480" t="str">
        <f>general!D4</f>
        <v>Current Year Estimate</v>
      </c>
      <c r="E5" s="482" t="str">
        <f>general!E4</f>
        <v>Proposed Budget Year</v>
      </c>
    </row>
    <row r="6" spans="2:5" ht="15.75">
      <c r="B6" s="516" t="str">
        <f>inputPrYr!B27</f>
        <v> </v>
      </c>
      <c r="C6" s="461">
        <f>general!$C$5</f>
        <v>2010</v>
      </c>
      <c r="D6" s="461">
        <f>general!D5</f>
        <v>2011</v>
      </c>
      <c r="E6" s="313">
        <f>general!E5</f>
        <v>2012</v>
      </c>
    </row>
    <row r="7" spans="2:5" ht="15.75">
      <c r="B7" s="153" t="s">
        <v>253</v>
      </c>
      <c r="C7" s="458"/>
      <c r="D7" s="462">
        <f>C34</f>
        <v>0</v>
      </c>
      <c r="E7" s="276">
        <f>D34</f>
        <v>0</v>
      </c>
    </row>
    <row r="8" spans="2:5" ht="15.75">
      <c r="B8" s="301" t="s">
        <v>255</v>
      </c>
      <c r="C8" s="316"/>
      <c r="D8" s="316"/>
      <c r="E8" s="132"/>
    </row>
    <row r="9" spans="2:5" ht="15.75">
      <c r="B9" s="153" t="s">
        <v>124</v>
      </c>
      <c r="C9" s="458"/>
      <c r="D9" s="462">
        <f>inputPrYr!E27</f>
        <v>0</v>
      </c>
      <c r="E9" s="348" t="s">
        <v>111</v>
      </c>
    </row>
    <row r="10" spans="2:5" ht="15.75">
      <c r="B10" s="153" t="s">
        <v>125</v>
      </c>
      <c r="C10" s="458"/>
      <c r="D10" s="458"/>
      <c r="E10" s="117"/>
    </row>
    <row r="11" spans="2:5" ht="15.75">
      <c r="B11" s="153" t="s">
        <v>126</v>
      </c>
      <c r="C11" s="458"/>
      <c r="D11" s="458"/>
      <c r="E11" s="276" t="str">
        <f>mvalloc!D19</f>
        <v>  </v>
      </c>
    </row>
    <row r="12" spans="2:5" ht="15.75">
      <c r="B12" s="153" t="s">
        <v>127</v>
      </c>
      <c r="C12" s="458"/>
      <c r="D12" s="458"/>
      <c r="E12" s="276" t="str">
        <f>mvalloc!E19</f>
        <v>  </v>
      </c>
    </row>
    <row r="13" spans="2:5" ht="15.75">
      <c r="B13" s="316" t="s">
        <v>202</v>
      </c>
      <c r="C13" s="458"/>
      <c r="D13" s="458"/>
      <c r="E13" s="276" t="str">
        <f>mvalloc!F19</f>
        <v>  </v>
      </c>
    </row>
    <row r="14" spans="2:5" ht="15.75">
      <c r="B14" s="316" t="s">
        <v>304</v>
      </c>
      <c r="C14" s="458"/>
      <c r="D14" s="458"/>
      <c r="E14" s="276" t="str">
        <f>mvalloc!G19</f>
        <v> </v>
      </c>
    </row>
    <row r="15" spans="2:5" ht="15.75">
      <c r="B15" s="329"/>
      <c r="C15" s="458"/>
      <c r="D15" s="458"/>
      <c r="E15" s="117"/>
    </row>
    <row r="16" spans="2:5" ht="15.75">
      <c r="B16" s="329"/>
      <c r="C16" s="458"/>
      <c r="D16" s="458"/>
      <c r="E16" s="117"/>
    </row>
    <row r="17" spans="2:5" ht="15.75">
      <c r="B17" s="329"/>
      <c r="C17" s="458"/>
      <c r="D17" s="458"/>
      <c r="E17" s="117"/>
    </row>
    <row r="18" spans="2:5" ht="15.75">
      <c r="B18" s="319" t="s">
        <v>131</v>
      </c>
      <c r="C18" s="458"/>
      <c r="D18" s="458"/>
      <c r="E18" s="117"/>
    </row>
    <row r="19" spans="2:5" ht="15.75">
      <c r="B19" s="320" t="s">
        <v>870</v>
      </c>
      <c r="C19" s="458"/>
      <c r="D19" s="458"/>
      <c r="E19" s="117"/>
    </row>
    <row r="20" spans="2:5" ht="15.75">
      <c r="B20" s="320" t="s">
        <v>722</v>
      </c>
      <c r="C20" s="459">
        <f>IF(C21*0.1&lt;C19,"Exceed 10% Rule","")</f>
      </c>
      <c r="D20" s="459">
        <f>IF(D21*0.1&lt;D19,"Exceed 10% Rule","")</f>
      </c>
      <c r="E20" s="355">
        <f>IF(E21*0.1+E40&lt;E19,"Exceed 10% Rule","")</f>
      </c>
    </row>
    <row r="21" spans="2:5" ht="15.75">
      <c r="B21" s="322" t="s">
        <v>132</v>
      </c>
      <c r="C21" s="460">
        <f>SUM(C9:C19)</f>
        <v>0</v>
      </c>
      <c r="D21" s="460">
        <f>SUM(D9:D19)</f>
        <v>0</v>
      </c>
      <c r="E21" s="363">
        <f>SUM(E9:E19)</f>
        <v>0</v>
      </c>
    </row>
    <row r="22" spans="2:5" ht="15.75">
      <c r="B22" s="322" t="s">
        <v>133</v>
      </c>
      <c r="C22" s="460">
        <f>C7+C21</f>
        <v>0</v>
      </c>
      <c r="D22" s="460">
        <f>D7+D21</f>
        <v>0</v>
      </c>
      <c r="E22" s="363">
        <f>E7+E21</f>
        <v>0</v>
      </c>
    </row>
    <row r="23" spans="2:5" ht="15.75">
      <c r="B23" s="153" t="s">
        <v>136</v>
      </c>
      <c r="C23" s="320"/>
      <c r="D23" s="320"/>
      <c r="E23" s="113"/>
    </row>
    <row r="24" spans="2:5" ht="15.75">
      <c r="B24" s="329"/>
      <c r="C24" s="458"/>
      <c r="D24" s="458"/>
      <c r="E24" s="117"/>
    </row>
    <row r="25" spans="2:5" ht="15.75">
      <c r="B25" s="329"/>
      <c r="C25" s="458"/>
      <c r="D25" s="458"/>
      <c r="E25" s="117"/>
    </row>
    <row r="26" spans="2:5" ht="15.75">
      <c r="B26" s="329"/>
      <c r="C26" s="458"/>
      <c r="D26" s="458"/>
      <c r="E26" s="117"/>
    </row>
    <row r="27" spans="2:5" ht="15.75">
      <c r="B27" s="329"/>
      <c r="C27" s="458"/>
      <c r="D27" s="458"/>
      <c r="E27" s="117"/>
    </row>
    <row r="28" spans="2:5" ht="15.75">
      <c r="B28" s="329"/>
      <c r="C28" s="458"/>
      <c r="D28" s="458"/>
      <c r="E28" s="117"/>
    </row>
    <row r="29" spans="2:5" ht="15.75">
      <c r="B29" s="329"/>
      <c r="C29" s="458"/>
      <c r="D29" s="458"/>
      <c r="E29" s="117"/>
    </row>
    <row r="30" spans="2:5" ht="15.75">
      <c r="B30" s="320" t="s">
        <v>872</v>
      </c>
      <c r="C30" s="458"/>
      <c r="D30" s="458"/>
      <c r="E30" s="125">
        <f>Nhood!E17</f>
      </c>
    </row>
    <row r="31" spans="2:5" ht="15.75">
      <c r="B31" s="320" t="s">
        <v>870</v>
      </c>
      <c r="C31" s="458"/>
      <c r="D31" s="458"/>
      <c r="E31" s="117"/>
    </row>
    <row r="32" spans="2:5" ht="15.75">
      <c r="B32" s="320" t="s">
        <v>721</v>
      </c>
      <c r="C32" s="459">
        <f>IF(C33*0.1&lt;C31,"Exceed 10% Rule","")</f>
      </c>
      <c r="D32" s="459">
        <f>IF(D33*0.1&lt;D31,"Exceed 10% Rule","")</f>
      </c>
      <c r="E32" s="355">
        <f>IF(E33*0.1&lt;E31,"Exceed 10% Rule","")</f>
      </c>
    </row>
    <row r="33" spans="2:5" ht="15.75">
      <c r="B33" s="322" t="s">
        <v>137</v>
      </c>
      <c r="C33" s="460">
        <f>SUM(C24:C31)</f>
        <v>0</v>
      </c>
      <c r="D33" s="460">
        <f>SUM(D24:D31)</f>
        <v>0</v>
      </c>
      <c r="E33" s="363">
        <f>SUM(E24:E31)</f>
        <v>0</v>
      </c>
    </row>
    <row r="34" spans="2:5" ht="15.75">
      <c r="B34" s="153" t="s">
        <v>254</v>
      </c>
      <c r="C34" s="463">
        <f>C22-C33</f>
        <v>0</v>
      </c>
      <c r="D34" s="463">
        <f>D22-D33</f>
        <v>0</v>
      </c>
      <c r="E34" s="348" t="s">
        <v>111</v>
      </c>
    </row>
    <row r="35" spans="2:6" ht="15.75">
      <c r="B35" s="298" t="str">
        <f>CONCATENATE("",E$1-2,"/",E$1-1," Budget Authority Amount:")</f>
        <v>2010/2011 Budget Authority Amount:</v>
      </c>
      <c r="C35" s="290">
        <f>inputOth!B42</f>
        <v>0</v>
      </c>
      <c r="D35" s="290">
        <f>inputPrYr!D27</f>
        <v>0</v>
      </c>
      <c r="E35" s="348" t="s">
        <v>111</v>
      </c>
      <c r="F35" s="331"/>
    </row>
    <row r="36" spans="2:6" ht="15.75">
      <c r="B36" s="298"/>
      <c r="C36" s="729" t="s">
        <v>725</v>
      </c>
      <c r="D36" s="730"/>
      <c r="E36" s="117"/>
      <c r="F36" s="331">
        <f>IF(E33/0.95-E33&lt;E36,"Exceeds 5%","")</f>
      </c>
    </row>
    <row r="37" spans="2:5" ht="15.75">
      <c r="B37" s="538" t="str">
        <f>CONCATENATE(C88,"     ",D88)</f>
        <v>     </v>
      </c>
      <c r="C37" s="731" t="s">
        <v>726</v>
      </c>
      <c r="D37" s="732"/>
      <c r="E37" s="276">
        <f>E33+E36</f>
        <v>0</v>
      </c>
    </row>
    <row r="38" spans="2:5" ht="15.75">
      <c r="B38" s="538" t="str">
        <f>CONCATENATE(C89,"     ",D89)</f>
        <v>     </v>
      </c>
      <c r="C38" s="332"/>
      <c r="D38" s="252" t="s">
        <v>138</v>
      </c>
      <c r="E38" s="125">
        <f>IF(E37-E22&gt;0,E37-E22,0)</f>
        <v>0</v>
      </c>
    </row>
    <row r="39" spans="2:5" ht="15.75">
      <c r="B39" s="252"/>
      <c r="C39" s="536" t="s">
        <v>727</v>
      </c>
      <c r="D39" s="508">
        <f>inputOth!$E$24</f>
        <v>0</v>
      </c>
      <c r="E39" s="276">
        <f>ROUND(IF(D39&gt;0,($E$38*D39),0),0)</f>
        <v>0</v>
      </c>
    </row>
    <row r="40" spans="2:5" ht="15.75">
      <c r="B40" s="90"/>
      <c r="C40" s="727" t="str">
        <f>CONCATENATE("Amount of  ",$E$1-1," Ad Valorem Tax")</f>
        <v>Amount of  2011 Ad Valorem Tax</v>
      </c>
      <c r="D40" s="728"/>
      <c r="E40" s="359">
        <f>E38+E39</f>
        <v>0</v>
      </c>
    </row>
    <row r="41" spans="2:5" ht="15.75">
      <c r="B41" s="90"/>
      <c r="C41" s="338"/>
      <c r="D41" s="338"/>
      <c r="E41" s="338"/>
    </row>
    <row r="42" spans="2:5" ht="15.75">
      <c r="B42" s="89" t="s">
        <v>123</v>
      </c>
      <c r="C42" s="481" t="str">
        <f aca="true" t="shared" si="0" ref="C42:E43">C5</f>
        <v>Prior Year Actual</v>
      </c>
      <c r="D42" s="480" t="str">
        <f t="shared" si="0"/>
        <v>Current Year Estimate</v>
      </c>
      <c r="E42" s="482" t="str">
        <f t="shared" si="0"/>
        <v>Proposed Budget Year</v>
      </c>
    </row>
    <row r="43" spans="2:5" ht="15.75">
      <c r="B43" s="515" t="str">
        <f>inputPrYr!B28</f>
        <v> </v>
      </c>
      <c r="C43" s="461">
        <f t="shared" si="0"/>
        <v>2010</v>
      </c>
      <c r="D43" s="461">
        <f t="shared" si="0"/>
        <v>2011</v>
      </c>
      <c r="E43" s="313">
        <f t="shared" si="0"/>
        <v>2012</v>
      </c>
    </row>
    <row r="44" spans="2:5" ht="15.75">
      <c r="B44" s="153" t="s">
        <v>253</v>
      </c>
      <c r="C44" s="458"/>
      <c r="D44" s="462">
        <f>C71</f>
        <v>0</v>
      </c>
      <c r="E44" s="276">
        <f>D71</f>
        <v>0</v>
      </c>
    </row>
    <row r="45" spans="2:5" ht="15.75">
      <c r="B45" s="314" t="s">
        <v>255</v>
      </c>
      <c r="C45" s="316"/>
      <c r="D45" s="316"/>
      <c r="E45" s="132"/>
    </row>
    <row r="46" spans="2:5" ht="15.75">
      <c r="B46" s="153" t="s">
        <v>124</v>
      </c>
      <c r="C46" s="458"/>
      <c r="D46" s="462">
        <f>inputPrYr!E28</f>
        <v>0</v>
      </c>
      <c r="E46" s="348" t="s">
        <v>111</v>
      </c>
    </row>
    <row r="47" spans="2:5" ht="15.75">
      <c r="B47" s="153" t="s">
        <v>125</v>
      </c>
      <c r="C47" s="458"/>
      <c r="D47" s="458"/>
      <c r="E47" s="117"/>
    </row>
    <row r="48" spans="2:5" ht="15.75">
      <c r="B48" s="153" t="s">
        <v>126</v>
      </c>
      <c r="C48" s="458"/>
      <c r="D48" s="458"/>
      <c r="E48" s="276" t="str">
        <f>mvalloc!D20</f>
        <v>  </v>
      </c>
    </row>
    <row r="49" spans="2:5" ht="15.75">
      <c r="B49" s="153" t="s">
        <v>127</v>
      </c>
      <c r="C49" s="458"/>
      <c r="D49" s="458"/>
      <c r="E49" s="276" t="str">
        <f>mvalloc!E20</f>
        <v>  </v>
      </c>
    </row>
    <row r="50" spans="2:5" ht="15.75">
      <c r="B50" s="316" t="s">
        <v>202</v>
      </c>
      <c r="C50" s="458"/>
      <c r="D50" s="458"/>
      <c r="E50" s="276" t="str">
        <f>mvalloc!F20</f>
        <v>  </v>
      </c>
    </row>
    <row r="51" spans="2:5" ht="15.75">
      <c r="B51" s="316" t="s">
        <v>304</v>
      </c>
      <c r="C51" s="458"/>
      <c r="D51" s="458"/>
      <c r="E51" s="276" t="str">
        <f>mvalloc!G20</f>
        <v> </v>
      </c>
    </row>
    <row r="52" spans="2:5" ht="15.75">
      <c r="B52" s="329"/>
      <c r="C52" s="458"/>
      <c r="D52" s="458"/>
      <c r="E52" s="117"/>
    </row>
    <row r="53" spans="2:5" ht="15.75">
      <c r="B53" s="329"/>
      <c r="C53" s="458"/>
      <c r="D53" s="458"/>
      <c r="E53" s="117"/>
    </row>
    <row r="54" spans="2:5" ht="15.75">
      <c r="B54" s="329"/>
      <c r="C54" s="458"/>
      <c r="D54" s="458"/>
      <c r="E54" s="117"/>
    </row>
    <row r="55" spans="2:5" ht="15.75">
      <c r="B55" s="319" t="s">
        <v>131</v>
      </c>
      <c r="C55" s="458"/>
      <c r="D55" s="458"/>
      <c r="E55" s="117"/>
    </row>
    <row r="56" spans="2:5" ht="15.75">
      <c r="B56" s="320" t="s">
        <v>870</v>
      </c>
      <c r="C56" s="458"/>
      <c r="D56" s="458"/>
      <c r="E56" s="117"/>
    </row>
    <row r="57" spans="2:5" ht="15.75">
      <c r="B57" s="320" t="s">
        <v>722</v>
      </c>
      <c r="C57" s="459">
        <f>IF(C58*0.1&lt;C56,"Exceed 10% Rule","")</f>
      </c>
      <c r="D57" s="459">
        <f>IF(D58*0.1&lt;D56,"Exceed 10% Rule","")</f>
      </c>
      <c r="E57" s="355">
        <f>IF(E58*0.1+E77&lt;E56,"Exceed 10% Rule","")</f>
      </c>
    </row>
    <row r="58" spans="2:5" ht="15.75">
      <c r="B58" s="322" t="s">
        <v>132</v>
      </c>
      <c r="C58" s="460">
        <f>SUM(C46:C56)</f>
        <v>0</v>
      </c>
      <c r="D58" s="460">
        <f>SUM(D46:D56)</f>
        <v>0</v>
      </c>
      <c r="E58" s="363">
        <f>SUM(E46:E56)</f>
        <v>0</v>
      </c>
    </row>
    <row r="59" spans="2:5" ht="15.75">
      <c r="B59" s="322" t="s">
        <v>133</v>
      </c>
      <c r="C59" s="460">
        <f>C44+C58</f>
        <v>0</v>
      </c>
      <c r="D59" s="460">
        <f>D44+D58</f>
        <v>0</v>
      </c>
      <c r="E59" s="363">
        <f>E44+E58</f>
        <v>0</v>
      </c>
    </row>
    <row r="60" spans="2:5" ht="15.75">
      <c r="B60" s="153" t="s">
        <v>136</v>
      </c>
      <c r="C60" s="320"/>
      <c r="D60" s="320"/>
      <c r="E60" s="113"/>
    </row>
    <row r="61" spans="2:5" ht="15.75">
      <c r="B61" s="329"/>
      <c r="C61" s="458"/>
      <c r="D61" s="458"/>
      <c r="E61" s="117"/>
    </row>
    <row r="62" spans="2:5" ht="15.75">
      <c r="B62" s="329"/>
      <c r="C62" s="458"/>
      <c r="D62" s="458"/>
      <c r="E62" s="117"/>
    </row>
    <row r="63" spans="2:5" ht="15.75">
      <c r="B63" s="329"/>
      <c r="C63" s="458"/>
      <c r="D63" s="458"/>
      <c r="E63" s="117"/>
    </row>
    <row r="64" spans="2:5" ht="15.75">
      <c r="B64" s="329"/>
      <c r="C64" s="458"/>
      <c r="D64" s="458"/>
      <c r="E64" s="117"/>
    </row>
    <row r="65" spans="2:5" ht="15.75">
      <c r="B65" s="329"/>
      <c r="C65" s="458"/>
      <c r="D65" s="458"/>
      <c r="E65" s="117"/>
    </row>
    <row r="66" spans="2:5" ht="15.75">
      <c r="B66" s="329"/>
      <c r="C66" s="458"/>
      <c r="D66" s="458"/>
      <c r="E66" s="117"/>
    </row>
    <row r="67" spans="2:5" ht="15.75">
      <c r="B67" s="320" t="s">
        <v>872</v>
      </c>
      <c r="C67" s="458"/>
      <c r="D67" s="458"/>
      <c r="E67" s="125">
        <f>Nhood!E18</f>
      </c>
    </row>
    <row r="68" spans="2:5" ht="15.75">
      <c r="B68" s="320" t="s">
        <v>870</v>
      </c>
      <c r="C68" s="458"/>
      <c r="D68" s="458"/>
      <c r="E68" s="117"/>
    </row>
    <row r="69" spans="2:5" ht="15.75">
      <c r="B69" s="320" t="s">
        <v>721</v>
      </c>
      <c r="C69" s="459">
        <f>IF(C70*0.1&lt;C68,"Exceed 10% Rule","")</f>
      </c>
      <c r="D69" s="459">
        <f>IF(D70*0.1&lt;D68,"Exceed 10% Rule","")</f>
      </c>
      <c r="E69" s="355">
        <f>IF(E70*0.1&lt;E68,"Exceed 10% Rule","")</f>
      </c>
    </row>
    <row r="70" spans="2:5" ht="15.75">
      <c r="B70" s="322" t="s">
        <v>137</v>
      </c>
      <c r="C70" s="460">
        <f>SUM(C61:C68)</f>
        <v>0</v>
      </c>
      <c r="D70" s="460">
        <f>SUM(D61:D68)</f>
        <v>0</v>
      </c>
      <c r="E70" s="363">
        <f>SUM(E61:E68)</f>
        <v>0</v>
      </c>
    </row>
    <row r="71" spans="2:5" ht="15.75">
      <c r="B71" s="153" t="s">
        <v>254</v>
      </c>
      <c r="C71" s="463">
        <f>C59-C70</f>
        <v>0</v>
      </c>
      <c r="D71" s="463">
        <f>D59-D70</f>
        <v>0</v>
      </c>
      <c r="E71" s="348" t="s">
        <v>111</v>
      </c>
    </row>
    <row r="72" spans="2:6" ht="15.75">
      <c r="B72" s="298" t="str">
        <f>CONCATENATE("",E$1-2,"/",E$1-1," Budget Authority Amount:")</f>
        <v>2010/2011 Budget Authority Amount:</v>
      </c>
      <c r="C72" s="290">
        <f>inputOth!B43</f>
        <v>0</v>
      </c>
      <c r="D72" s="290">
        <f>inputPrYr!D28</f>
        <v>0</v>
      </c>
      <c r="E72" s="348" t="s">
        <v>111</v>
      </c>
      <c r="F72" s="331"/>
    </row>
    <row r="73" spans="2:6" ht="15.75">
      <c r="B73" s="298"/>
      <c r="C73" s="729" t="s">
        <v>725</v>
      </c>
      <c r="D73" s="730"/>
      <c r="E73" s="117"/>
      <c r="F73" s="331">
        <f>IF(E70/0.95-E70&lt;E73,"Exceeds 5%","")</f>
      </c>
    </row>
    <row r="74" spans="2:5" ht="15.75">
      <c r="B74" s="537" t="str">
        <f>CONCATENATE(C90,"     ",D90)</f>
        <v>     </v>
      </c>
      <c r="C74" s="731" t="s">
        <v>726</v>
      </c>
      <c r="D74" s="732"/>
      <c r="E74" s="276">
        <f>E70+E73</f>
        <v>0</v>
      </c>
    </row>
    <row r="75" spans="2:5" ht="15.75">
      <c r="B75" s="537" t="str">
        <f>CONCATENATE(C91,"     ",D91)</f>
        <v>     </v>
      </c>
      <c r="C75" s="332"/>
      <c r="D75" s="252" t="s">
        <v>138</v>
      </c>
      <c r="E75" s="125">
        <f>IF(E74-E59&gt;0,E74-E59,0)</f>
        <v>0</v>
      </c>
    </row>
    <row r="76" spans="2:5" ht="15.75">
      <c r="B76" s="252"/>
      <c r="C76" s="536" t="s">
        <v>727</v>
      </c>
      <c r="D76" s="508">
        <f>inputOth!$E$24</f>
        <v>0</v>
      </c>
      <c r="E76" s="276">
        <f>ROUND(IF(D76&gt;0,($E$75*D76),0),0)</f>
        <v>0</v>
      </c>
    </row>
    <row r="77" spans="2:5" ht="15.75">
      <c r="B77" s="312"/>
      <c r="C77" s="727" t="str">
        <f>CONCATENATE("Amount of  ",$E$1-1," Ad Valorem Tax")</f>
        <v>Amount of  2011 Ad Valorem Tax</v>
      </c>
      <c r="D77" s="728"/>
      <c r="E77" s="359">
        <f>E75+E76</f>
        <v>0</v>
      </c>
    </row>
    <row r="78" spans="2:5" ht="15.75">
      <c r="B78" s="298" t="s">
        <v>160</v>
      </c>
      <c r="C78" s="360"/>
      <c r="D78" s="90"/>
      <c r="E78" s="90"/>
    </row>
    <row r="88" spans="3:4" ht="15.75" hidden="1">
      <c r="C88" s="77">
        <f>IF(C33&gt;C35,"See Tab A","")</f>
      </c>
      <c r="D88" s="77">
        <f>IF(D33&gt;D35,"See Tab C","")</f>
      </c>
    </row>
    <row r="89" spans="3:4" ht="15.75" hidden="1">
      <c r="C89" s="77">
        <f>IF(C34&lt;0,"See Tab B","")</f>
      </c>
      <c r="D89" s="77">
        <f>IF(D34&lt;0,"See Tab D","")</f>
      </c>
    </row>
    <row r="90" spans="3:4" ht="15.75" hidden="1">
      <c r="C90" s="77">
        <f>IF(C70&gt;C72,"See Tab A","")</f>
      </c>
      <c r="D90" s="77">
        <f>IF(D70&gt;D72,"See Tab C","")</f>
      </c>
    </row>
    <row r="91" spans="3:4" ht="15.75" hidden="1">
      <c r="C91" s="77">
        <f>IF(C71&lt;0,"See Tab B","")</f>
      </c>
      <c r="D91" s="77">
        <f>IF(D71&lt;0,"See Tab D","")</f>
      </c>
    </row>
  </sheetData>
  <sheetProtection sheet="1"/>
  <mergeCells count="6">
    <mergeCell ref="C36:D36"/>
    <mergeCell ref="C37:D37"/>
    <mergeCell ref="C77:D77"/>
    <mergeCell ref="C40:D40"/>
    <mergeCell ref="C73:D73"/>
    <mergeCell ref="C74:D74"/>
  </mergeCells>
  <conditionalFormatting sqref="E68">
    <cfRule type="cellIs" priority="3" dxfId="405" operator="greaterThan" stopIfTrue="1">
      <formula>$E$70*0.1</formula>
    </cfRule>
  </conditionalFormatting>
  <conditionalFormatting sqref="E73">
    <cfRule type="cellIs" priority="4" dxfId="405" operator="greaterThan" stopIfTrue="1">
      <formula>$E$70/0.95-$E$70</formula>
    </cfRule>
  </conditionalFormatting>
  <conditionalFormatting sqref="E36">
    <cfRule type="cellIs" priority="5" dxfId="405" operator="greaterThan" stopIfTrue="1">
      <formula>$E$33/0.95-$E$33</formula>
    </cfRule>
  </conditionalFormatting>
  <conditionalFormatting sqref="E31">
    <cfRule type="cellIs" priority="6" dxfId="405" operator="greaterThan" stopIfTrue="1">
      <formula>$E$33*0.1</formula>
    </cfRule>
  </conditionalFormatting>
  <conditionalFormatting sqref="C71 C34">
    <cfRule type="cellIs" priority="7" dxfId="2" operator="lessThan" stopIfTrue="1">
      <formula>0</formula>
    </cfRule>
  </conditionalFormatting>
  <conditionalFormatting sqref="C70">
    <cfRule type="cellIs" priority="8" dxfId="2" operator="greaterThan" stopIfTrue="1">
      <formula>$C$72</formula>
    </cfRule>
  </conditionalFormatting>
  <conditionalFormatting sqref="D70">
    <cfRule type="cellIs" priority="9" dxfId="2" operator="greaterThan" stopIfTrue="1">
      <formula>$D$72</formula>
    </cfRule>
  </conditionalFormatting>
  <conditionalFormatting sqref="C68">
    <cfRule type="cellIs" priority="10" dxfId="2" operator="greaterThan" stopIfTrue="1">
      <formula>$C$70*0.1</formula>
    </cfRule>
  </conditionalFormatting>
  <conditionalFormatting sqref="D68">
    <cfRule type="cellIs" priority="11" dxfId="2" operator="greaterThan" stopIfTrue="1">
      <formula>$D$70*0.1</formula>
    </cfRule>
  </conditionalFormatting>
  <conditionalFormatting sqref="E56">
    <cfRule type="cellIs" priority="12" dxfId="405" operator="greaterThan" stopIfTrue="1">
      <formula>$E$58*0.1+E77</formula>
    </cfRule>
  </conditionalFormatting>
  <conditionalFormatting sqref="C56">
    <cfRule type="cellIs" priority="13" dxfId="2" operator="greaterThan" stopIfTrue="1">
      <formula>$C$58*0.1</formula>
    </cfRule>
  </conditionalFormatting>
  <conditionalFormatting sqref="D56">
    <cfRule type="cellIs" priority="14" dxfId="2" operator="greaterThan" stopIfTrue="1">
      <formula>$D$58*0.1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9">
    <cfRule type="cellIs" priority="19" dxfId="405" operator="greaterThan" stopIfTrue="1">
      <formula>$E$21*0.1+E40</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42.xml><?xml version="1.0" encoding="utf-8"?>
<worksheet xmlns="http://schemas.openxmlformats.org/spreadsheetml/2006/main" xmlns:r="http://schemas.openxmlformats.org/officeDocument/2006/relationships">
  <sheetPr>
    <pageSetUpPr fitToPage="1"/>
  </sheetPr>
  <dimension ref="B1:F91"/>
  <sheetViews>
    <sheetView tabSelected="1" zoomScalePageLayoutView="0" workbookViewId="0" topLeftCell="A1">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344"/>
      <c r="D3" s="344"/>
      <c r="E3" s="345"/>
    </row>
    <row r="4" spans="2:5" ht="15.75">
      <c r="B4" s="90"/>
      <c r="C4" s="338"/>
      <c r="D4" s="338"/>
      <c r="E4" s="338"/>
    </row>
    <row r="5" spans="2:5" ht="15.75">
      <c r="B5" s="89" t="s">
        <v>123</v>
      </c>
      <c r="C5" s="481" t="str">
        <f>general!C4</f>
        <v>Prior Year Actual</v>
      </c>
      <c r="D5" s="480" t="str">
        <f>general!D4</f>
        <v>Current Year Estimate</v>
      </c>
      <c r="E5" s="482" t="str">
        <f>general!E4</f>
        <v>Proposed Budget Year</v>
      </c>
    </row>
    <row r="6" spans="2:5" ht="15.75">
      <c r="B6" s="516" t="str">
        <f>inputPrYr!B29</f>
        <v> </v>
      </c>
      <c r="C6" s="461">
        <f>general!$C$5</f>
        <v>2010</v>
      </c>
      <c r="D6" s="461">
        <f>general!D5</f>
        <v>2011</v>
      </c>
      <c r="E6" s="313">
        <f>general!E5</f>
        <v>2012</v>
      </c>
    </row>
    <row r="7" spans="2:5" ht="15.75">
      <c r="B7" s="153" t="s">
        <v>253</v>
      </c>
      <c r="C7" s="458"/>
      <c r="D7" s="462">
        <f>C34</f>
        <v>0</v>
      </c>
      <c r="E7" s="276">
        <f>D34</f>
        <v>0</v>
      </c>
    </row>
    <row r="8" spans="2:5" ht="15.75">
      <c r="B8" s="301" t="s">
        <v>255</v>
      </c>
      <c r="C8" s="316"/>
      <c r="D8" s="316"/>
      <c r="E8" s="132"/>
    </row>
    <row r="9" spans="2:5" ht="15.75">
      <c r="B9" s="153" t="s">
        <v>124</v>
      </c>
      <c r="C9" s="458"/>
      <c r="D9" s="462">
        <f>inputPrYr!E29</f>
        <v>0</v>
      </c>
      <c r="E9" s="348" t="s">
        <v>111</v>
      </c>
    </row>
    <row r="10" spans="2:5" ht="15.75">
      <c r="B10" s="153" t="s">
        <v>125</v>
      </c>
      <c r="C10" s="458"/>
      <c r="D10" s="458"/>
      <c r="E10" s="117"/>
    </row>
    <row r="11" spans="2:5" ht="15.75">
      <c r="B11" s="153" t="s">
        <v>126</v>
      </c>
      <c r="C11" s="458"/>
      <c r="D11" s="458"/>
      <c r="E11" s="276" t="str">
        <f>mvalloc!D21</f>
        <v>  </v>
      </c>
    </row>
    <row r="12" spans="2:5" ht="15.75">
      <c r="B12" s="153" t="s">
        <v>127</v>
      </c>
      <c r="C12" s="458"/>
      <c r="D12" s="458"/>
      <c r="E12" s="276" t="str">
        <f>mvalloc!E21</f>
        <v>  </v>
      </c>
    </row>
    <row r="13" spans="2:5" ht="15.75">
      <c r="B13" s="316" t="s">
        <v>202</v>
      </c>
      <c r="C13" s="458"/>
      <c r="D13" s="458"/>
      <c r="E13" s="276" t="str">
        <f>mvalloc!F21</f>
        <v>  </v>
      </c>
    </row>
    <row r="14" spans="2:5" ht="15.75">
      <c r="B14" s="316" t="s">
        <v>304</v>
      </c>
      <c r="C14" s="458"/>
      <c r="D14" s="458"/>
      <c r="E14" s="276" t="str">
        <f>mvalloc!G21</f>
        <v> </v>
      </c>
    </row>
    <row r="15" spans="2:5" ht="15.75">
      <c r="B15" s="329"/>
      <c r="C15" s="458"/>
      <c r="D15" s="458"/>
      <c r="E15" s="117"/>
    </row>
    <row r="16" spans="2:5" ht="15.75">
      <c r="B16" s="329"/>
      <c r="C16" s="458"/>
      <c r="D16" s="458"/>
      <c r="E16" s="117"/>
    </row>
    <row r="17" spans="2:5" ht="15.75">
      <c r="B17" s="329"/>
      <c r="C17" s="458"/>
      <c r="D17" s="458"/>
      <c r="E17" s="117"/>
    </row>
    <row r="18" spans="2:5" ht="15.75">
      <c r="B18" s="319" t="s">
        <v>131</v>
      </c>
      <c r="C18" s="458"/>
      <c r="D18" s="458"/>
      <c r="E18" s="117"/>
    </row>
    <row r="19" spans="2:5" ht="15.75">
      <c r="B19" s="320" t="s">
        <v>870</v>
      </c>
      <c r="C19" s="458"/>
      <c r="D19" s="458"/>
      <c r="E19" s="117"/>
    </row>
    <row r="20" spans="2:5" ht="15.75">
      <c r="B20" s="320" t="s">
        <v>871</v>
      </c>
      <c r="C20" s="459">
        <f>IF(C21*0.1&lt;C19,"Exceed 10% Rule","")</f>
      </c>
      <c r="D20" s="459">
        <f>IF(D21*0.1&lt;D19,"Exceed 10% Rule","")</f>
      </c>
      <c r="E20" s="355">
        <f>IF(E21*0.1+E40&lt;E19,"Exceed 10% Rule","")</f>
      </c>
    </row>
    <row r="21" spans="2:5" ht="15.75">
      <c r="B21" s="322" t="s">
        <v>132</v>
      </c>
      <c r="C21" s="460">
        <f>SUM(C9:C19)</f>
        <v>0</v>
      </c>
      <c r="D21" s="460">
        <f>SUM(D9:D19)</f>
        <v>0</v>
      </c>
      <c r="E21" s="363">
        <f>SUM(E9:E19)</f>
        <v>0</v>
      </c>
    </row>
    <row r="22" spans="2:5" ht="15.75">
      <c r="B22" s="322" t="s">
        <v>133</v>
      </c>
      <c r="C22" s="460">
        <f>C7+C21</f>
        <v>0</v>
      </c>
      <c r="D22" s="460">
        <f>D7+D21</f>
        <v>0</v>
      </c>
      <c r="E22" s="363">
        <f>E7+E21</f>
        <v>0</v>
      </c>
    </row>
    <row r="23" spans="2:5" ht="15.75">
      <c r="B23" s="153" t="s">
        <v>136</v>
      </c>
      <c r="C23" s="320"/>
      <c r="D23" s="320"/>
      <c r="E23" s="113"/>
    </row>
    <row r="24" spans="2:5" ht="15.75">
      <c r="B24" s="329"/>
      <c r="C24" s="458"/>
      <c r="D24" s="458"/>
      <c r="E24" s="117"/>
    </row>
    <row r="25" spans="2:5" ht="15.75">
      <c r="B25" s="329"/>
      <c r="C25" s="458"/>
      <c r="D25" s="458"/>
      <c r="E25" s="117"/>
    </row>
    <row r="26" spans="2:5" ht="15.75">
      <c r="B26" s="329"/>
      <c r="C26" s="458"/>
      <c r="D26" s="458"/>
      <c r="E26" s="117"/>
    </row>
    <row r="27" spans="2:5" ht="15.75">
      <c r="B27" s="329"/>
      <c r="C27" s="458"/>
      <c r="D27" s="458"/>
      <c r="E27" s="117"/>
    </row>
    <row r="28" spans="2:5" ht="15.75">
      <c r="B28" s="329"/>
      <c r="C28" s="458"/>
      <c r="D28" s="458"/>
      <c r="E28" s="117"/>
    </row>
    <row r="29" spans="2:5" ht="15.75">
      <c r="B29" s="329"/>
      <c r="C29" s="458"/>
      <c r="D29" s="458"/>
      <c r="E29" s="117"/>
    </row>
    <row r="30" spans="2:5" ht="15.75">
      <c r="B30" s="320" t="s">
        <v>872</v>
      </c>
      <c r="C30" s="458"/>
      <c r="D30" s="458"/>
      <c r="E30" s="125">
        <f>Nhood!E19</f>
      </c>
    </row>
    <row r="31" spans="2:5" ht="15.75">
      <c r="B31" s="320" t="s">
        <v>870</v>
      </c>
      <c r="C31" s="458"/>
      <c r="D31" s="458"/>
      <c r="E31" s="117"/>
    </row>
    <row r="32" spans="2:5" ht="15.75">
      <c r="B32" s="320" t="s">
        <v>873</v>
      </c>
      <c r="C32" s="459">
        <f>IF(C33*0.1&lt;C31,"Exceed 10% Rule","")</f>
      </c>
      <c r="D32" s="459">
        <f>IF(D33*0.1&lt;D31,"Exceed 10% Rule","")</f>
      </c>
      <c r="E32" s="355">
        <f>IF(E33*0.1&lt;E31,"Exceed 10% Rule","")</f>
      </c>
    </row>
    <row r="33" spans="2:5" ht="15.75">
      <c r="B33" s="322" t="s">
        <v>137</v>
      </c>
      <c r="C33" s="460">
        <f>SUM(C24:C31)</f>
        <v>0</v>
      </c>
      <c r="D33" s="460">
        <f>SUM(D24:D31)</f>
        <v>0</v>
      </c>
      <c r="E33" s="363">
        <f>SUM(E24:E31)</f>
        <v>0</v>
      </c>
    </row>
    <row r="34" spans="2:5" ht="15.75">
      <c r="B34" s="153" t="s">
        <v>254</v>
      </c>
      <c r="C34" s="463">
        <f>C22-C33</f>
        <v>0</v>
      </c>
      <c r="D34" s="463">
        <f>D22-D33</f>
        <v>0</v>
      </c>
      <c r="E34" s="348" t="s">
        <v>111</v>
      </c>
    </row>
    <row r="35" spans="2:6" ht="15.75">
      <c r="B35" s="298" t="str">
        <f>CONCATENATE("",E$1-2,"/",E$1-1," Budget Authority Amount:")</f>
        <v>2010/2011 Budget Authority Amount:</v>
      </c>
      <c r="C35" s="290">
        <f>inputOth!B44</f>
        <v>0</v>
      </c>
      <c r="D35" s="290">
        <f>inputPrYr!D29</f>
        <v>0</v>
      </c>
      <c r="E35" s="348" t="s">
        <v>111</v>
      </c>
      <c r="F35" s="331"/>
    </row>
    <row r="36" spans="2:6" ht="15.75">
      <c r="B36" s="298"/>
      <c r="C36" s="729" t="s">
        <v>725</v>
      </c>
      <c r="D36" s="730"/>
      <c r="E36" s="117"/>
      <c r="F36" s="331">
        <f>IF(E33/0.95-E33&lt;E36,"Exceeds 5%","")</f>
      </c>
    </row>
    <row r="37" spans="2:5" ht="15.75">
      <c r="B37" s="538" t="str">
        <f>CONCATENATE(C88,"     ",D88)</f>
        <v>     </v>
      </c>
      <c r="C37" s="731" t="s">
        <v>726</v>
      </c>
      <c r="D37" s="732"/>
      <c r="E37" s="276">
        <f>E33+E36</f>
        <v>0</v>
      </c>
    </row>
    <row r="38" spans="2:5" ht="15.75">
      <c r="B38" s="538" t="str">
        <f>CONCATENATE(C89,"     ",D89)</f>
        <v>     </v>
      </c>
      <c r="C38" s="332"/>
      <c r="D38" s="252" t="s">
        <v>138</v>
      </c>
      <c r="E38" s="125">
        <f>IF(E37-E22&gt;0,E37-E22,0)</f>
        <v>0</v>
      </c>
    </row>
    <row r="39" spans="2:5" ht="15.75">
      <c r="B39" s="252"/>
      <c r="C39" s="536" t="s">
        <v>727</v>
      </c>
      <c r="D39" s="508">
        <f>inputOth!$E$24</f>
        <v>0</v>
      </c>
      <c r="E39" s="276">
        <f>ROUND(IF(D39&gt;0,($E$38*D39),0),0)</f>
        <v>0</v>
      </c>
    </row>
    <row r="40" spans="2:5" ht="15.75">
      <c r="B40" s="90"/>
      <c r="C40" s="727" t="str">
        <f>CONCATENATE("Amount of  ",$E$1-1," Ad Valorem Tax")</f>
        <v>Amount of  2011 Ad Valorem Tax</v>
      </c>
      <c r="D40" s="728"/>
      <c r="E40" s="359">
        <f>E38+E39</f>
        <v>0</v>
      </c>
    </row>
    <row r="41" spans="2:5" ht="15.75">
      <c r="B41" s="90"/>
      <c r="C41" s="338"/>
      <c r="D41" s="338"/>
      <c r="E41" s="338"/>
    </row>
    <row r="42" spans="2:5" ht="15.75">
      <c r="B42" s="89" t="s">
        <v>123</v>
      </c>
      <c r="C42" s="481" t="str">
        <f aca="true" t="shared" si="0" ref="C42:E43">C5</f>
        <v>Prior Year Actual</v>
      </c>
      <c r="D42" s="480" t="str">
        <f t="shared" si="0"/>
        <v>Current Year Estimate</v>
      </c>
      <c r="E42" s="482" t="str">
        <f t="shared" si="0"/>
        <v>Proposed Budget Year</v>
      </c>
    </row>
    <row r="43" spans="2:5" ht="15.75">
      <c r="B43" s="515" t="str">
        <f>inputPrYr!B30</f>
        <v> </v>
      </c>
      <c r="C43" s="461">
        <f t="shared" si="0"/>
        <v>2010</v>
      </c>
      <c r="D43" s="461">
        <f t="shared" si="0"/>
        <v>2011</v>
      </c>
      <c r="E43" s="313">
        <f t="shared" si="0"/>
        <v>2012</v>
      </c>
    </row>
    <row r="44" spans="2:5" ht="15.75">
      <c r="B44" s="153" t="s">
        <v>253</v>
      </c>
      <c r="C44" s="458"/>
      <c r="D44" s="462">
        <f>C71</f>
        <v>0</v>
      </c>
      <c r="E44" s="276">
        <f>D71</f>
        <v>0</v>
      </c>
    </row>
    <row r="45" spans="2:5" ht="15.75">
      <c r="B45" s="314" t="s">
        <v>255</v>
      </c>
      <c r="C45" s="316"/>
      <c r="D45" s="316"/>
      <c r="E45" s="132"/>
    </row>
    <row r="46" spans="2:5" ht="15.75">
      <c r="B46" s="153" t="s">
        <v>124</v>
      </c>
      <c r="C46" s="458"/>
      <c r="D46" s="462">
        <f>inputPrYr!E30</f>
        <v>0</v>
      </c>
      <c r="E46" s="348" t="s">
        <v>111</v>
      </c>
    </row>
    <row r="47" spans="2:5" ht="15.75">
      <c r="B47" s="153" t="s">
        <v>125</v>
      </c>
      <c r="C47" s="458"/>
      <c r="D47" s="458"/>
      <c r="E47" s="117"/>
    </row>
    <row r="48" spans="2:5" ht="15.75">
      <c r="B48" s="153" t="s">
        <v>126</v>
      </c>
      <c r="C48" s="458"/>
      <c r="D48" s="458"/>
      <c r="E48" s="276" t="str">
        <f>mvalloc!D22</f>
        <v>  </v>
      </c>
    </row>
    <row r="49" spans="2:5" ht="15.75">
      <c r="B49" s="153" t="s">
        <v>127</v>
      </c>
      <c r="C49" s="458"/>
      <c r="D49" s="458"/>
      <c r="E49" s="276" t="str">
        <f>mvalloc!E22</f>
        <v>  </v>
      </c>
    </row>
    <row r="50" spans="2:5" ht="15.75">
      <c r="B50" s="316" t="s">
        <v>202</v>
      </c>
      <c r="C50" s="458"/>
      <c r="D50" s="458"/>
      <c r="E50" s="276" t="str">
        <f>mvalloc!F22</f>
        <v>  </v>
      </c>
    </row>
    <row r="51" spans="2:5" ht="15.75">
      <c r="B51" s="316" t="s">
        <v>304</v>
      </c>
      <c r="C51" s="458"/>
      <c r="D51" s="458"/>
      <c r="E51" s="276" t="str">
        <f>mvalloc!G22</f>
        <v> </v>
      </c>
    </row>
    <row r="52" spans="2:5" ht="15.75">
      <c r="B52" s="329"/>
      <c r="C52" s="458"/>
      <c r="D52" s="458"/>
      <c r="E52" s="117"/>
    </row>
    <row r="53" spans="2:5" ht="15.75">
      <c r="B53" s="329"/>
      <c r="C53" s="458"/>
      <c r="D53" s="458"/>
      <c r="E53" s="117"/>
    </row>
    <row r="54" spans="2:5" ht="15.75">
      <c r="B54" s="329"/>
      <c r="C54" s="458"/>
      <c r="D54" s="458"/>
      <c r="E54" s="117"/>
    </row>
    <row r="55" spans="2:5" ht="15.75">
      <c r="B55" s="319" t="s">
        <v>131</v>
      </c>
      <c r="C55" s="458"/>
      <c r="D55" s="458"/>
      <c r="E55" s="117"/>
    </row>
    <row r="56" spans="2:5" ht="15.75">
      <c r="B56" s="320" t="s">
        <v>870</v>
      </c>
      <c r="C56" s="458"/>
      <c r="D56" s="458"/>
      <c r="E56" s="117"/>
    </row>
    <row r="57" spans="2:5" ht="15.75">
      <c r="B57" s="320" t="s">
        <v>871</v>
      </c>
      <c r="C57" s="459">
        <f>IF(C58*0.1&lt;C56,"Exceed 10% Rule","")</f>
      </c>
      <c r="D57" s="459">
        <f>IF(D58*0.1&lt;D56,"Exceed 10% Rule","")</f>
      </c>
      <c r="E57" s="355">
        <f>IF(E58*0.1+E77&lt;E56,"Exceed 10% Rule","")</f>
      </c>
    </row>
    <row r="58" spans="2:5" ht="15.75">
      <c r="B58" s="322" t="s">
        <v>132</v>
      </c>
      <c r="C58" s="460">
        <f>SUM(C46:C56)</f>
        <v>0</v>
      </c>
      <c r="D58" s="460">
        <f>SUM(D46:D56)</f>
        <v>0</v>
      </c>
      <c r="E58" s="363">
        <f>SUM(E46:E56)</f>
        <v>0</v>
      </c>
    </row>
    <row r="59" spans="2:5" ht="15.75">
      <c r="B59" s="322" t="s">
        <v>133</v>
      </c>
      <c r="C59" s="460">
        <f>C44+C58</f>
        <v>0</v>
      </c>
      <c r="D59" s="460">
        <f>D44+D58</f>
        <v>0</v>
      </c>
      <c r="E59" s="363">
        <f>E44+E58</f>
        <v>0</v>
      </c>
    </row>
    <row r="60" spans="2:5" ht="15.75">
      <c r="B60" s="153" t="s">
        <v>136</v>
      </c>
      <c r="C60" s="320"/>
      <c r="D60" s="320"/>
      <c r="E60" s="113"/>
    </row>
    <row r="61" spans="2:5" ht="15.75">
      <c r="B61" s="329"/>
      <c r="C61" s="458"/>
      <c r="D61" s="458"/>
      <c r="E61" s="117"/>
    </row>
    <row r="62" spans="2:5" ht="15.75">
      <c r="B62" s="329"/>
      <c r="C62" s="458"/>
      <c r="D62" s="458"/>
      <c r="E62" s="117"/>
    </row>
    <row r="63" spans="2:5" ht="15.75">
      <c r="B63" s="329"/>
      <c r="C63" s="458"/>
      <c r="D63" s="458"/>
      <c r="E63" s="117"/>
    </row>
    <row r="64" spans="2:5" ht="15.75">
      <c r="B64" s="329"/>
      <c r="C64" s="458"/>
      <c r="D64" s="458"/>
      <c r="E64" s="117"/>
    </row>
    <row r="65" spans="2:5" ht="15.75">
      <c r="B65" s="329"/>
      <c r="C65" s="458"/>
      <c r="D65" s="458"/>
      <c r="E65" s="117"/>
    </row>
    <row r="66" spans="2:5" ht="15.75">
      <c r="B66" s="329"/>
      <c r="C66" s="458"/>
      <c r="D66" s="458"/>
      <c r="E66" s="117"/>
    </row>
    <row r="67" spans="2:5" ht="15.75">
      <c r="B67" s="320" t="s">
        <v>872</v>
      </c>
      <c r="C67" s="458"/>
      <c r="D67" s="458"/>
      <c r="E67" s="125">
        <f>Nhood!E20</f>
      </c>
    </row>
    <row r="68" spans="2:5" ht="15.75">
      <c r="B68" s="320" t="s">
        <v>870</v>
      </c>
      <c r="C68" s="458"/>
      <c r="D68" s="458"/>
      <c r="E68" s="117"/>
    </row>
    <row r="69" spans="2:5" ht="15.75">
      <c r="B69" s="320" t="s">
        <v>873</v>
      </c>
      <c r="C69" s="459">
        <f>IF(C70*0.1&lt;C68,"Exceed 10% Rule","")</f>
      </c>
      <c r="D69" s="459">
        <f>IF(D70*0.1&lt;D68,"Exceed 10% Rule","")</f>
      </c>
      <c r="E69" s="355">
        <f>IF(E70*0.1&lt;E68,"Exceed 10% Rule","")</f>
      </c>
    </row>
    <row r="70" spans="2:5" ht="15.75">
      <c r="B70" s="322" t="s">
        <v>137</v>
      </c>
      <c r="C70" s="460">
        <f>SUM(C61:C68)</f>
        <v>0</v>
      </c>
      <c r="D70" s="460">
        <f>SUM(D61:D68)</f>
        <v>0</v>
      </c>
      <c r="E70" s="363">
        <f>SUM(E61:E68)</f>
        <v>0</v>
      </c>
    </row>
    <row r="71" spans="2:5" ht="15.75">
      <c r="B71" s="153" t="s">
        <v>254</v>
      </c>
      <c r="C71" s="463">
        <f>C59-C70</f>
        <v>0</v>
      </c>
      <c r="D71" s="463">
        <f>D59-D70</f>
        <v>0</v>
      </c>
      <c r="E71" s="348" t="s">
        <v>111</v>
      </c>
    </row>
    <row r="72" spans="2:6" ht="15.75">
      <c r="B72" s="298" t="str">
        <f>CONCATENATE("",E$1-2,"/",E$1-1," Budget Authority Amount:")</f>
        <v>2010/2011 Budget Authority Amount:</v>
      </c>
      <c r="C72" s="290">
        <f>inputOth!B45</f>
        <v>0</v>
      </c>
      <c r="D72" s="290">
        <f>inputPrYr!D30</f>
        <v>0</v>
      </c>
      <c r="E72" s="348" t="s">
        <v>111</v>
      </c>
      <c r="F72" s="331"/>
    </row>
    <row r="73" spans="2:6" ht="15.75">
      <c r="B73" s="298"/>
      <c r="C73" s="729" t="s">
        <v>725</v>
      </c>
      <c r="D73" s="730"/>
      <c r="E73" s="117"/>
      <c r="F73" s="331">
        <f>IF(E70/0.95-E70&lt;E73,"Exceeds 5%","")</f>
      </c>
    </row>
    <row r="74" spans="2:5" ht="15.75">
      <c r="B74" s="537" t="str">
        <f>CONCATENATE(C90,"     ",D90)</f>
        <v>     </v>
      </c>
      <c r="C74" s="731" t="s">
        <v>726</v>
      </c>
      <c r="D74" s="732"/>
      <c r="E74" s="276">
        <f>E70+E73</f>
        <v>0</v>
      </c>
    </row>
    <row r="75" spans="2:5" ht="15.75">
      <c r="B75" s="537" t="str">
        <f>CONCATENATE(C91,"     ",D91)</f>
        <v>     </v>
      </c>
      <c r="C75" s="332"/>
      <c r="D75" s="252" t="s">
        <v>138</v>
      </c>
      <c r="E75" s="125">
        <f>IF(E74-E59&gt;0,E74-E59,0)</f>
        <v>0</v>
      </c>
    </row>
    <row r="76" spans="2:5" ht="15.75">
      <c r="B76" s="252"/>
      <c r="C76" s="536" t="s">
        <v>727</v>
      </c>
      <c r="D76" s="508">
        <f>inputOth!$E$24</f>
        <v>0</v>
      </c>
      <c r="E76" s="276">
        <f>ROUND(IF(D76&gt;0,($E$75*D76),0),0)</f>
        <v>0</v>
      </c>
    </row>
    <row r="77" spans="2:5" ht="15.75">
      <c r="B77" s="90"/>
      <c r="C77" s="727" t="str">
        <f>CONCATENATE("Amount of  ",$E$1-1," Ad Valorem Tax")</f>
        <v>Amount of  2011 Ad Valorem Tax</v>
      </c>
      <c r="D77" s="728"/>
      <c r="E77" s="359">
        <f>E75+E76</f>
        <v>0</v>
      </c>
    </row>
    <row r="78" spans="2:5" ht="15.75">
      <c r="B78" s="298" t="s">
        <v>160</v>
      </c>
      <c r="C78" s="360"/>
      <c r="D78" s="90"/>
      <c r="E78" s="90"/>
    </row>
    <row r="88" spans="3:4" ht="15.75" hidden="1">
      <c r="C88" s="77">
        <f>IF(C33&gt;C35,"See Tab A","")</f>
      </c>
      <c r="D88" s="77">
        <f>IF(D33&gt;D35,"See Tab C","")</f>
      </c>
    </row>
    <row r="89" spans="3:4" ht="15.75" hidden="1">
      <c r="C89" s="77">
        <f>IF(C34&lt;0,"See Tab B","")</f>
      </c>
      <c r="D89" s="77">
        <f>IF(D34&lt;0,"See Tab D","")</f>
      </c>
    </row>
    <row r="90" spans="3:4" ht="15.75" hidden="1">
      <c r="C90" s="77">
        <f>IF(C70&gt;C72,"See Tab A","")</f>
      </c>
      <c r="D90" s="77">
        <f>IF(D70&gt;D72,"See Tab C","")</f>
      </c>
    </row>
    <row r="91" spans="3:4" ht="15.75" hidden="1">
      <c r="C91" s="77">
        <f>IF(C71&lt;0,"See Tab B","")</f>
      </c>
      <c r="D91" s="77">
        <f>IF(D71&lt;0,"See Tab D","")</f>
      </c>
    </row>
  </sheetData>
  <sheetProtection sheet="1"/>
  <mergeCells count="6">
    <mergeCell ref="C77:D77"/>
    <mergeCell ref="C40:D40"/>
    <mergeCell ref="C36:D36"/>
    <mergeCell ref="C37:D37"/>
    <mergeCell ref="C73:D73"/>
    <mergeCell ref="C74:D74"/>
  </mergeCells>
  <conditionalFormatting sqref="E68">
    <cfRule type="cellIs" priority="3" dxfId="405" operator="greaterThan" stopIfTrue="1">
      <formula>$E$70*0.1</formula>
    </cfRule>
  </conditionalFormatting>
  <conditionalFormatting sqref="E73">
    <cfRule type="cellIs" priority="4" dxfId="405" operator="greaterThan" stopIfTrue="1">
      <formula>$E$70/0.95-$E$70</formula>
    </cfRule>
  </conditionalFormatting>
  <conditionalFormatting sqref="E36">
    <cfRule type="cellIs" priority="5" dxfId="405" operator="greaterThan" stopIfTrue="1">
      <formula>$E$33/0.95-$E$33</formula>
    </cfRule>
  </conditionalFormatting>
  <conditionalFormatting sqref="E31">
    <cfRule type="cellIs" priority="6" dxfId="405" operator="greaterThan" stopIfTrue="1">
      <formula>$E$33*0.1</formula>
    </cfRule>
  </conditionalFormatting>
  <conditionalFormatting sqref="C71 C34">
    <cfRule type="cellIs" priority="7" dxfId="2" operator="lessThan" stopIfTrue="1">
      <formula>0</formula>
    </cfRule>
  </conditionalFormatting>
  <conditionalFormatting sqref="C70">
    <cfRule type="cellIs" priority="8" dxfId="2" operator="greaterThan" stopIfTrue="1">
      <formula>$C$72</formula>
    </cfRule>
  </conditionalFormatting>
  <conditionalFormatting sqref="D70">
    <cfRule type="cellIs" priority="9" dxfId="2" operator="greaterThan" stopIfTrue="1">
      <formula>$D$72</formula>
    </cfRule>
  </conditionalFormatting>
  <conditionalFormatting sqref="C68">
    <cfRule type="cellIs" priority="10" dxfId="2" operator="greaterThan" stopIfTrue="1">
      <formula>$C$70*0.1</formula>
    </cfRule>
  </conditionalFormatting>
  <conditionalFormatting sqref="D68">
    <cfRule type="cellIs" priority="11" dxfId="2" operator="greaterThan" stopIfTrue="1">
      <formula>$D$70*0.1</formula>
    </cfRule>
  </conditionalFormatting>
  <conditionalFormatting sqref="E56">
    <cfRule type="cellIs" priority="12" dxfId="405" operator="greaterThan" stopIfTrue="1">
      <formula>$E$58*0.1+E77</formula>
    </cfRule>
  </conditionalFormatting>
  <conditionalFormatting sqref="C56">
    <cfRule type="cellIs" priority="13" dxfId="2" operator="greaterThan" stopIfTrue="1">
      <formula>$C$58*0.1</formula>
    </cfRule>
  </conditionalFormatting>
  <conditionalFormatting sqref="D56">
    <cfRule type="cellIs" priority="14" dxfId="2" operator="greaterThan" stopIfTrue="1">
      <formula>$D$58*0.1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9">
    <cfRule type="cellIs" priority="19" dxfId="405" operator="greaterThan" stopIfTrue="1">
      <formula>$E$21*0.1+E40</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43.xml><?xml version="1.0" encoding="utf-8"?>
<worksheet xmlns="http://schemas.openxmlformats.org/spreadsheetml/2006/main" xmlns:r="http://schemas.openxmlformats.org/officeDocument/2006/relationships">
  <sheetPr>
    <pageSetUpPr fitToPage="1"/>
  </sheetPr>
  <dimension ref="B1:F91"/>
  <sheetViews>
    <sheetView tabSelected="1" zoomScalePageLayoutView="0" workbookViewId="0" topLeftCell="A1">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344"/>
      <c r="D3" s="344"/>
      <c r="E3" s="345"/>
    </row>
    <row r="4" spans="2:5" ht="15.75">
      <c r="B4" s="90"/>
      <c r="C4" s="338"/>
      <c r="D4" s="338"/>
      <c r="E4" s="338"/>
    </row>
    <row r="5" spans="2:5" ht="15.75">
      <c r="B5" s="89" t="s">
        <v>123</v>
      </c>
      <c r="C5" s="481" t="str">
        <f>general!C4</f>
        <v>Prior Year Actual</v>
      </c>
      <c r="D5" s="480" t="str">
        <f>general!D4</f>
        <v>Current Year Estimate</v>
      </c>
      <c r="E5" s="482" t="str">
        <f>general!E4</f>
        <v>Proposed Budget Year</v>
      </c>
    </row>
    <row r="6" spans="2:5" ht="15.75">
      <c r="B6" s="516" t="str">
        <f>inputPrYr!B31</f>
        <v> </v>
      </c>
      <c r="C6" s="461">
        <f>general!$C$5</f>
        <v>2010</v>
      </c>
      <c r="D6" s="461">
        <f>general!D5</f>
        <v>2011</v>
      </c>
      <c r="E6" s="313">
        <f>general!E5</f>
        <v>2012</v>
      </c>
    </row>
    <row r="7" spans="2:5" ht="15.75">
      <c r="B7" s="153" t="s">
        <v>253</v>
      </c>
      <c r="C7" s="458"/>
      <c r="D7" s="462">
        <f>C34</f>
        <v>0</v>
      </c>
      <c r="E7" s="276">
        <f>D34</f>
        <v>0</v>
      </c>
    </row>
    <row r="8" spans="2:5" ht="15.75">
      <c r="B8" s="301" t="s">
        <v>255</v>
      </c>
      <c r="C8" s="316"/>
      <c r="D8" s="316"/>
      <c r="E8" s="132"/>
    </row>
    <row r="9" spans="2:5" ht="15.75">
      <c r="B9" s="153" t="s">
        <v>124</v>
      </c>
      <c r="C9" s="458"/>
      <c r="D9" s="462">
        <f>inputPrYr!E31</f>
        <v>0</v>
      </c>
      <c r="E9" s="348" t="s">
        <v>111</v>
      </c>
    </row>
    <row r="10" spans="2:5" ht="15.75">
      <c r="B10" s="153" t="s">
        <v>125</v>
      </c>
      <c r="C10" s="458"/>
      <c r="D10" s="458"/>
      <c r="E10" s="117"/>
    </row>
    <row r="11" spans="2:5" ht="15.75">
      <c r="B11" s="153" t="s">
        <v>126</v>
      </c>
      <c r="C11" s="458"/>
      <c r="D11" s="458"/>
      <c r="E11" s="276" t="str">
        <f>mvalloc!D23</f>
        <v>  </v>
      </c>
    </row>
    <row r="12" spans="2:5" ht="15.75">
      <c r="B12" s="153" t="s">
        <v>127</v>
      </c>
      <c r="C12" s="458"/>
      <c r="D12" s="458"/>
      <c r="E12" s="276" t="str">
        <f>mvalloc!E23</f>
        <v>  </v>
      </c>
    </row>
    <row r="13" spans="2:5" ht="15.75">
      <c r="B13" s="316" t="s">
        <v>202</v>
      </c>
      <c r="C13" s="458"/>
      <c r="D13" s="458"/>
      <c r="E13" s="276" t="str">
        <f>mvalloc!F23</f>
        <v>  </v>
      </c>
    </row>
    <row r="14" spans="2:5" ht="15.75">
      <c r="B14" s="316" t="s">
        <v>304</v>
      </c>
      <c r="C14" s="458"/>
      <c r="D14" s="458"/>
      <c r="E14" s="276" t="str">
        <f>mvalloc!G23</f>
        <v> </v>
      </c>
    </row>
    <row r="15" spans="2:5" ht="15.75">
      <c r="B15" s="329"/>
      <c r="C15" s="458"/>
      <c r="D15" s="458"/>
      <c r="E15" s="117"/>
    </row>
    <row r="16" spans="2:5" ht="15.75">
      <c r="B16" s="329"/>
      <c r="C16" s="458"/>
      <c r="D16" s="458"/>
      <c r="E16" s="117"/>
    </row>
    <row r="17" spans="2:5" ht="15.75">
      <c r="B17" s="329"/>
      <c r="C17" s="458"/>
      <c r="D17" s="458"/>
      <c r="E17" s="117"/>
    </row>
    <row r="18" spans="2:5" ht="15.75">
      <c r="B18" s="319" t="s">
        <v>131</v>
      </c>
      <c r="C18" s="458"/>
      <c r="D18" s="458"/>
      <c r="E18" s="117"/>
    </row>
    <row r="19" spans="2:5" ht="15.75">
      <c r="B19" s="320" t="s">
        <v>870</v>
      </c>
      <c r="C19" s="458"/>
      <c r="D19" s="458"/>
      <c r="E19" s="117"/>
    </row>
    <row r="20" spans="2:5" ht="15.75">
      <c r="B20" s="320" t="s">
        <v>722</v>
      </c>
      <c r="C20" s="459">
        <f>IF(C21*0.1&lt;C19,"Exceed 10% Rule","")</f>
      </c>
      <c r="D20" s="459">
        <f>IF(D21*0.1&lt;D19,"Exceed 10% Rule","")</f>
      </c>
      <c r="E20" s="355">
        <f>IF(E21*0.1+E40&lt;E19,"Exceed 10% Rule","")</f>
      </c>
    </row>
    <row r="21" spans="2:5" ht="15.75">
      <c r="B21" s="322" t="s">
        <v>132</v>
      </c>
      <c r="C21" s="460">
        <f>SUM(C9:C19)</f>
        <v>0</v>
      </c>
      <c r="D21" s="460">
        <f>SUM(D9:D19)</f>
        <v>0</v>
      </c>
      <c r="E21" s="363">
        <f>SUM(E9:E19)</f>
        <v>0</v>
      </c>
    </row>
    <row r="22" spans="2:5" ht="15.75">
      <c r="B22" s="322" t="s">
        <v>133</v>
      </c>
      <c r="C22" s="460">
        <f>C7+C21</f>
        <v>0</v>
      </c>
      <c r="D22" s="460">
        <f>D7+D21</f>
        <v>0</v>
      </c>
      <c r="E22" s="363">
        <f>E7+E21</f>
        <v>0</v>
      </c>
    </row>
    <row r="23" spans="2:5" ht="15.75">
      <c r="B23" s="153" t="s">
        <v>136</v>
      </c>
      <c r="C23" s="320"/>
      <c r="D23" s="320"/>
      <c r="E23" s="113"/>
    </row>
    <row r="24" spans="2:5" ht="15.75">
      <c r="B24" s="329"/>
      <c r="C24" s="458"/>
      <c r="D24" s="458"/>
      <c r="E24" s="117"/>
    </row>
    <row r="25" spans="2:5" ht="15.75">
      <c r="B25" s="329"/>
      <c r="C25" s="458"/>
      <c r="D25" s="458"/>
      <c r="E25" s="117"/>
    </row>
    <row r="26" spans="2:5" ht="15.75">
      <c r="B26" s="329"/>
      <c r="C26" s="458"/>
      <c r="D26" s="458"/>
      <c r="E26" s="117"/>
    </row>
    <row r="27" spans="2:5" ht="15.75">
      <c r="B27" s="329"/>
      <c r="C27" s="458"/>
      <c r="D27" s="458"/>
      <c r="E27" s="117"/>
    </row>
    <row r="28" spans="2:5" ht="15.75">
      <c r="B28" s="329"/>
      <c r="C28" s="458"/>
      <c r="D28" s="458"/>
      <c r="E28" s="117"/>
    </row>
    <row r="29" spans="2:5" ht="15.75">
      <c r="B29" s="329"/>
      <c r="C29" s="458"/>
      <c r="D29" s="458"/>
      <c r="E29" s="117"/>
    </row>
    <row r="30" spans="2:5" ht="15.75">
      <c r="B30" s="320" t="s">
        <v>872</v>
      </c>
      <c r="C30" s="458"/>
      <c r="D30" s="458"/>
      <c r="E30" s="125">
        <f>Nhood!E21</f>
      </c>
    </row>
    <row r="31" spans="2:5" ht="15.75">
      <c r="B31" s="320" t="s">
        <v>870</v>
      </c>
      <c r="C31" s="458"/>
      <c r="D31" s="458"/>
      <c r="E31" s="117"/>
    </row>
    <row r="32" spans="2:5" ht="15.75">
      <c r="B32" s="320" t="s">
        <v>721</v>
      </c>
      <c r="C32" s="459">
        <f>IF(C33*0.1&lt;C31,"Exceed 10% Rule","")</f>
      </c>
      <c r="D32" s="459">
        <f>IF(D33*0.1&lt;D31,"Exceed 10% Rule","")</f>
      </c>
      <c r="E32" s="355">
        <f>IF(E33*0.1&lt;E31,"Exceed 10% Rule","")</f>
      </c>
    </row>
    <row r="33" spans="2:5" ht="15.75">
      <c r="B33" s="322" t="s">
        <v>137</v>
      </c>
      <c r="C33" s="460">
        <f>SUM(C24:C31)</f>
        <v>0</v>
      </c>
      <c r="D33" s="460">
        <f>SUM(D24:D31)</f>
        <v>0</v>
      </c>
      <c r="E33" s="363">
        <f>SUM(E24:E31)</f>
        <v>0</v>
      </c>
    </row>
    <row r="34" spans="2:5" ht="15.75">
      <c r="B34" s="153" t="s">
        <v>254</v>
      </c>
      <c r="C34" s="463">
        <f>C22-C33</f>
        <v>0</v>
      </c>
      <c r="D34" s="463">
        <f>D22-D33</f>
        <v>0</v>
      </c>
      <c r="E34" s="348" t="s">
        <v>111</v>
      </c>
    </row>
    <row r="35" spans="2:6" ht="15.75">
      <c r="B35" s="298" t="str">
        <f>CONCATENATE("",E$1-2,"/",E$1-1," Budget Authority Amount:")</f>
        <v>2010/2011 Budget Authority Amount:</v>
      </c>
      <c r="C35" s="290">
        <f>inputOth!B46</f>
        <v>0</v>
      </c>
      <c r="D35" s="290">
        <f>inputPrYr!D31</f>
        <v>0</v>
      </c>
      <c r="E35" s="348" t="s">
        <v>111</v>
      </c>
      <c r="F35" s="331"/>
    </row>
    <row r="36" spans="2:6" ht="15.75">
      <c r="B36" s="298"/>
      <c r="C36" s="729" t="s">
        <v>725</v>
      </c>
      <c r="D36" s="730"/>
      <c r="E36" s="117"/>
      <c r="F36" s="331">
        <f>IF(E33/0.95-E33&lt;E36,"Exceeds 5%","")</f>
      </c>
    </row>
    <row r="37" spans="2:5" ht="15.75">
      <c r="B37" s="538" t="str">
        <f>CONCATENATE(C88,"     ",D88)</f>
        <v>     </v>
      </c>
      <c r="C37" s="731" t="s">
        <v>726</v>
      </c>
      <c r="D37" s="732"/>
      <c r="E37" s="276">
        <f>E33+E36</f>
        <v>0</v>
      </c>
    </row>
    <row r="38" spans="2:5" ht="15.75">
      <c r="B38" s="538" t="str">
        <f>CONCATENATE(C89,"     ",D89)</f>
        <v>     </v>
      </c>
      <c r="C38" s="332"/>
      <c r="D38" s="252" t="s">
        <v>138</v>
      </c>
      <c r="E38" s="125">
        <f>IF(E37-E22&gt;0,E37-E22,0)</f>
        <v>0</v>
      </c>
    </row>
    <row r="39" spans="2:5" ht="15.75">
      <c r="B39" s="252"/>
      <c r="C39" s="536" t="s">
        <v>727</v>
      </c>
      <c r="D39" s="508">
        <f>inputOth!$E$24</f>
        <v>0</v>
      </c>
      <c r="E39" s="276">
        <f>ROUND(IF(D39&gt;0,($E$38*D39),0),0)</f>
        <v>0</v>
      </c>
    </row>
    <row r="40" spans="2:5" ht="15.75">
      <c r="B40" s="90"/>
      <c r="C40" s="727" t="str">
        <f>CONCATENATE("Amount of  ",$E$1-1," Ad Valorem Tax")</f>
        <v>Amount of  2011 Ad Valorem Tax</v>
      </c>
      <c r="D40" s="728"/>
      <c r="E40" s="359">
        <f>E38+E39</f>
        <v>0</v>
      </c>
    </row>
    <row r="41" spans="2:5" ht="15.75">
      <c r="B41" s="90"/>
      <c r="C41" s="338"/>
      <c r="D41" s="338"/>
      <c r="E41" s="338"/>
    </row>
    <row r="42" spans="2:5" ht="15.75">
      <c r="B42" s="89" t="s">
        <v>123</v>
      </c>
      <c r="C42" s="481" t="str">
        <f aca="true" t="shared" si="0" ref="C42:E43">C5</f>
        <v>Prior Year Actual</v>
      </c>
      <c r="D42" s="480" t="str">
        <f t="shared" si="0"/>
        <v>Current Year Estimate</v>
      </c>
      <c r="E42" s="482" t="str">
        <f t="shared" si="0"/>
        <v>Proposed Budget Year</v>
      </c>
    </row>
    <row r="43" spans="2:5" ht="15.75">
      <c r="B43" s="515" t="str">
        <f>inputPrYr!B32</f>
        <v> </v>
      </c>
      <c r="C43" s="461">
        <f t="shared" si="0"/>
        <v>2010</v>
      </c>
      <c r="D43" s="461">
        <f t="shared" si="0"/>
        <v>2011</v>
      </c>
      <c r="E43" s="313">
        <f t="shared" si="0"/>
        <v>2012</v>
      </c>
    </row>
    <row r="44" spans="2:5" ht="15.75">
      <c r="B44" s="153" t="s">
        <v>253</v>
      </c>
      <c r="C44" s="458"/>
      <c r="D44" s="462">
        <f>C71</f>
        <v>0</v>
      </c>
      <c r="E44" s="276">
        <f>D71</f>
        <v>0</v>
      </c>
    </row>
    <row r="45" spans="2:5" ht="15.75">
      <c r="B45" s="314" t="s">
        <v>255</v>
      </c>
      <c r="C45" s="316"/>
      <c r="D45" s="316"/>
      <c r="E45" s="132"/>
    </row>
    <row r="46" spans="2:5" ht="15.75">
      <c r="B46" s="153" t="s">
        <v>124</v>
      </c>
      <c r="C46" s="458"/>
      <c r="D46" s="462">
        <f>inputPrYr!E32</f>
        <v>0</v>
      </c>
      <c r="E46" s="348" t="s">
        <v>111</v>
      </c>
    </row>
    <row r="47" spans="2:5" ht="15.75">
      <c r="B47" s="153" t="s">
        <v>125</v>
      </c>
      <c r="C47" s="458"/>
      <c r="D47" s="458"/>
      <c r="E47" s="117"/>
    </row>
    <row r="48" spans="2:5" ht="15.75">
      <c r="B48" s="153" t="s">
        <v>126</v>
      </c>
      <c r="C48" s="458"/>
      <c r="D48" s="458"/>
      <c r="E48" s="276" t="str">
        <f>mvalloc!D24</f>
        <v>  </v>
      </c>
    </row>
    <row r="49" spans="2:5" ht="15.75">
      <c r="B49" s="153" t="s">
        <v>127</v>
      </c>
      <c r="C49" s="458"/>
      <c r="D49" s="458"/>
      <c r="E49" s="276" t="str">
        <f>mvalloc!E24</f>
        <v>  </v>
      </c>
    </row>
    <row r="50" spans="2:5" ht="15.75">
      <c r="B50" s="316" t="s">
        <v>202</v>
      </c>
      <c r="C50" s="458"/>
      <c r="D50" s="458"/>
      <c r="E50" s="276" t="str">
        <f>mvalloc!F24</f>
        <v>  </v>
      </c>
    </row>
    <row r="51" spans="2:5" ht="15.75">
      <c r="B51" s="316" t="s">
        <v>304</v>
      </c>
      <c r="C51" s="458"/>
      <c r="D51" s="458"/>
      <c r="E51" s="276" t="str">
        <f>mvalloc!G24</f>
        <v> </v>
      </c>
    </row>
    <row r="52" spans="2:5" ht="15.75">
      <c r="B52" s="329"/>
      <c r="C52" s="458"/>
      <c r="D52" s="458"/>
      <c r="E52" s="117"/>
    </row>
    <row r="53" spans="2:5" ht="15.75">
      <c r="B53" s="329"/>
      <c r="C53" s="458"/>
      <c r="D53" s="458"/>
      <c r="E53" s="117"/>
    </row>
    <row r="54" spans="2:5" ht="15.75">
      <c r="B54" s="329"/>
      <c r="C54" s="458"/>
      <c r="D54" s="458"/>
      <c r="E54" s="117"/>
    </row>
    <row r="55" spans="2:5" ht="15.75">
      <c r="B55" s="319" t="s">
        <v>131</v>
      </c>
      <c r="C55" s="458"/>
      <c r="D55" s="458"/>
      <c r="E55" s="117"/>
    </row>
    <row r="56" spans="2:5" ht="15.75">
      <c r="B56" s="320" t="s">
        <v>870</v>
      </c>
      <c r="C56" s="458"/>
      <c r="D56" s="458"/>
      <c r="E56" s="117"/>
    </row>
    <row r="57" spans="2:5" ht="15.75">
      <c r="B57" s="320" t="s">
        <v>722</v>
      </c>
      <c r="C57" s="459">
        <f>IF(C58*0.1&lt;C56,"Exceed 10% Rule","")</f>
      </c>
      <c r="D57" s="459">
        <f>IF(D58*0.1&lt;D56,"Exceed 10% Rule","")</f>
      </c>
      <c r="E57" s="355">
        <f>IF(E58*0.1+E77&lt;E56,"Exceed 10% Rule","")</f>
      </c>
    </row>
    <row r="58" spans="2:5" ht="15.75">
      <c r="B58" s="322" t="s">
        <v>132</v>
      </c>
      <c r="C58" s="460">
        <f>SUM(C46:C56)</f>
        <v>0</v>
      </c>
      <c r="D58" s="460">
        <f>SUM(D46:D56)</f>
        <v>0</v>
      </c>
      <c r="E58" s="363">
        <f>SUM(E46:E56)</f>
        <v>0</v>
      </c>
    </row>
    <row r="59" spans="2:5" ht="15.75">
      <c r="B59" s="322" t="s">
        <v>133</v>
      </c>
      <c r="C59" s="460">
        <f>C44+C58</f>
        <v>0</v>
      </c>
      <c r="D59" s="460">
        <f>D44+D58</f>
        <v>0</v>
      </c>
      <c r="E59" s="363">
        <f>E44+E58</f>
        <v>0</v>
      </c>
    </row>
    <row r="60" spans="2:5" ht="15.75">
      <c r="B60" s="153" t="s">
        <v>136</v>
      </c>
      <c r="C60" s="320"/>
      <c r="D60" s="320"/>
      <c r="E60" s="113"/>
    </row>
    <row r="61" spans="2:5" ht="15.75">
      <c r="B61" s="329"/>
      <c r="C61" s="458"/>
      <c r="D61" s="458"/>
      <c r="E61" s="117"/>
    </row>
    <row r="62" spans="2:5" ht="15.75">
      <c r="B62" s="329"/>
      <c r="C62" s="458"/>
      <c r="D62" s="458"/>
      <c r="E62" s="117"/>
    </row>
    <row r="63" spans="2:5" ht="15.75">
      <c r="B63" s="329"/>
      <c r="C63" s="458"/>
      <c r="D63" s="458"/>
      <c r="E63" s="117"/>
    </row>
    <row r="64" spans="2:5" ht="15.75">
      <c r="B64" s="329"/>
      <c r="C64" s="458"/>
      <c r="D64" s="458"/>
      <c r="E64" s="117"/>
    </row>
    <row r="65" spans="2:5" ht="15.75">
      <c r="B65" s="329"/>
      <c r="C65" s="458"/>
      <c r="D65" s="458"/>
      <c r="E65" s="117"/>
    </row>
    <row r="66" spans="2:5" ht="15.75">
      <c r="B66" s="329"/>
      <c r="C66" s="458"/>
      <c r="D66" s="458"/>
      <c r="E66" s="117"/>
    </row>
    <row r="67" spans="2:5" ht="15.75">
      <c r="B67" s="320" t="s">
        <v>872</v>
      </c>
      <c r="C67" s="458"/>
      <c r="D67" s="458"/>
      <c r="E67" s="125">
        <f>Nhood!E22</f>
      </c>
    </row>
    <row r="68" spans="2:5" ht="15.75">
      <c r="B68" s="320" t="s">
        <v>870</v>
      </c>
      <c r="C68" s="458"/>
      <c r="D68" s="458"/>
      <c r="E68" s="117"/>
    </row>
    <row r="69" spans="2:5" ht="15.75">
      <c r="B69" s="320" t="s">
        <v>721</v>
      </c>
      <c r="C69" s="459">
        <f>IF(C70*0.1&lt;C68,"Exceed 10% Rule","")</f>
      </c>
      <c r="D69" s="459">
        <f>IF(D70*0.1&lt;D68,"Exceed 10% Rule","")</f>
      </c>
      <c r="E69" s="355">
        <f>IF(E70*0.1&lt;E68,"Exceed 10% Rule","")</f>
      </c>
    </row>
    <row r="70" spans="2:5" ht="15.75">
      <c r="B70" s="322" t="s">
        <v>137</v>
      </c>
      <c r="C70" s="460">
        <f>SUM(C61:C68)</f>
        <v>0</v>
      </c>
      <c r="D70" s="460">
        <f>SUM(D61:D68)</f>
        <v>0</v>
      </c>
      <c r="E70" s="363">
        <f>SUM(E61:E68)</f>
        <v>0</v>
      </c>
    </row>
    <row r="71" spans="2:5" ht="15.75">
      <c r="B71" s="153" t="s">
        <v>254</v>
      </c>
      <c r="C71" s="463">
        <f>C59-C70</f>
        <v>0</v>
      </c>
      <c r="D71" s="463">
        <f>D59-D70</f>
        <v>0</v>
      </c>
      <c r="E71" s="348" t="s">
        <v>111</v>
      </c>
    </row>
    <row r="72" spans="2:6" ht="15.75">
      <c r="B72" s="298" t="str">
        <f>CONCATENATE("",E$1-2,"/",E$1-1," Budget Authority Amount:")</f>
        <v>2010/2011 Budget Authority Amount:</v>
      </c>
      <c r="C72" s="290">
        <f>inputOth!B47</f>
        <v>0</v>
      </c>
      <c r="D72" s="290">
        <f>inputPrYr!D32</f>
        <v>0</v>
      </c>
      <c r="E72" s="348" t="s">
        <v>111</v>
      </c>
      <c r="F72" s="331"/>
    </row>
    <row r="73" spans="2:6" ht="15.75">
      <c r="B73" s="298"/>
      <c r="C73" s="729" t="s">
        <v>725</v>
      </c>
      <c r="D73" s="730"/>
      <c r="E73" s="117"/>
      <c r="F73" s="331">
        <f>IF(E70/0.95-E70&lt;E73,"Exceeds 5%","")</f>
      </c>
    </row>
    <row r="74" spans="2:5" ht="15.75">
      <c r="B74" s="537" t="str">
        <f>CONCATENATE(C90,"     ",D90)</f>
        <v>     </v>
      </c>
      <c r="C74" s="731" t="s">
        <v>726</v>
      </c>
      <c r="D74" s="732"/>
      <c r="E74" s="276">
        <f>E70+E73</f>
        <v>0</v>
      </c>
    </row>
    <row r="75" spans="2:5" ht="15.75">
      <c r="B75" s="537" t="str">
        <f>CONCATENATE(C91,"     ",D91)</f>
        <v>     </v>
      </c>
      <c r="C75" s="332"/>
      <c r="D75" s="252" t="s">
        <v>138</v>
      </c>
      <c r="E75" s="125">
        <f>IF(E74-E59&gt;0,E74-E59,0)</f>
        <v>0</v>
      </c>
    </row>
    <row r="76" spans="2:5" ht="15.75">
      <c r="B76" s="252"/>
      <c r="C76" s="536" t="s">
        <v>727</v>
      </c>
      <c r="D76" s="508">
        <f>inputOth!$E$24</f>
        <v>0</v>
      </c>
      <c r="E76" s="276">
        <f>ROUND(IF(D76&gt;0,($E$75*D76),0),0)</f>
        <v>0</v>
      </c>
    </row>
    <row r="77" spans="2:5" ht="15.75">
      <c r="B77" s="90"/>
      <c r="C77" s="727" t="str">
        <f>CONCATENATE("Amount of  ",$E$1-1," Ad Valorem Tax")</f>
        <v>Amount of  2011 Ad Valorem Tax</v>
      </c>
      <c r="D77" s="728"/>
      <c r="E77" s="359">
        <f>E75+E76</f>
        <v>0</v>
      </c>
    </row>
    <row r="78" spans="2:5" ht="15.75">
      <c r="B78" s="298" t="s">
        <v>160</v>
      </c>
      <c r="C78" s="360"/>
      <c r="D78" s="90"/>
      <c r="E78" s="90"/>
    </row>
    <row r="88" spans="3:4" ht="15.75" hidden="1">
      <c r="C88" s="77">
        <f>IF(C33&gt;C35,"See Tab A","")</f>
      </c>
      <c r="D88" s="77">
        <f>IF(D33&gt;D35,"See Tab C","")</f>
      </c>
    </row>
    <row r="89" spans="3:4" ht="15.75" hidden="1">
      <c r="C89" s="77">
        <f>IF(C34&lt;0,"See Tab B","")</f>
      </c>
      <c r="D89" s="77">
        <f>IF(D34&lt;0,"See Tab D","")</f>
      </c>
    </row>
    <row r="90" spans="3:4" ht="15.75" hidden="1">
      <c r="C90" s="77">
        <f>IF(C70&gt;C72,"See Tab A","")</f>
      </c>
      <c r="D90" s="77">
        <f>IF(D70&gt;D72,"See Tab C","")</f>
      </c>
    </row>
    <row r="91" spans="3:4" ht="15.75" hidden="1">
      <c r="C91" s="77">
        <f>IF(C71&lt;0,"See Tab B","")</f>
      </c>
      <c r="D91" s="77">
        <f>IF(D71&lt;0,"See Tab D","")</f>
      </c>
    </row>
  </sheetData>
  <sheetProtection sheet="1"/>
  <mergeCells count="6">
    <mergeCell ref="C77:D77"/>
    <mergeCell ref="C40:D40"/>
    <mergeCell ref="C36:D36"/>
    <mergeCell ref="C37:D37"/>
    <mergeCell ref="C73:D73"/>
    <mergeCell ref="C74:D74"/>
  </mergeCells>
  <conditionalFormatting sqref="E68">
    <cfRule type="cellIs" priority="3" dxfId="405" operator="greaterThan" stopIfTrue="1">
      <formula>$E$70*0.1</formula>
    </cfRule>
  </conditionalFormatting>
  <conditionalFormatting sqref="E73">
    <cfRule type="cellIs" priority="4" dxfId="405" operator="greaterThan" stopIfTrue="1">
      <formula>$E$70/0.95-$E$70</formula>
    </cfRule>
  </conditionalFormatting>
  <conditionalFormatting sqref="E36">
    <cfRule type="cellIs" priority="5" dxfId="405" operator="greaterThan" stopIfTrue="1">
      <formula>$E$33/0.95-$E$33</formula>
    </cfRule>
  </conditionalFormatting>
  <conditionalFormatting sqref="E31">
    <cfRule type="cellIs" priority="6" dxfId="405" operator="greaterThan" stopIfTrue="1">
      <formula>$E$33*0.1</formula>
    </cfRule>
  </conditionalFormatting>
  <conditionalFormatting sqref="C71 C34">
    <cfRule type="cellIs" priority="7" dxfId="2" operator="lessThan" stopIfTrue="1">
      <formula>0</formula>
    </cfRule>
  </conditionalFormatting>
  <conditionalFormatting sqref="C70">
    <cfRule type="cellIs" priority="8" dxfId="2" operator="greaterThan" stopIfTrue="1">
      <formula>$C$72</formula>
    </cfRule>
  </conditionalFormatting>
  <conditionalFormatting sqref="D70">
    <cfRule type="cellIs" priority="9" dxfId="2" operator="greaterThan" stopIfTrue="1">
      <formula>$D$72</formula>
    </cfRule>
  </conditionalFormatting>
  <conditionalFormatting sqref="C68">
    <cfRule type="cellIs" priority="10" dxfId="2" operator="greaterThan" stopIfTrue="1">
      <formula>$C$70*0.1</formula>
    </cfRule>
  </conditionalFormatting>
  <conditionalFormatting sqref="D68">
    <cfRule type="cellIs" priority="11" dxfId="2" operator="greaterThan" stopIfTrue="1">
      <formula>$D$70*0.1</formula>
    </cfRule>
  </conditionalFormatting>
  <conditionalFormatting sqref="E56">
    <cfRule type="cellIs" priority="12" dxfId="405" operator="greaterThan" stopIfTrue="1">
      <formula>$E$58*0.1+E77</formula>
    </cfRule>
  </conditionalFormatting>
  <conditionalFormatting sqref="C56">
    <cfRule type="cellIs" priority="13" dxfId="2" operator="greaterThan" stopIfTrue="1">
      <formula>$C$58*0.1</formula>
    </cfRule>
  </conditionalFormatting>
  <conditionalFormatting sqref="D56">
    <cfRule type="cellIs" priority="14" dxfId="2" operator="greaterThan" stopIfTrue="1">
      <formula>$D$58*0.1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9">
    <cfRule type="cellIs" priority="19" dxfId="405" operator="greaterThan" stopIfTrue="1">
      <formula>$E$21*0.1+E40</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44.xml><?xml version="1.0" encoding="utf-8"?>
<worksheet xmlns="http://schemas.openxmlformats.org/spreadsheetml/2006/main" xmlns:r="http://schemas.openxmlformats.org/officeDocument/2006/relationships">
  <sheetPr>
    <pageSetUpPr fitToPage="1"/>
  </sheetPr>
  <dimension ref="B1:F91"/>
  <sheetViews>
    <sheetView tabSelected="1" zoomScalePageLayoutView="0" workbookViewId="0" topLeftCell="A1">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344"/>
      <c r="D3" s="344"/>
      <c r="E3" s="345"/>
    </row>
    <row r="4" spans="2:5" ht="15.75">
      <c r="B4" s="90"/>
      <c r="C4" s="338"/>
      <c r="D4" s="338"/>
      <c r="E4" s="338"/>
    </row>
    <row r="5" spans="2:5" ht="15.75">
      <c r="B5" s="89" t="s">
        <v>123</v>
      </c>
      <c r="C5" s="481" t="str">
        <f>general!C4</f>
        <v>Prior Year Actual</v>
      </c>
      <c r="D5" s="480" t="str">
        <f>general!D4</f>
        <v>Current Year Estimate</v>
      </c>
      <c r="E5" s="482" t="str">
        <f>general!E4</f>
        <v>Proposed Budget Year</v>
      </c>
    </row>
    <row r="6" spans="2:5" ht="15.75">
      <c r="B6" s="516" t="str">
        <f>inputPrYr!B33</f>
        <v> </v>
      </c>
      <c r="C6" s="461">
        <f>general!$C$5</f>
        <v>2010</v>
      </c>
      <c r="D6" s="461">
        <f>general!D5</f>
        <v>2011</v>
      </c>
      <c r="E6" s="313">
        <f>general!E5</f>
        <v>2012</v>
      </c>
    </row>
    <row r="7" spans="2:5" ht="15.75">
      <c r="B7" s="153" t="s">
        <v>253</v>
      </c>
      <c r="C7" s="458"/>
      <c r="D7" s="462">
        <f>C34</f>
        <v>0</v>
      </c>
      <c r="E7" s="276">
        <f>D34</f>
        <v>0</v>
      </c>
    </row>
    <row r="8" spans="2:5" ht="15.75">
      <c r="B8" s="301" t="s">
        <v>255</v>
      </c>
      <c r="C8" s="316"/>
      <c r="D8" s="316"/>
      <c r="E8" s="132"/>
    </row>
    <row r="9" spans="2:5" ht="15.75">
      <c r="B9" s="153" t="s">
        <v>124</v>
      </c>
      <c r="C9" s="458"/>
      <c r="D9" s="462">
        <f>inputPrYr!E33</f>
        <v>0</v>
      </c>
      <c r="E9" s="348" t="s">
        <v>111</v>
      </c>
    </row>
    <row r="10" spans="2:5" ht="15.75">
      <c r="B10" s="153" t="s">
        <v>125</v>
      </c>
      <c r="C10" s="458"/>
      <c r="D10" s="458"/>
      <c r="E10" s="117"/>
    </row>
    <row r="11" spans="2:5" ht="15.75">
      <c r="B11" s="153" t="s">
        <v>126</v>
      </c>
      <c r="C11" s="458"/>
      <c r="D11" s="458"/>
      <c r="E11" s="276" t="str">
        <f>mvalloc!D25</f>
        <v>  </v>
      </c>
    </row>
    <row r="12" spans="2:5" ht="15.75">
      <c r="B12" s="153" t="s">
        <v>127</v>
      </c>
      <c r="C12" s="458"/>
      <c r="D12" s="458"/>
      <c r="E12" s="276" t="str">
        <f>mvalloc!E25</f>
        <v>  </v>
      </c>
    </row>
    <row r="13" spans="2:5" ht="15.75">
      <c r="B13" s="316" t="s">
        <v>202</v>
      </c>
      <c r="C13" s="458"/>
      <c r="D13" s="458"/>
      <c r="E13" s="276" t="str">
        <f>mvalloc!F25</f>
        <v>  </v>
      </c>
    </row>
    <row r="14" spans="2:5" ht="15.75">
      <c r="B14" s="316" t="s">
        <v>304</v>
      </c>
      <c r="C14" s="458"/>
      <c r="D14" s="458"/>
      <c r="E14" s="276" t="str">
        <f>mvalloc!G25</f>
        <v> </v>
      </c>
    </row>
    <row r="15" spans="2:5" ht="15.75">
      <c r="B15" s="329"/>
      <c r="C15" s="458"/>
      <c r="D15" s="458"/>
      <c r="E15" s="117"/>
    </row>
    <row r="16" spans="2:5" ht="15.75">
      <c r="B16" s="329"/>
      <c r="C16" s="458"/>
      <c r="D16" s="458"/>
      <c r="E16" s="117"/>
    </row>
    <row r="17" spans="2:5" ht="15.75">
      <c r="B17" s="329"/>
      <c r="C17" s="458"/>
      <c r="D17" s="458"/>
      <c r="E17" s="117"/>
    </row>
    <row r="18" spans="2:5" ht="15.75">
      <c r="B18" s="319" t="s">
        <v>131</v>
      </c>
      <c r="C18" s="458"/>
      <c r="D18" s="458"/>
      <c r="E18" s="117"/>
    </row>
    <row r="19" spans="2:5" ht="15.75">
      <c r="B19" s="320" t="s">
        <v>870</v>
      </c>
      <c r="C19" s="458"/>
      <c r="D19" s="458"/>
      <c r="E19" s="117"/>
    </row>
    <row r="20" spans="2:5" ht="15.75">
      <c r="B20" s="320" t="s">
        <v>722</v>
      </c>
      <c r="C20" s="459">
        <f>IF(C21*0.1&lt;C19,"Exceed 10% Rule","")</f>
      </c>
      <c r="D20" s="459">
        <f>IF(D21*0.1&lt;D19,"Exceed 10% Rule","")</f>
      </c>
      <c r="E20" s="355">
        <f>IF(E21*0.1+E40&lt;E19,"Exceed 10% Rule","")</f>
      </c>
    </row>
    <row r="21" spans="2:5" ht="15.75">
      <c r="B21" s="322" t="s">
        <v>132</v>
      </c>
      <c r="C21" s="460">
        <f>SUM(C9:C19)</f>
        <v>0</v>
      </c>
      <c r="D21" s="460">
        <f>SUM(D9:D19)</f>
        <v>0</v>
      </c>
      <c r="E21" s="363">
        <f>SUM(E9:E19)</f>
        <v>0</v>
      </c>
    </row>
    <row r="22" spans="2:5" ht="15.75">
      <c r="B22" s="322" t="s">
        <v>133</v>
      </c>
      <c r="C22" s="460">
        <f>C7+C21</f>
        <v>0</v>
      </c>
      <c r="D22" s="460">
        <f>D7+D21</f>
        <v>0</v>
      </c>
      <c r="E22" s="363">
        <f>E7+E21</f>
        <v>0</v>
      </c>
    </row>
    <row r="23" spans="2:5" ht="15.75">
      <c r="B23" s="153" t="s">
        <v>136</v>
      </c>
      <c r="C23" s="320"/>
      <c r="D23" s="320"/>
      <c r="E23" s="113"/>
    </row>
    <row r="24" spans="2:5" ht="15.75">
      <c r="B24" s="329"/>
      <c r="C24" s="458"/>
      <c r="D24" s="458"/>
      <c r="E24" s="117"/>
    </row>
    <row r="25" spans="2:5" ht="15.75">
      <c r="B25" s="329"/>
      <c r="C25" s="458"/>
      <c r="D25" s="458"/>
      <c r="E25" s="117"/>
    </row>
    <row r="26" spans="2:5" ht="15.75">
      <c r="B26" s="329"/>
      <c r="C26" s="458"/>
      <c r="D26" s="458"/>
      <c r="E26" s="117"/>
    </row>
    <row r="27" spans="2:5" ht="15.75">
      <c r="B27" s="329"/>
      <c r="C27" s="458"/>
      <c r="D27" s="458"/>
      <c r="E27" s="117"/>
    </row>
    <row r="28" spans="2:5" ht="15.75">
      <c r="B28" s="329"/>
      <c r="C28" s="458"/>
      <c r="D28" s="458"/>
      <c r="E28" s="117"/>
    </row>
    <row r="29" spans="2:5" ht="15.75">
      <c r="B29" s="329"/>
      <c r="C29" s="458"/>
      <c r="D29" s="458"/>
      <c r="E29" s="117"/>
    </row>
    <row r="30" spans="2:5" ht="15.75">
      <c r="B30" s="320" t="s">
        <v>872</v>
      </c>
      <c r="C30" s="458"/>
      <c r="D30" s="458"/>
      <c r="E30" s="125">
        <f>Nhood!E23</f>
      </c>
    </row>
    <row r="31" spans="2:5" ht="15.75">
      <c r="B31" s="320" t="s">
        <v>870</v>
      </c>
      <c r="C31" s="458"/>
      <c r="D31" s="458"/>
      <c r="E31" s="117"/>
    </row>
    <row r="32" spans="2:5" ht="15.75">
      <c r="B32" s="320" t="s">
        <v>721</v>
      </c>
      <c r="C32" s="459">
        <f>IF(C33*0.1&lt;C31,"Exceed 10% Rule","")</f>
      </c>
      <c r="D32" s="459">
        <f>IF(D33*0.1&lt;D31,"Exceed 10% Rule","")</f>
      </c>
      <c r="E32" s="355">
        <f>IF(E33*0.1&lt;E31,"Exceed 10% Rule","")</f>
      </c>
    </row>
    <row r="33" spans="2:5" ht="15.75">
      <c r="B33" s="322" t="s">
        <v>137</v>
      </c>
      <c r="C33" s="460">
        <f>SUM(C24:C31)</f>
        <v>0</v>
      </c>
      <c r="D33" s="460">
        <f>SUM(D24:D31)</f>
        <v>0</v>
      </c>
      <c r="E33" s="363">
        <f>SUM(E24:E31)</f>
        <v>0</v>
      </c>
    </row>
    <row r="34" spans="2:5" ht="15.75">
      <c r="B34" s="153" t="s">
        <v>254</v>
      </c>
      <c r="C34" s="463">
        <f>C22-C33</f>
        <v>0</v>
      </c>
      <c r="D34" s="463">
        <f>D22-D33</f>
        <v>0</v>
      </c>
      <c r="E34" s="348" t="s">
        <v>111</v>
      </c>
    </row>
    <row r="35" spans="2:6" ht="15.75">
      <c r="B35" s="298" t="str">
        <f>CONCATENATE("",E$1-2,"/",E$1-1," Budget Authority Amount:")</f>
        <v>2010/2011 Budget Authority Amount:</v>
      </c>
      <c r="C35" s="290">
        <f>inputOth!B48</f>
        <v>0</v>
      </c>
      <c r="D35" s="290">
        <f>inputPrYr!D33</f>
        <v>0</v>
      </c>
      <c r="E35" s="348" t="s">
        <v>111</v>
      </c>
      <c r="F35" s="331"/>
    </row>
    <row r="36" spans="2:6" ht="15.75">
      <c r="B36" s="298"/>
      <c r="C36" s="729" t="s">
        <v>725</v>
      </c>
      <c r="D36" s="730"/>
      <c r="E36" s="117"/>
      <c r="F36" s="331">
        <f>IF(E33/0.95-E33&lt;E36,"Exceeds 5%","")</f>
      </c>
    </row>
    <row r="37" spans="2:5" ht="15.75">
      <c r="B37" s="538" t="str">
        <f>CONCATENATE(C88,"     ",D88)</f>
        <v>     </v>
      </c>
      <c r="C37" s="731" t="s">
        <v>726</v>
      </c>
      <c r="D37" s="732"/>
      <c r="E37" s="276">
        <f>E33+E36</f>
        <v>0</v>
      </c>
    </row>
    <row r="38" spans="2:5" ht="15.75">
      <c r="B38" s="538" t="str">
        <f>CONCATENATE(C89,"     ",D89)</f>
        <v>     </v>
      </c>
      <c r="C38" s="332"/>
      <c r="D38" s="252" t="s">
        <v>138</v>
      </c>
      <c r="E38" s="125">
        <f>IF(E37-E22&gt;0,E37-E22,0)</f>
        <v>0</v>
      </c>
    </row>
    <row r="39" spans="2:5" ht="15.75">
      <c r="B39" s="252"/>
      <c r="C39" s="536" t="s">
        <v>727</v>
      </c>
      <c r="D39" s="508">
        <f>inputOth!$E$24</f>
        <v>0</v>
      </c>
      <c r="E39" s="276">
        <f>ROUND(IF(D39&gt;0,($E$38*D39),0),0)</f>
        <v>0</v>
      </c>
    </row>
    <row r="40" spans="2:5" ht="15.75">
      <c r="B40" s="90"/>
      <c r="C40" s="727" t="str">
        <f>CONCATENATE("Amount of  ",$E$1-1," Ad Valorem Tax")</f>
        <v>Amount of  2011 Ad Valorem Tax</v>
      </c>
      <c r="D40" s="728"/>
      <c r="E40" s="359">
        <f>E38+E39</f>
        <v>0</v>
      </c>
    </row>
    <row r="41" spans="2:5" ht="15.75">
      <c r="B41" s="89"/>
      <c r="C41" s="338"/>
      <c r="D41" s="338"/>
      <c r="E41" s="338"/>
    </row>
    <row r="42" spans="2:5" ht="15.75">
      <c r="B42" s="89" t="s">
        <v>123</v>
      </c>
      <c r="C42" s="481" t="str">
        <f aca="true" t="shared" si="0" ref="C42:E43">C5</f>
        <v>Prior Year Actual</v>
      </c>
      <c r="D42" s="480" t="str">
        <f t="shared" si="0"/>
        <v>Current Year Estimate</v>
      </c>
      <c r="E42" s="482" t="str">
        <f t="shared" si="0"/>
        <v>Proposed Budget Year</v>
      </c>
    </row>
    <row r="43" spans="2:5" ht="15.75">
      <c r="B43" s="515" t="str">
        <f>inputPrYr!B34</f>
        <v> </v>
      </c>
      <c r="C43" s="461">
        <f t="shared" si="0"/>
        <v>2010</v>
      </c>
      <c r="D43" s="461">
        <f t="shared" si="0"/>
        <v>2011</v>
      </c>
      <c r="E43" s="313">
        <f t="shared" si="0"/>
        <v>2012</v>
      </c>
    </row>
    <row r="44" spans="2:5" ht="15.75">
      <c r="B44" s="153" t="s">
        <v>253</v>
      </c>
      <c r="C44" s="458"/>
      <c r="D44" s="462">
        <f>C71</f>
        <v>0</v>
      </c>
      <c r="E44" s="276">
        <f>D71</f>
        <v>0</v>
      </c>
    </row>
    <row r="45" spans="2:5" ht="15.75">
      <c r="B45" s="314" t="s">
        <v>255</v>
      </c>
      <c r="C45" s="316"/>
      <c r="D45" s="316"/>
      <c r="E45" s="132"/>
    </row>
    <row r="46" spans="2:5" ht="15.75">
      <c r="B46" s="153" t="s">
        <v>124</v>
      </c>
      <c r="C46" s="458"/>
      <c r="D46" s="462">
        <f>inputPrYr!E34</f>
        <v>0</v>
      </c>
      <c r="E46" s="348" t="s">
        <v>111</v>
      </c>
    </row>
    <row r="47" spans="2:5" ht="15.75">
      <c r="B47" s="153" t="s">
        <v>125</v>
      </c>
      <c r="C47" s="458"/>
      <c r="D47" s="458"/>
      <c r="E47" s="117"/>
    </row>
    <row r="48" spans="2:5" ht="15.75">
      <c r="B48" s="153" t="s">
        <v>126</v>
      </c>
      <c r="C48" s="458"/>
      <c r="D48" s="458"/>
      <c r="E48" s="276" t="str">
        <f>mvalloc!D26</f>
        <v>  </v>
      </c>
    </row>
    <row r="49" spans="2:5" ht="15.75">
      <c r="B49" s="153" t="s">
        <v>127</v>
      </c>
      <c r="C49" s="458"/>
      <c r="D49" s="458"/>
      <c r="E49" s="276" t="str">
        <f>mvalloc!E26</f>
        <v>  </v>
      </c>
    </row>
    <row r="50" spans="2:5" ht="15.75">
      <c r="B50" s="316" t="s">
        <v>202</v>
      </c>
      <c r="C50" s="458"/>
      <c r="D50" s="458"/>
      <c r="E50" s="276" t="str">
        <f>mvalloc!F26</f>
        <v>  </v>
      </c>
    </row>
    <row r="51" spans="2:5" ht="15.75">
      <c r="B51" s="316" t="s">
        <v>304</v>
      </c>
      <c r="C51" s="458"/>
      <c r="D51" s="458"/>
      <c r="E51" s="276" t="str">
        <f>mvalloc!G26</f>
        <v> </v>
      </c>
    </row>
    <row r="52" spans="2:5" ht="15.75">
      <c r="B52" s="329"/>
      <c r="C52" s="458"/>
      <c r="D52" s="458"/>
      <c r="E52" s="117"/>
    </row>
    <row r="53" spans="2:5" ht="15.75">
      <c r="B53" s="329"/>
      <c r="C53" s="458"/>
      <c r="D53" s="458"/>
      <c r="E53" s="117"/>
    </row>
    <row r="54" spans="2:5" ht="15.75">
      <c r="B54" s="319"/>
      <c r="C54" s="458"/>
      <c r="D54" s="458"/>
      <c r="E54" s="117"/>
    </row>
    <row r="55" spans="2:5" ht="15.75">
      <c r="B55" s="319" t="s">
        <v>131</v>
      </c>
      <c r="C55" s="458"/>
      <c r="D55" s="458"/>
      <c r="E55" s="509"/>
    </row>
    <row r="56" spans="2:5" ht="15.75">
      <c r="B56" s="320" t="s">
        <v>870</v>
      </c>
      <c r="C56" s="458"/>
      <c r="D56" s="458"/>
      <c r="E56" s="117"/>
    </row>
    <row r="57" spans="2:5" ht="15.75">
      <c r="B57" s="320" t="s">
        <v>722</v>
      </c>
      <c r="C57" s="459">
        <f>IF(C58*0.1&lt;C56,"Exceed 10% Rule","")</f>
      </c>
      <c r="D57" s="459">
        <f>IF(D58*0.1&lt;D56,"Exceed 10% Rule","")</f>
      </c>
      <c r="E57" s="355">
        <f>IF(E58*0.1+E77&lt;E56,"Exceed 10% Rule","")</f>
      </c>
    </row>
    <row r="58" spans="2:5" ht="15.75">
      <c r="B58" s="322" t="s">
        <v>132</v>
      </c>
      <c r="C58" s="460">
        <f>SUM(C46:C56)</f>
        <v>0</v>
      </c>
      <c r="D58" s="460">
        <f>SUM(D46:D56)</f>
        <v>0</v>
      </c>
      <c r="E58" s="363">
        <f>SUM(E46:E56)</f>
        <v>0</v>
      </c>
    </row>
    <row r="59" spans="2:5" ht="15.75">
      <c r="B59" s="322" t="s">
        <v>133</v>
      </c>
      <c r="C59" s="460">
        <f>C44+C58</f>
        <v>0</v>
      </c>
      <c r="D59" s="460">
        <f>D44+D58</f>
        <v>0</v>
      </c>
      <c r="E59" s="363">
        <f>E44+E58</f>
        <v>0</v>
      </c>
    </row>
    <row r="60" spans="2:5" ht="15.75">
      <c r="B60" s="153" t="s">
        <v>136</v>
      </c>
      <c r="C60" s="320"/>
      <c r="D60" s="320"/>
      <c r="E60" s="113"/>
    </row>
    <row r="61" spans="2:5" ht="15.75">
      <c r="B61" s="329"/>
      <c r="C61" s="458"/>
      <c r="D61" s="458"/>
      <c r="E61" s="117"/>
    </row>
    <row r="62" spans="2:5" ht="15.75">
      <c r="B62" s="329"/>
      <c r="C62" s="458"/>
      <c r="D62" s="458"/>
      <c r="E62" s="117"/>
    </row>
    <row r="63" spans="2:5" ht="15.75">
      <c r="B63" s="329"/>
      <c r="C63" s="458"/>
      <c r="D63" s="458"/>
      <c r="E63" s="117"/>
    </row>
    <row r="64" spans="2:5" ht="15.75">
      <c r="B64" s="329"/>
      <c r="C64" s="458"/>
      <c r="D64" s="458"/>
      <c r="E64" s="117"/>
    </row>
    <row r="65" spans="2:5" ht="15.75">
      <c r="B65" s="329"/>
      <c r="C65" s="458"/>
      <c r="D65" s="458"/>
      <c r="E65" s="117"/>
    </row>
    <row r="66" spans="2:5" ht="15.75">
      <c r="B66" s="329"/>
      <c r="C66" s="458"/>
      <c r="D66" s="458"/>
      <c r="E66" s="117"/>
    </row>
    <row r="67" spans="2:5" ht="15.75">
      <c r="B67" s="320" t="s">
        <v>872</v>
      </c>
      <c r="C67" s="458"/>
      <c r="D67" s="458"/>
      <c r="E67" s="125">
        <f>Nhood!E24</f>
      </c>
    </row>
    <row r="68" spans="2:5" ht="15.75">
      <c r="B68" s="320" t="s">
        <v>870</v>
      </c>
      <c r="C68" s="458"/>
      <c r="D68" s="458"/>
      <c r="E68" s="117"/>
    </row>
    <row r="69" spans="2:5" ht="15.75">
      <c r="B69" s="320" t="s">
        <v>721</v>
      </c>
      <c r="C69" s="459">
        <f>IF(C70*0.1&lt;C68,"Exceed 10% Rule","")</f>
      </c>
      <c r="D69" s="459">
        <f>IF(D70*0.1&lt;D68,"Exceed 10% Rule","")</f>
      </c>
      <c r="E69" s="355">
        <f>IF(E70*0.1&lt;E68,"Exceed 10% Rule","")</f>
      </c>
    </row>
    <row r="70" spans="2:5" ht="15.75">
      <c r="B70" s="322" t="s">
        <v>137</v>
      </c>
      <c r="C70" s="460">
        <f>SUM(C61:C68)</f>
        <v>0</v>
      </c>
      <c r="D70" s="460">
        <f>SUM(D61:D68)</f>
        <v>0</v>
      </c>
      <c r="E70" s="363">
        <f>SUM(E61:E68)</f>
        <v>0</v>
      </c>
    </row>
    <row r="71" spans="2:5" ht="15.75">
      <c r="B71" s="153" t="s">
        <v>254</v>
      </c>
      <c r="C71" s="463">
        <f>C59-C70</f>
        <v>0</v>
      </c>
      <c r="D71" s="463">
        <f>D59-D70</f>
        <v>0</v>
      </c>
      <c r="E71" s="348" t="s">
        <v>111</v>
      </c>
    </row>
    <row r="72" spans="2:6" ht="15.75">
      <c r="B72" s="298" t="str">
        <f>CONCATENATE("",E$1-2,"/",E$1-1," Budget Authority Amount:")</f>
        <v>2010/2011 Budget Authority Amount:</v>
      </c>
      <c r="C72" s="290">
        <f>inputOth!B49</f>
        <v>0</v>
      </c>
      <c r="D72" s="290">
        <f>inputPrYr!D34</f>
        <v>0</v>
      </c>
      <c r="E72" s="348" t="s">
        <v>111</v>
      </c>
      <c r="F72" s="331"/>
    </row>
    <row r="73" spans="2:6" ht="15.75">
      <c r="B73" s="298"/>
      <c r="C73" s="729" t="s">
        <v>725</v>
      </c>
      <c r="D73" s="730"/>
      <c r="E73" s="117"/>
      <c r="F73" s="331">
        <f>IF(E70/0.95-E70&lt;E73,"Exceeds 5%","")</f>
      </c>
    </row>
    <row r="74" spans="2:5" ht="15.75">
      <c r="B74" s="537" t="str">
        <f>CONCATENATE(C90,"     ",D90)</f>
        <v>     </v>
      </c>
      <c r="C74" s="731" t="s">
        <v>726</v>
      </c>
      <c r="D74" s="732"/>
      <c r="E74" s="276">
        <f>E70+E73</f>
        <v>0</v>
      </c>
    </row>
    <row r="75" spans="2:5" ht="15.75">
      <c r="B75" s="537" t="str">
        <f>CONCATENATE(C91,"     ",D91)</f>
        <v>     </v>
      </c>
      <c r="C75" s="332"/>
      <c r="D75" s="252" t="s">
        <v>138</v>
      </c>
      <c r="E75" s="125">
        <f>IF(E74-E59&gt;0,E74-E59,0)</f>
        <v>0</v>
      </c>
    </row>
    <row r="76" spans="2:5" ht="15.75">
      <c r="B76" s="252"/>
      <c r="C76" s="536" t="s">
        <v>727</v>
      </c>
      <c r="D76" s="508">
        <f>inputOth!$E$24</f>
        <v>0</v>
      </c>
      <c r="E76" s="276">
        <f>ROUND(IF(D76&gt;0,($E$75*D76),0),0)</f>
        <v>0</v>
      </c>
    </row>
    <row r="77" spans="2:5" ht="15.75">
      <c r="B77" s="90"/>
      <c r="C77" s="727" t="str">
        <f>CONCATENATE("Amount of  ",$E$1-1," Ad Valorem Tax")</f>
        <v>Amount of  2011 Ad Valorem Tax</v>
      </c>
      <c r="D77" s="728"/>
      <c r="E77" s="359">
        <f>E75+E76</f>
        <v>0</v>
      </c>
    </row>
    <row r="78" spans="2:5" ht="15.75">
      <c r="B78" s="298" t="s">
        <v>160</v>
      </c>
      <c r="C78" s="360"/>
      <c r="D78" s="90"/>
      <c r="E78" s="90"/>
    </row>
    <row r="88" spans="3:4" ht="15.75" hidden="1">
      <c r="C88" s="77">
        <f>IF(C33&gt;C35,"See Tab A","")</f>
      </c>
      <c r="D88" s="77">
        <f>IF(D33&gt;D35,"See Tab C","")</f>
      </c>
    </row>
    <row r="89" spans="3:4" ht="15.75" hidden="1">
      <c r="C89" s="77">
        <f>IF(C34&lt;0,"See Tab B","")</f>
      </c>
      <c r="D89" s="77">
        <f>IF(D34&lt;0,"See Tab D","")</f>
      </c>
    </row>
    <row r="90" spans="3:4" ht="15.75" hidden="1">
      <c r="C90" s="77">
        <f>IF(C70&gt;C72,"See Tab A","")</f>
      </c>
      <c r="D90" s="77">
        <f>IF(D70&gt;D72,"See Tab C","")</f>
      </c>
    </row>
    <row r="91" spans="3:4" ht="15.75" hidden="1">
      <c r="C91" s="77">
        <f>IF(C71&lt;0,"See Tab B","")</f>
      </c>
      <c r="D91" s="77">
        <f>IF(D71&lt;0,"See Tab D","")</f>
      </c>
    </row>
  </sheetData>
  <sheetProtection sheet="1"/>
  <mergeCells count="6">
    <mergeCell ref="C77:D77"/>
    <mergeCell ref="C40:D40"/>
    <mergeCell ref="C36:D36"/>
    <mergeCell ref="C37:D37"/>
    <mergeCell ref="C73:D73"/>
    <mergeCell ref="C74:D74"/>
  </mergeCells>
  <conditionalFormatting sqref="E68">
    <cfRule type="cellIs" priority="3" dxfId="405" operator="greaterThan" stopIfTrue="1">
      <formula>$E$70*0.1</formula>
    </cfRule>
  </conditionalFormatting>
  <conditionalFormatting sqref="E73">
    <cfRule type="cellIs" priority="4" dxfId="405" operator="greaterThan" stopIfTrue="1">
      <formula>$E$70/0.95-$E$70</formula>
    </cfRule>
  </conditionalFormatting>
  <conditionalFormatting sqref="E36">
    <cfRule type="cellIs" priority="5" dxfId="405" operator="greaterThan" stopIfTrue="1">
      <formula>$E$33/0.95-$E$33</formula>
    </cfRule>
  </conditionalFormatting>
  <conditionalFormatting sqref="E31">
    <cfRule type="cellIs" priority="6" dxfId="405" operator="greaterThan" stopIfTrue="1">
      <formula>$E$33*0.1</formula>
    </cfRule>
  </conditionalFormatting>
  <conditionalFormatting sqref="C71 C34">
    <cfRule type="cellIs" priority="7" dxfId="2" operator="lessThan" stopIfTrue="1">
      <formula>0</formula>
    </cfRule>
  </conditionalFormatting>
  <conditionalFormatting sqref="C70">
    <cfRule type="cellIs" priority="8" dxfId="2" operator="greaterThan" stopIfTrue="1">
      <formula>$C$72</formula>
    </cfRule>
  </conditionalFormatting>
  <conditionalFormatting sqref="D70">
    <cfRule type="cellIs" priority="9" dxfId="2" operator="greaterThan" stopIfTrue="1">
      <formula>$D$72</formula>
    </cfRule>
  </conditionalFormatting>
  <conditionalFormatting sqref="C68">
    <cfRule type="cellIs" priority="10" dxfId="2" operator="greaterThan" stopIfTrue="1">
      <formula>$C$70*0.1</formula>
    </cfRule>
  </conditionalFormatting>
  <conditionalFormatting sqref="D68">
    <cfRule type="cellIs" priority="11" dxfId="2" operator="greaterThan" stopIfTrue="1">
      <formula>$D$70*0.1</formula>
    </cfRule>
  </conditionalFormatting>
  <conditionalFormatting sqref="E56">
    <cfRule type="cellIs" priority="12" dxfId="405" operator="greaterThan" stopIfTrue="1">
      <formula>$E$58*0.1+E77</formula>
    </cfRule>
  </conditionalFormatting>
  <conditionalFormatting sqref="C56">
    <cfRule type="cellIs" priority="13" dxfId="2" operator="greaterThan" stopIfTrue="1">
      <formula>$C$58*0.1</formula>
    </cfRule>
  </conditionalFormatting>
  <conditionalFormatting sqref="D56">
    <cfRule type="cellIs" priority="14" dxfId="2" operator="greaterThan" stopIfTrue="1">
      <formula>$D$58*0.1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9">
    <cfRule type="cellIs" priority="19" dxfId="405" operator="greaterThan" stopIfTrue="1">
      <formula>$E$21*0.1+E40</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45.xml><?xml version="1.0" encoding="utf-8"?>
<worksheet xmlns="http://schemas.openxmlformats.org/spreadsheetml/2006/main" xmlns:r="http://schemas.openxmlformats.org/officeDocument/2006/relationships">
  <sheetPr>
    <pageSetUpPr fitToPage="1"/>
  </sheetPr>
  <dimension ref="B1:F91"/>
  <sheetViews>
    <sheetView tabSelected="1" zoomScalePageLayoutView="0" workbookViewId="0" topLeftCell="A1">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344"/>
      <c r="D3" s="344"/>
      <c r="E3" s="345"/>
    </row>
    <row r="4" spans="2:5" ht="15.75">
      <c r="B4" s="90"/>
      <c r="C4" s="338"/>
      <c r="D4" s="338"/>
      <c r="E4" s="338"/>
    </row>
    <row r="5" spans="2:5" ht="15.75">
      <c r="B5" s="89" t="s">
        <v>123</v>
      </c>
      <c r="C5" s="481" t="str">
        <f>general!C4</f>
        <v>Prior Year Actual</v>
      </c>
      <c r="D5" s="480" t="str">
        <f>general!D4</f>
        <v>Current Year Estimate</v>
      </c>
      <c r="E5" s="482" t="str">
        <f>general!E4</f>
        <v>Proposed Budget Year</v>
      </c>
    </row>
    <row r="6" spans="2:5" ht="15.75">
      <c r="B6" s="516" t="str">
        <f>inputPrYr!B35</f>
        <v> </v>
      </c>
      <c r="C6" s="461">
        <f>general!$C$5</f>
        <v>2010</v>
      </c>
      <c r="D6" s="461">
        <f>general!D5</f>
        <v>2011</v>
      </c>
      <c r="E6" s="313">
        <f>general!E5</f>
        <v>2012</v>
      </c>
    </row>
    <row r="7" spans="2:5" ht="15.75">
      <c r="B7" s="153" t="s">
        <v>253</v>
      </c>
      <c r="C7" s="458"/>
      <c r="D7" s="462">
        <f>C34</f>
        <v>0</v>
      </c>
      <c r="E7" s="276">
        <f>D34</f>
        <v>0</v>
      </c>
    </row>
    <row r="8" spans="2:5" ht="15.75">
      <c r="B8" s="301" t="s">
        <v>255</v>
      </c>
      <c r="C8" s="316"/>
      <c r="D8" s="316"/>
      <c r="E8" s="132"/>
    </row>
    <row r="9" spans="2:5" ht="15.75">
      <c r="B9" s="153" t="s">
        <v>124</v>
      </c>
      <c r="C9" s="458"/>
      <c r="D9" s="462">
        <f>inputPrYr!E35</f>
        <v>0</v>
      </c>
      <c r="E9" s="348" t="s">
        <v>111</v>
      </c>
    </row>
    <row r="10" spans="2:5" ht="15.75">
      <c r="B10" s="153" t="s">
        <v>125</v>
      </c>
      <c r="C10" s="458"/>
      <c r="D10" s="458"/>
      <c r="E10" s="117"/>
    </row>
    <row r="11" spans="2:5" ht="15.75">
      <c r="B11" s="153" t="s">
        <v>126</v>
      </c>
      <c r="C11" s="458"/>
      <c r="D11" s="458"/>
      <c r="E11" s="276" t="str">
        <f>mvalloc!D27</f>
        <v>  </v>
      </c>
    </row>
    <row r="12" spans="2:5" ht="15.75">
      <c r="B12" s="153" t="s">
        <v>127</v>
      </c>
      <c r="C12" s="458"/>
      <c r="D12" s="458"/>
      <c r="E12" s="276" t="str">
        <f>mvalloc!E27</f>
        <v>  </v>
      </c>
    </row>
    <row r="13" spans="2:5" ht="15.75">
      <c r="B13" s="316" t="s">
        <v>202</v>
      </c>
      <c r="C13" s="458"/>
      <c r="D13" s="458"/>
      <c r="E13" s="276" t="str">
        <f>mvalloc!F27</f>
        <v>  </v>
      </c>
    </row>
    <row r="14" spans="2:5" ht="15.75">
      <c r="B14" s="316" t="s">
        <v>304</v>
      </c>
      <c r="C14" s="458"/>
      <c r="D14" s="458"/>
      <c r="E14" s="276" t="str">
        <f>mvalloc!G27</f>
        <v> </v>
      </c>
    </row>
    <row r="15" spans="2:5" ht="15.75">
      <c r="B15" s="329"/>
      <c r="C15" s="458"/>
      <c r="D15" s="458"/>
      <c r="E15" s="117"/>
    </row>
    <row r="16" spans="2:5" ht="15.75">
      <c r="B16" s="329"/>
      <c r="C16" s="458"/>
      <c r="D16" s="458"/>
      <c r="E16" s="117"/>
    </row>
    <row r="17" spans="2:5" ht="15.75">
      <c r="B17" s="329"/>
      <c r="C17" s="458"/>
      <c r="D17" s="458"/>
      <c r="E17" s="117"/>
    </row>
    <row r="18" spans="2:5" ht="15.75">
      <c r="B18" s="319" t="s">
        <v>131</v>
      </c>
      <c r="C18" s="458"/>
      <c r="D18" s="458"/>
      <c r="E18" s="117"/>
    </row>
    <row r="19" spans="2:5" ht="15.75">
      <c r="B19" s="320" t="s">
        <v>870</v>
      </c>
      <c r="C19" s="458"/>
      <c r="D19" s="458"/>
      <c r="E19" s="117"/>
    </row>
    <row r="20" spans="2:5" ht="15.75">
      <c r="B20" s="320" t="s">
        <v>722</v>
      </c>
      <c r="C20" s="459">
        <f>IF(C21*0.1&lt;C19,"Exceed 10% Rule","")</f>
      </c>
      <c r="D20" s="459">
        <f>IF(D21*0.1&lt;D19,"Exceed 10% Rule","")</f>
      </c>
      <c r="E20" s="355">
        <f>IF(E21*0.1+E40&lt;E19,"Exceed 10% Rule","")</f>
      </c>
    </row>
    <row r="21" spans="2:5" ht="15.75">
      <c r="B21" s="322" t="s">
        <v>132</v>
      </c>
      <c r="C21" s="460">
        <f>SUM(C9:C19)</f>
        <v>0</v>
      </c>
      <c r="D21" s="460">
        <f>SUM(D9:D19)</f>
        <v>0</v>
      </c>
      <c r="E21" s="363">
        <f>SUM(E9:E19)</f>
        <v>0</v>
      </c>
    </row>
    <row r="22" spans="2:5" ht="15.75">
      <c r="B22" s="322" t="s">
        <v>133</v>
      </c>
      <c r="C22" s="460">
        <f>C7+C21</f>
        <v>0</v>
      </c>
      <c r="D22" s="460">
        <f>D7+D21</f>
        <v>0</v>
      </c>
      <c r="E22" s="363">
        <f>E7+E21</f>
        <v>0</v>
      </c>
    </row>
    <row r="23" spans="2:5" ht="15.75">
      <c r="B23" s="153" t="s">
        <v>136</v>
      </c>
      <c r="C23" s="320"/>
      <c r="D23" s="320"/>
      <c r="E23" s="113"/>
    </row>
    <row r="24" spans="2:5" ht="15.75">
      <c r="B24" s="329"/>
      <c r="C24" s="458"/>
      <c r="D24" s="458"/>
      <c r="E24" s="117"/>
    </row>
    <row r="25" spans="2:5" ht="15.75">
      <c r="B25" s="329"/>
      <c r="C25" s="458"/>
      <c r="D25" s="458"/>
      <c r="E25" s="117"/>
    </row>
    <row r="26" spans="2:5" ht="15.75">
      <c r="B26" s="329"/>
      <c r="C26" s="458"/>
      <c r="D26" s="458"/>
      <c r="E26" s="117"/>
    </row>
    <row r="27" spans="2:5" ht="15.75">
      <c r="B27" s="329"/>
      <c r="C27" s="458"/>
      <c r="D27" s="458"/>
      <c r="E27" s="117"/>
    </row>
    <row r="28" spans="2:5" ht="15.75">
      <c r="B28" s="329"/>
      <c r="C28" s="458"/>
      <c r="D28" s="458"/>
      <c r="E28" s="117"/>
    </row>
    <row r="29" spans="2:5" ht="15.75">
      <c r="B29" s="329"/>
      <c r="C29" s="458"/>
      <c r="D29" s="458"/>
      <c r="E29" s="117"/>
    </row>
    <row r="30" spans="2:5" ht="15.75">
      <c r="B30" s="320" t="s">
        <v>872</v>
      </c>
      <c r="C30" s="458"/>
      <c r="D30" s="458"/>
      <c r="E30" s="125">
        <f>Nhood!E25</f>
      </c>
    </row>
    <row r="31" spans="2:5" ht="15.75">
      <c r="B31" s="320" t="s">
        <v>870</v>
      </c>
      <c r="C31" s="458"/>
      <c r="D31" s="458"/>
      <c r="E31" s="117"/>
    </row>
    <row r="32" spans="2:5" ht="15.75">
      <c r="B32" s="320" t="s">
        <v>721</v>
      </c>
      <c r="C32" s="459">
        <f>IF(C33*0.1&lt;C31,"Exceed 10% Rule","")</f>
      </c>
      <c r="D32" s="459">
        <f>IF(D33*0.1&lt;D31,"Exceed 10% Rule","")</f>
      </c>
      <c r="E32" s="355">
        <f>IF(E33*0.1&lt;E31,"Exceed 10% Rule","")</f>
      </c>
    </row>
    <row r="33" spans="2:5" ht="15.75">
      <c r="B33" s="322" t="s">
        <v>137</v>
      </c>
      <c r="C33" s="460">
        <f>SUM(C24:C31)</f>
        <v>0</v>
      </c>
      <c r="D33" s="460">
        <f>SUM(D24:D31)</f>
        <v>0</v>
      </c>
      <c r="E33" s="363">
        <f>SUM(E24:E31)</f>
        <v>0</v>
      </c>
    </row>
    <row r="34" spans="2:5" ht="15.75">
      <c r="B34" s="153" t="s">
        <v>254</v>
      </c>
      <c r="C34" s="463">
        <f>C22-C33</f>
        <v>0</v>
      </c>
      <c r="D34" s="463">
        <f>D22-D33</f>
        <v>0</v>
      </c>
      <c r="E34" s="348" t="s">
        <v>111</v>
      </c>
    </row>
    <row r="35" spans="2:6" ht="15.75">
      <c r="B35" s="298" t="str">
        <f>CONCATENATE("",E$1-2,"/",E$1-1," Budget Authority Amount:")</f>
        <v>2010/2011 Budget Authority Amount:</v>
      </c>
      <c r="C35" s="290">
        <f>inputOth!B50</f>
        <v>0</v>
      </c>
      <c r="D35" s="290">
        <f>inputPrYr!D35</f>
        <v>0</v>
      </c>
      <c r="E35" s="348" t="s">
        <v>111</v>
      </c>
      <c r="F35" s="331"/>
    </row>
    <row r="36" spans="2:6" ht="15.75">
      <c r="B36" s="298"/>
      <c r="C36" s="729" t="s">
        <v>725</v>
      </c>
      <c r="D36" s="730"/>
      <c r="E36" s="117"/>
      <c r="F36" s="331">
        <f>IF(E33/0.95-E33&lt;E36,"Exceeds 5%","")</f>
      </c>
    </row>
    <row r="37" spans="2:5" ht="15.75">
      <c r="B37" s="538" t="str">
        <f>CONCATENATE(C88,"     ",D88)</f>
        <v>     </v>
      </c>
      <c r="C37" s="731" t="s">
        <v>726</v>
      </c>
      <c r="D37" s="732"/>
      <c r="E37" s="276">
        <f>E33+E36</f>
        <v>0</v>
      </c>
    </row>
    <row r="38" spans="2:5" ht="15.75">
      <c r="B38" s="538" t="str">
        <f>CONCATENATE(C89,"     ",D89)</f>
        <v>     </v>
      </c>
      <c r="C38" s="332"/>
      <c r="D38" s="252" t="s">
        <v>138</v>
      </c>
      <c r="E38" s="125">
        <f>IF(E37-E22&gt;0,E37-E22,0)</f>
        <v>0</v>
      </c>
    </row>
    <row r="39" spans="2:5" ht="15.75">
      <c r="B39" s="252"/>
      <c r="C39" s="536" t="s">
        <v>727</v>
      </c>
      <c r="D39" s="508">
        <f>inputOth!$E$24</f>
        <v>0</v>
      </c>
      <c r="E39" s="276">
        <f>ROUND(IF(D39&gt;0,($E$38*D39),0),0)</f>
        <v>0</v>
      </c>
    </row>
    <row r="40" spans="2:5" ht="15.75">
      <c r="B40" s="90"/>
      <c r="C40" s="727" t="str">
        <f>CONCATENATE("Amount of  ",$E$1-1," Ad Valorem Tax")</f>
        <v>Amount of  2011 Ad Valorem Tax</v>
      </c>
      <c r="D40" s="728"/>
      <c r="E40" s="359">
        <f>E38+E39</f>
        <v>0</v>
      </c>
    </row>
    <row r="41" spans="2:5" ht="15.75">
      <c r="B41" s="90"/>
      <c r="C41" s="338"/>
      <c r="D41" s="338"/>
      <c r="E41" s="338"/>
    </row>
    <row r="42" spans="2:5" ht="15.75">
      <c r="B42" s="89" t="s">
        <v>123</v>
      </c>
      <c r="C42" s="481" t="str">
        <f aca="true" t="shared" si="0" ref="C42:E43">C5</f>
        <v>Prior Year Actual</v>
      </c>
      <c r="D42" s="480" t="str">
        <f t="shared" si="0"/>
        <v>Current Year Estimate</v>
      </c>
      <c r="E42" s="482" t="str">
        <f t="shared" si="0"/>
        <v>Proposed Budget Year</v>
      </c>
    </row>
    <row r="43" spans="2:5" ht="15.75">
      <c r="B43" s="515" t="str">
        <f>inputPrYr!B36</f>
        <v> </v>
      </c>
      <c r="C43" s="461">
        <f t="shared" si="0"/>
        <v>2010</v>
      </c>
      <c r="D43" s="461">
        <f t="shared" si="0"/>
        <v>2011</v>
      </c>
      <c r="E43" s="313">
        <f t="shared" si="0"/>
        <v>2012</v>
      </c>
    </row>
    <row r="44" spans="2:5" ht="15.75">
      <c r="B44" s="153" t="s">
        <v>253</v>
      </c>
      <c r="C44" s="458"/>
      <c r="D44" s="462">
        <f>C71</f>
        <v>0</v>
      </c>
      <c r="E44" s="276">
        <f>D71</f>
        <v>0</v>
      </c>
    </row>
    <row r="45" spans="2:5" ht="15.75">
      <c r="B45" s="314" t="s">
        <v>255</v>
      </c>
      <c r="C45" s="316"/>
      <c r="D45" s="316"/>
      <c r="E45" s="132"/>
    </row>
    <row r="46" spans="2:5" ht="15.75">
      <c r="B46" s="153" t="s">
        <v>124</v>
      </c>
      <c r="C46" s="458"/>
      <c r="D46" s="462">
        <f>inputPrYr!E36</f>
        <v>0</v>
      </c>
      <c r="E46" s="348" t="s">
        <v>111</v>
      </c>
    </row>
    <row r="47" spans="2:5" ht="15.75">
      <c r="B47" s="153" t="s">
        <v>125</v>
      </c>
      <c r="C47" s="458"/>
      <c r="D47" s="458"/>
      <c r="E47" s="117"/>
    </row>
    <row r="48" spans="2:5" ht="15.75">
      <c r="B48" s="153" t="s">
        <v>126</v>
      </c>
      <c r="C48" s="458"/>
      <c r="D48" s="458"/>
      <c r="E48" s="276" t="str">
        <f>mvalloc!D28</f>
        <v>  </v>
      </c>
    </row>
    <row r="49" spans="2:5" ht="15.75">
      <c r="B49" s="153" t="s">
        <v>127</v>
      </c>
      <c r="C49" s="458"/>
      <c r="D49" s="458"/>
      <c r="E49" s="276" t="str">
        <f>mvalloc!E28</f>
        <v>  </v>
      </c>
    </row>
    <row r="50" spans="2:5" ht="15.75">
      <c r="B50" s="316" t="s">
        <v>202</v>
      </c>
      <c r="C50" s="458"/>
      <c r="D50" s="458"/>
      <c r="E50" s="276" t="str">
        <f>mvalloc!F28</f>
        <v>  </v>
      </c>
    </row>
    <row r="51" spans="2:5" ht="15.75">
      <c r="B51" s="316" t="s">
        <v>304</v>
      </c>
      <c r="C51" s="458"/>
      <c r="D51" s="458"/>
      <c r="E51" s="276" t="str">
        <f>mvalloc!G28</f>
        <v> </v>
      </c>
    </row>
    <row r="52" spans="2:5" ht="15.75">
      <c r="B52" s="329"/>
      <c r="C52" s="458"/>
      <c r="D52" s="458"/>
      <c r="E52" s="117"/>
    </row>
    <row r="53" spans="2:5" ht="15.75">
      <c r="B53" s="329"/>
      <c r="C53" s="458"/>
      <c r="D53" s="458"/>
      <c r="E53" s="117"/>
    </row>
    <row r="54" spans="2:5" ht="15.75">
      <c r="B54" s="329"/>
      <c r="C54" s="458"/>
      <c r="D54" s="458"/>
      <c r="E54" s="117"/>
    </row>
    <row r="55" spans="2:5" ht="15.75">
      <c r="B55" s="319" t="s">
        <v>131</v>
      </c>
      <c r="C55" s="458"/>
      <c r="D55" s="458"/>
      <c r="E55" s="117"/>
    </row>
    <row r="56" spans="2:5" ht="15.75">
      <c r="B56" s="320" t="s">
        <v>870</v>
      </c>
      <c r="C56" s="458"/>
      <c r="D56" s="458"/>
      <c r="E56" s="117"/>
    </row>
    <row r="57" spans="2:5" ht="15.75">
      <c r="B57" s="320" t="s">
        <v>722</v>
      </c>
      <c r="C57" s="459">
        <f>IF(C58*0.1&lt;C56,"Exceed 10% Rule","")</f>
      </c>
      <c r="D57" s="459">
        <f>IF(D58*0.1&lt;D56,"Exceed 10% Rule","")</f>
      </c>
      <c r="E57" s="355">
        <f>IF(E58*0.1+E77&lt;E56,"Exceed 10% Rule","")</f>
      </c>
    </row>
    <row r="58" spans="2:5" ht="15.75">
      <c r="B58" s="322" t="s">
        <v>132</v>
      </c>
      <c r="C58" s="460">
        <f>SUM(C46:C56)</f>
        <v>0</v>
      </c>
      <c r="D58" s="460">
        <f>SUM(D46:D56)</f>
        <v>0</v>
      </c>
      <c r="E58" s="363">
        <f>SUM(E46:E56)</f>
        <v>0</v>
      </c>
    </row>
    <row r="59" spans="2:5" ht="15.75">
      <c r="B59" s="322" t="s">
        <v>133</v>
      </c>
      <c r="C59" s="460">
        <f>C44+C58</f>
        <v>0</v>
      </c>
      <c r="D59" s="460">
        <f>D44+D58</f>
        <v>0</v>
      </c>
      <c r="E59" s="363">
        <f>E44+E58</f>
        <v>0</v>
      </c>
    </row>
    <row r="60" spans="2:5" ht="15.75">
      <c r="B60" s="153" t="s">
        <v>136</v>
      </c>
      <c r="C60" s="320"/>
      <c r="D60" s="320"/>
      <c r="E60" s="113"/>
    </row>
    <row r="61" spans="2:5" ht="15.75">
      <c r="B61" s="329"/>
      <c r="C61" s="458"/>
      <c r="D61" s="458"/>
      <c r="E61" s="117"/>
    </row>
    <row r="62" spans="2:5" ht="15.75">
      <c r="B62" s="329"/>
      <c r="C62" s="458"/>
      <c r="D62" s="458"/>
      <c r="E62" s="117"/>
    </row>
    <row r="63" spans="2:5" ht="15.75">
      <c r="B63" s="329"/>
      <c r="C63" s="458"/>
      <c r="D63" s="458"/>
      <c r="E63" s="117"/>
    </row>
    <row r="64" spans="2:5" ht="15.75">
      <c r="B64" s="329"/>
      <c r="C64" s="458"/>
      <c r="D64" s="458"/>
      <c r="E64" s="117"/>
    </row>
    <row r="65" spans="2:5" ht="15.75">
      <c r="B65" s="329"/>
      <c r="C65" s="458"/>
      <c r="D65" s="458"/>
      <c r="E65" s="117"/>
    </row>
    <row r="66" spans="2:5" ht="15.75">
      <c r="B66" s="329"/>
      <c r="C66" s="458"/>
      <c r="D66" s="458"/>
      <c r="E66" s="117"/>
    </row>
    <row r="67" spans="2:5" ht="15.75">
      <c r="B67" s="320" t="s">
        <v>872</v>
      </c>
      <c r="C67" s="458"/>
      <c r="D67" s="458"/>
      <c r="E67" s="125">
        <f>Nhood!E26</f>
      </c>
    </row>
    <row r="68" spans="2:5" ht="15.75">
      <c r="B68" s="320" t="s">
        <v>870</v>
      </c>
      <c r="C68" s="458"/>
      <c r="D68" s="458"/>
      <c r="E68" s="117"/>
    </row>
    <row r="69" spans="2:5" ht="15.75">
      <c r="B69" s="320" t="s">
        <v>721</v>
      </c>
      <c r="C69" s="459">
        <f>IF(C70*0.1&lt;C68,"Exceed 10% Rule","")</f>
      </c>
      <c r="D69" s="459">
        <f>IF(D70*0.1&lt;D68,"Exceed 10% Rule","")</f>
      </c>
      <c r="E69" s="355">
        <f>IF(E70*0.1&lt;E68,"Exceed 10% Rule","")</f>
      </c>
    </row>
    <row r="70" spans="2:5" ht="15.75">
      <c r="B70" s="322" t="s">
        <v>137</v>
      </c>
      <c r="C70" s="460">
        <f>SUM(C61:C68)</f>
        <v>0</v>
      </c>
      <c r="D70" s="460">
        <f>SUM(D61:D68)</f>
        <v>0</v>
      </c>
      <c r="E70" s="363">
        <f>SUM(E61:E68)</f>
        <v>0</v>
      </c>
    </row>
    <row r="71" spans="2:5" ht="15.75">
      <c r="B71" s="153" t="s">
        <v>254</v>
      </c>
      <c r="C71" s="463">
        <f>C59-C70</f>
        <v>0</v>
      </c>
      <c r="D71" s="463">
        <f>D59-D70</f>
        <v>0</v>
      </c>
      <c r="E71" s="348" t="s">
        <v>111</v>
      </c>
    </row>
    <row r="72" spans="2:6" ht="15.75">
      <c r="B72" s="298" t="str">
        <f>CONCATENATE("",E$1-2,"/",E$1-1," Budget Authority Amount:")</f>
        <v>2010/2011 Budget Authority Amount:</v>
      </c>
      <c r="C72" s="290">
        <f>inputOth!B51</f>
        <v>0</v>
      </c>
      <c r="D72" s="290">
        <f>inputPrYr!D36</f>
        <v>0</v>
      </c>
      <c r="E72" s="348" t="s">
        <v>111</v>
      </c>
      <c r="F72" s="331"/>
    </row>
    <row r="73" spans="2:6" ht="15.75">
      <c r="B73" s="298"/>
      <c r="C73" s="729" t="s">
        <v>725</v>
      </c>
      <c r="D73" s="730"/>
      <c r="E73" s="117"/>
      <c r="F73" s="331">
        <f>IF(E70/0.95-E70&lt;E73,"Exceeds 5%","")</f>
      </c>
    </row>
    <row r="74" spans="2:5" ht="15.75">
      <c r="B74" s="537" t="str">
        <f>CONCATENATE(C90,"     ",D90)</f>
        <v>     </v>
      </c>
      <c r="C74" s="731" t="s">
        <v>726</v>
      </c>
      <c r="D74" s="732"/>
      <c r="E74" s="276">
        <f>E70+E73</f>
        <v>0</v>
      </c>
    </row>
    <row r="75" spans="2:5" ht="15.75">
      <c r="B75" s="537" t="str">
        <f>CONCATENATE(C91,"     ",D91)</f>
        <v>     </v>
      </c>
      <c r="C75" s="332"/>
      <c r="D75" s="252" t="s">
        <v>138</v>
      </c>
      <c r="E75" s="125">
        <f>IF(E74-E59&gt;0,E74-E59,0)</f>
        <v>0</v>
      </c>
    </row>
    <row r="76" spans="2:5" ht="15.75">
      <c r="B76" s="252"/>
      <c r="C76" s="536" t="s">
        <v>727</v>
      </c>
      <c r="D76" s="508">
        <f>inputOth!$E$24</f>
        <v>0</v>
      </c>
      <c r="E76" s="276">
        <f>ROUND(IF(D76&gt;0,($E$75*D76),0),0)</f>
        <v>0</v>
      </c>
    </row>
    <row r="77" spans="2:5" ht="15.75">
      <c r="B77" s="90"/>
      <c r="C77" s="727" t="str">
        <f>CONCATENATE("Amount of  ",$E$1-1," Ad Valorem Tax")</f>
        <v>Amount of  2011 Ad Valorem Tax</v>
      </c>
      <c r="D77" s="728"/>
      <c r="E77" s="359">
        <f>E75+E76</f>
        <v>0</v>
      </c>
    </row>
    <row r="78" spans="2:5" ht="15.75">
      <c r="B78" s="298" t="s">
        <v>160</v>
      </c>
      <c r="C78" s="360"/>
      <c r="D78" s="90"/>
      <c r="E78" s="90"/>
    </row>
    <row r="88" spans="3:4" ht="15.75" hidden="1">
      <c r="C88" s="77">
        <f>IF(C33&gt;C35,"See Tab A","")</f>
      </c>
      <c r="D88" s="77">
        <f>IF(D33&gt;D35,"See Tab C","")</f>
      </c>
    </row>
    <row r="89" spans="3:4" ht="15.75" hidden="1">
      <c r="C89" s="77">
        <f>IF(C34&lt;0,"See Tab B","")</f>
      </c>
      <c r="D89" s="77">
        <f>IF(D34&lt;0,"See Tab D","")</f>
      </c>
    </row>
    <row r="90" spans="3:4" ht="15.75" hidden="1">
      <c r="C90" s="77">
        <f>IF(C70&gt;C72,"See Tab A","")</f>
      </c>
      <c r="D90" s="77">
        <f>IF(D70&gt;D72,"See Tab C","")</f>
      </c>
    </row>
    <row r="91" spans="3:4" ht="15.75" hidden="1">
      <c r="C91" s="77">
        <f>IF(C71&lt;0,"See Tab B","")</f>
      </c>
      <c r="D91" s="77">
        <f>IF(D71&lt;0,"See Tab D","")</f>
      </c>
    </row>
  </sheetData>
  <sheetProtection sheet="1"/>
  <mergeCells count="6">
    <mergeCell ref="C77:D77"/>
    <mergeCell ref="C40:D40"/>
    <mergeCell ref="C36:D36"/>
    <mergeCell ref="C37:D37"/>
    <mergeCell ref="C73:D73"/>
    <mergeCell ref="C74:D74"/>
  </mergeCells>
  <conditionalFormatting sqref="E68">
    <cfRule type="cellIs" priority="3" dxfId="405" operator="greaterThan" stopIfTrue="1">
      <formula>$E$70*0.1</formula>
    </cfRule>
  </conditionalFormatting>
  <conditionalFormatting sqref="E73">
    <cfRule type="cellIs" priority="4" dxfId="405" operator="greaterThan" stopIfTrue="1">
      <formula>$E$70/0.95-$E$70</formula>
    </cfRule>
  </conditionalFormatting>
  <conditionalFormatting sqref="E36">
    <cfRule type="cellIs" priority="5" dxfId="405" operator="greaterThan" stopIfTrue="1">
      <formula>$E$33/0.95-$E$33</formula>
    </cfRule>
  </conditionalFormatting>
  <conditionalFormatting sqref="E31">
    <cfRule type="cellIs" priority="6" dxfId="405" operator="greaterThan" stopIfTrue="1">
      <formula>$E$33*0.1</formula>
    </cfRule>
  </conditionalFormatting>
  <conditionalFormatting sqref="C71 C34">
    <cfRule type="cellIs" priority="7" dxfId="2" operator="lessThan" stopIfTrue="1">
      <formula>0</formula>
    </cfRule>
  </conditionalFormatting>
  <conditionalFormatting sqref="C70">
    <cfRule type="cellIs" priority="8" dxfId="2" operator="greaterThan" stopIfTrue="1">
      <formula>$C$72</formula>
    </cfRule>
  </conditionalFormatting>
  <conditionalFormatting sqref="D70">
    <cfRule type="cellIs" priority="9" dxfId="2" operator="greaterThan" stopIfTrue="1">
      <formula>$D$72</formula>
    </cfRule>
  </conditionalFormatting>
  <conditionalFormatting sqref="C68">
    <cfRule type="cellIs" priority="10" dxfId="2" operator="greaterThan" stopIfTrue="1">
      <formula>$C$70*0.1</formula>
    </cfRule>
  </conditionalFormatting>
  <conditionalFormatting sqref="D68">
    <cfRule type="cellIs" priority="11" dxfId="2" operator="greaterThan" stopIfTrue="1">
      <formula>$D$70*0.1</formula>
    </cfRule>
  </conditionalFormatting>
  <conditionalFormatting sqref="E56">
    <cfRule type="cellIs" priority="12" dxfId="405" operator="greaterThan" stopIfTrue="1">
      <formula>$E$58*0.1+E77</formula>
    </cfRule>
  </conditionalFormatting>
  <conditionalFormatting sqref="C56">
    <cfRule type="cellIs" priority="13" dxfId="2" operator="greaterThan" stopIfTrue="1">
      <formula>$C$58*0.1</formula>
    </cfRule>
  </conditionalFormatting>
  <conditionalFormatting sqref="D56">
    <cfRule type="cellIs" priority="14" dxfId="2" operator="greaterThan" stopIfTrue="1">
      <formula>$D$58*0.1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9">
    <cfRule type="cellIs" priority="19" dxfId="405" operator="greaterThan" stopIfTrue="1">
      <formula>$E$21*0.1+E40</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120" verticalDpi="120" orientation="portrait" scale="56" r:id="rId1"/>
  <headerFooter alignWithMargins="0">
    <oddHeader>&amp;RState of Kansas
County
</oddHeader>
  </headerFooter>
</worksheet>
</file>

<file path=xl/worksheets/sheet4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2" sqref="C2"/>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344"/>
      <c r="D3" s="344"/>
      <c r="E3" s="345"/>
    </row>
    <row r="4" spans="2:5" ht="15.75">
      <c r="B4" s="90"/>
      <c r="C4" s="338"/>
      <c r="D4" s="338"/>
      <c r="E4" s="338"/>
    </row>
    <row r="5" spans="2:5" ht="15.75">
      <c r="B5" s="89" t="s">
        <v>123</v>
      </c>
      <c r="C5" s="481" t="str">
        <f>general!C4</f>
        <v>Prior Year Actual</v>
      </c>
      <c r="D5" s="480" t="str">
        <f>general!D4</f>
        <v>Current Year Estimate</v>
      </c>
      <c r="E5" s="482" t="str">
        <f>general!E4</f>
        <v>Proposed Budget Year</v>
      </c>
    </row>
    <row r="6" spans="2:5" ht="15.75">
      <c r="B6" s="516" t="str">
        <f>inputPrYr!B37</f>
        <v> </v>
      </c>
      <c r="C6" s="461">
        <f>general!$C$5</f>
        <v>2010</v>
      </c>
      <c r="D6" s="461">
        <f>general!D5</f>
        <v>2011</v>
      </c>
      <c r="E6" s="313">
        <f>general!E5</f>
        <v>2012</v>
      </c>
    </row>
    <row r="7" spans="2:5" ht="15.75">
      <c r="B7" s="153" t="s">
        <v>253</v>
      </c>
      <c r="C7" s="458"/>
      <c r="D7" s="462">
        <f>C34</f>
        <v>0</v>
      </c>
      <c r="E7" s="276">
        <f>D34</f>
        <v>0</v>
      </c>
    </row>
    <row r="8" spans="2:5" ht="15.75">
      <c r="B8" s="301" t="s">
        <v>255</v>
      </c>
      <c r="C8" s="316"/>
      <c r="D8" s="316"/>
      <c r="E8" s="132"/>
    </row>
    <row r="9" spans="2:5" ht="15.75">
      <c r="B9" s="153" t="s">
        <v>124</v>
      </c>
      <c r="C9" s="458"/>
      <c r="D9" s="462">
        <f>inputPrYr!E37</f>
        <v>0</v>
      </c>
      <c r="E9" s="348" t="s">
        <v>111</v>
      </c>
    </row>
    <row r="10" spans="2:5" ht="15.75">
      <c r="B10" s="153" t="s">
        <v>125</v>
      </c>
      <c r="C10" s="458"/>
      <c r="D10" s="458"/>
      <c r="E10" s="117"/>
    </row>
    <row r="11" spans="2:5" ht="15.75">
      <c r="B11" s="153" t="s">
        <v>126</v>
      </c>
      <c r="C11" s="458"/>
      <c r="D11" s="458"/>
      <c r="E11" s="276" t="str">
        <f>mvalloc!D29</f>
        <v>  </v>
      </c>
    </row>
    <row r="12" spans="2:5" ht="15.75">
      <c r="B12" s="153" t="s">
        <v>127</v>
      </c>
      <c r="C12" s="458"/>
      <c r="D12" s="458"/>
      <c r="E12" s="276" t="str">
        <f>mvalloc!E29</f>
        <v>  </v>
      </c>
    </row>
    <row r="13" spans="2:5" ht="15.75">
      <c r="B13" s="316" t="s">
        <v>202</v>
      </c>
      <c r="C13" s="458"/>
      <c r="D13" s="458"/>
      <c r="E13" s="276" t="str">
        <f>mvalloc!F29</f>
        <v>  </v>
      </c>
    </row>
    <row r="14" spans="2:5" ht="15.75">
      <c r="B14" s="316" t="s">
        <v>304</v>
      </c>
      <c r="C14" s="458"/>
      <c r="D14" s="458"/>
      <c r="E14" s="276" t="str">
        <f>mvalloc!G29</f>
        <v> </v>
      </c>
    </row>
    <row r="15" spans="2:5" ht="15.75">
      <c r="B15" s="329"/>
      <c r="C15" s="458"/>
      <c r="D15" s="458"/>
      <c r="E15" s="117"/>
    </row>
    <row r="16" spans="2:5" ht="15.75">
      <c r="B16" s="329"/>
      <c r="C16" s="458"/>
      <c r="D16" s="458"/>
      <c r="E16" s="117"/>
    </row>
    <row r="17" spans="2:5" ht="15.75">
      <c r="B17" s="329"/>
      <c r="C17" s="458"/>
      <c r="D17" s="458"/>
      <c r="E17" s="117"/>
    </row>
    <row r="18" spans="2:5" ht="15.75">
      <c r="B18" s="319" t="s">
        <v>131</v>
      </c>
      <c r="C18" s="458"/>
      <c r="D18" s="458"/>
      <c r="E18" s="117"/>
    </row>
    <row r="19" spans="2:5" ht="15.75">
      <c r="B19" s="320" t="s">
        <v>870</v>
      </c>
      <c r="C19" s="458"/>
      <c r="D19" s="458"/>
      <c r="E19" s="117"/>
    </row>
    <row r="20" spans="2:5" ht="15.75">
      <c r="B20" s="320" t="s">
        <v>722</v>
      </c>
      <c r="C20" s="459">
        <f>IF(C21*0.1&lt;C19,"Exceed 10% Rule","")</f>
      </c>
      <c r="D20" s="459">
        <f>IF(D21*0.1&lt;D19,"Exceed 10% Rule","")</f>
      </c>
      <c r="E20" s="355">
        <f>IF(E21*0.1+E40&lt;E19,"Exceed 10% Rule","")</f>
      </c>
    </row>
    <row r="21" spans="2:5" ht="15.75">
      <c r="B21" s="322" t="s">
        <v>132</v>
      </c>
      <c r="C21" s="460">
        <f>SUM(C9:C19)</f>
        <v>0</v>
      </c>
      <c r="D21" s="460">
        <f>SUM(D9:D19)</f>
        <v>0</v>
      </c>
      <c r="E21" s="363">
        <f>SUM(E9:E19)</f>
        <v>0</v>
      </c>
    </row>
    <row r="22" spans="2:5" ht="15.75">
      <c r="B22" s="322" t="s">
        <v>133</v>
      </c>
      <c r="C22" s="460">
        <f>C7+C21</f>
        <v>0</v>
      </c>
      <c r="D22" s="460">
        <f>D7+D21</f>
        <v>0</v>
      </c>
      <c r="E22" s="363">
        <f>E7+E21</f>
        <v>0</v>
      </c>
    </row>
    <row r="23" spans="2:5" ht="15.75">
      <c r="B23" s="153" t="s">
        <v>136</v>
      </c>
      <c r="C23" s="320"/>
      <c r="D23" s="320"/>
      <c r="E23" s="113"/>
    </row>
    <row r="24" spans="2:5" ht="15.75">
      <c r="B24" s="329"/>
      <c r="C24" s="458"/>
      <c r="D24" s="458"/>
      <c r="E24" s="117"/>
    </row>
    <row r="25" spans="2:5" ht="15.75">
      <c r="B25" s="329"/>
      <c r="C25" s="458"/>
      <c r="D25" s="458"/>
      <c r="E25" s="117"/>
    </row>
    <row r="26" spans="2:5" ht="15.75">
      <c r="B26" s="329"/>
      <c r="C26" s="458"/>
      <c r="D26" s="458"/>
      <c r="E26" s="117"/>
    </row>
    <row r="27" spans="2:5" ht="15.75">
      <c r="B27" s="329"/>
      <c r="C27" s="458"/>
      <c r="D27" s="458"/>
      <c r="E27" s="117"/>
    </row>
    <row r="28" spans="2:5" ht="15.75">
      <c r="B28" s="329"/>
      <c r="C28" s="458"/>
      <c r="D28" s="458"/>
      <c r="E28" s="117"/>
    </row>
    <row r="29" spans="2:5" ht="15.75">
      <c r="B29" s="329"/>
      <c r="C29" s="458"/>
      <c r="D29" s="458"/>
      <c r="E29" s="117"/>
    </row>
    <row r="30" spans="2:5" ht="15.75">
      <c r="B30" s="320" t="s">
        <v>872</v>
      </c>
      <c r="C30" s="458"/>
      <c r="D30" s="458"/>
      <c r="E30" s="125">
        <f>Nhood!E27</f>
      </c>
    </row>
    <row r="31" spans="2:5" ht="15.75">
      <c r="B31" s="320" t="s">
        <v>870</v>
      </c>
      <c r="C31" s="458"/>
      <c r="D31" s="458"/>
      <c r="E31" s="117"/>
    </row>
    <row r="32" spans="2:5" ht="15.75">
      <c r="B32" s="320" t="s">
        <v>721</v>
      </c>
      <c r="C32" s="459">
        <f>IF(C33*0.1&lt;C31,"Exceed 10% Rule","")</f>
      </c>
      <c r="D32" s="459">
        <f>IF(D33*0.1&lt;D31,"Exceed 10% Rule","")</f>
      </c>
      <c r="E32" s="355">
        <f>IF(E33*0.1&lt;E31,"Exceed 10% Rule","")</f>
      </c>
    </row>
    <row r="33" spans="2:5" ht="15.75">
      <c r="B33" s="322" t="s">
        <v>137</v>
      </c>
      <c r="C33" s="460">
        <f>SUM(C24:C31)</f>
        <v>0</v>
      </c>
      <c r="D33" s="460">
        <f>SUM(D24:D31)</f>
        <v>0</v>
      </c>
      <c r="E33" s="363">
        <f>SUM(E24:E31)</f>
        <v>0</v>
      </c>
    </row>
    <row r="34" spans="2:5" ht="15.75">
      <c r="B34" s="153" t="s">
        <v>254</v>
      </c>
      <c r="C34" s="463">
        <f>C22-C33</f>
        <v>0</v>
      </c>
      <c r="D34" s="463">
        <f>D22-D33</f>
        <v>0</v>
      </c>
      <c r="E34" s="348" t="s">
        <v>111</v>
      </c>
    </row>
    <row r="35" spans="2:6" ht="15.75">
      <c r="B35" s="298" t="str">
        <f>CONCATENATE("",E$1-2,"/",E$1-1," Budget Authority Amount:")</f>
        <v>2010/2011 Budget Authority Amount:</v>
      </c>
      <c r="C35" s="290">
        <f>inputOth!B52</f>
        <v>0</v>
      </c>
      <c r="D35" s="290">
        <f>inputPrYr!D37</f>
        <v>0</v>
      </c>
      <c r="E35" s="348" t="s">
        <v>111</v>
      </c>
      <c r="F35" s="331"/>
    </row>
    <row r="36" spans="2:6" ht="15.75">
      <c r="B36" s="298"/>
      <c r="C36" s="729" t="s">
        <v>725</v>
      </c>
      <c r="D36" s="730"/>
      <c r="E36" s="117"/>
      <c r="F36" s="331">
        <f>IF(E33/0.95-E33&lt;E36,"Exceeds 5%","")</f>
      </c>
    </row>
    <row r="37" spans="2:5" ht="15.75">
      <c r="B37" s="538" t="str">
        <f>CONCATENATE(C88,"     ",D88)</f>
        <v>     </v>
      </c>
      <c r="C37" s="731" t="s">
        <v>726</v>
      </c>
      <c r="D37" s="732"/>
      <c r="E37" s="276">
        <f>E33+E36</f>
        <v>0</v>
      </c>
    </row>
    <row r="38" spans="2:5" ht="15.75">
      <c r="B38" s="538" t="str">
        <f>CONCATENATE(C89,"     ",D89)</f>
        <v>     </v>
      </c>
      <c r="C38" s="332"/>
      <c r="D38" s="252" t="s">
        <v>138</v>
      </c>
      <c r="E38" s="125">
        <f>IF(E37-E22&gt;0,E37-E22,0)</f>
        <v>0</v>
      </c>
    </row>
    <row r="39" spans="2:5" ht="15.75">
      <c r="B39" s="252"/>
      <c r="C39" s="536" t="s">
        <v>727</v>
      </c>
      <c r="D39" s="508">
        <f>inputOth!$E$24</f>
        <v>0</v>
      </c>
      <c r="E39" s="276">
        <f>ROUND(IF(D39&gt;0,($E$38*D39),0),0)</f>
        <v>0</v>
      </c>
    </row>
    <row r="40" spans="2:5" ht="15.75">
      <c r="B40" s="90"/>
      <c r="C40" s="727" t="str">
        <f>CONCATENATE("Amount of  ",$E$1-1," Ad Valorem Tax")</f>
        <v>Amount of  2011 Ad Valorem Tax</v>
      </c>
      <c r="D40" s="728"/>
      <c r="E40" s="359">
        <f>E38+E39</f>
        <v>0</v>
      </c>
    </row>
    <row r="41" spans="2:5" ht="15.75">
      <c r="B41" s="90"/>
      <c r="C41" s="338"/>
      <c r="D41" s="338"/>
      <c r="E41" s="338"/>
    </row>
    <row r="42" spans="2:5" ht="15.75">
      <c r="B42" s="89" t="s">
        <v>123</v>
      </c>
      <c r="C42" s="481" t="str">
        <f aca="true" t="shared" si="0" ref="C42:E43">C5</f>
        <v>Prior Year Actual</v>
      </c>
      <c r="D42" s="480" t="str">
        <f t="shared" si="0"/>
        <v>Current Year Estimate</v>
      </c>
      <c r="E42" s="482" t="str">
        <f t="shared" si="0"/>
        <v>Proposed Budget Year</v>
      </c>
    </row>
    <row r="43" spans="2:5" ht="15.75">
      <c r="B43" s="515" t="str">
        <f>inputPrYr!B38</f>
        <v> </v>
      </c>
      <c r="C43" s="461">
        <f t="shared" si="0"/>
        <v>2010</v>
      </c>
      <c r="D43" s="461">
        <f t="shared" si="0"/>
        <v>2011</v>
      </c>
      <c r="E43" s="313">
        <f t="shared" si="0"/>
        <v>2012</v>
      </c>
    </row>
    <row r="44" spans="2:5" ht="15.75">
      <c r="B44" s="153" t="s">
        <v>253</v>
      </c>
      <c r="C44" s="458"/>
      <c r="D44" s="462">
        <f>C71</f>
        <v>0</v>
      </c>
      <c r="E44" s="276">
        <f>D71</f>
        <v>0</v>
      </c>
    </row>
    <row r="45" spans="2:5" ht="15.75">
      <c r="B45" s="314" t="s">
        <v>255</v>
      </c>
      <c r="C45" s="316"/>
      <c r="D45" s="316"/>
      <c r="E45" s="132"/>
    </row>
    <row r="46" spans="2:5" ht="15.75">
      <c r="B46" s="153" t="s">
        <v>124</v>
      </c>
      <c r="C46" s="458"/>
      <c r="D46" s="462">
        <f>inputPrYr!E38</f>
        <v>0</v>
      </c>
      <c r="E46" s="348" t="s">
        <v>111</v>
      </c>
    </row>
    <row r="47" spans="2:5" ht="15.75">
      <c r="B47" s="153" t="s">
        <v>125</v>
      </c>
      <c r="C47" s="458"/>
      <c r="D47" s="458"/>
      <c r="E47" s="117"/>
    </row>
    <row r="48" spans="2:5" ht="15.75">
      <c r="B48" s="153" t="s">
        <v>126</v>
      </c>
      <c r="C48" s="458"/>
      <c r="D48" s="458"/>
      <c r="E48" s="276" t="str">
        <f>mvalloc!D30</f>
        <v>  </v>
      </c>
    </row>
    <row r="49" spans="2:5" ht="15.75">
      <c r="B49" s="153" t="s">
        <v>127</v>
      </c>
      <c r="C49" s="458"/>
      <c r="D49" s="458"/>
      <c r="E49" s="276" t="str">
        <f>mvalloc!E30</f>
        <v>  </v>
      </c>
    </row>
    <row r="50" spans="2:5" ht="15.75">
      <c r="B50" s="316" t="s">
        <v>202</v>
      </c>
      <c r="C50" s="458"/>
      <c r="D50" s="458"/>
      <c r="E50" s="276" t="str">
        <f>mvalloc!F30</f>
        <v>  </v>
      </c>
    </row>
    <row r="51" spans="2:5" ht="15.75">
      <c r="B51" s="316" t="s">
        <v>304</v>
      </c>
      <c r="C51" s="458"/>
      <c r="D51" s="458"/>
      <c r="E51" s="276" t="str">
        <f>mvalloc!G30</f>
        <v> </v>
      </c>
    </row>
    <row r="52" spans="2:5" ht="15.75">
      <c r="B52" s="329"/>
      <c r="C52" s="458"/>
      <c r="D52" s="458"/>
      <c r="E52" s="117"/>
    </row>
    <row r="53" spans="2:5" ht="15.75">
      <c r="B53" s="329"/>
      <c r="C53" s="458"/>
      <c r="D53" s="458"/>
      <c r="E53" s="117"/>
    </row>
    <row r="54" spans="2:5" ht="15.75">
      <c r="B54" s="329"/>
      <c r="C54" s="458"/>
      <c r="D54" s="458"/>
      <c r="E54" s="117"/>
    </row>
    <row r="55" spans="2:5" ht="15.75">
      <c r="B55" s="319" t="s">
        <v>131</v>
      </c>
      <c r="C55" s="458"/>
      <c r="D55" s="458"/>
      <c r="E55" s="117"/>
    </row>
    <row r="56" spans="2:5" ht="15.75">
      <c r="B56" s="320" t="s">
        <v>870</v>
      </c>
      <c r="C56" s="458"/>
      <c r="D56" s="458"/>
      <c r="E56" s="117"/>
    </row>
    <row r="57" spans="2:5" ht="15.75">
      <c r="B57" s="320" t="s">
        <v>722</v>
      </c>
      <c r="C57" s="459">
        <f>IF(C58*0.1&lt;C56,"Exceed 10% Rule","")</f>
      </c>
      <c r="D57" s="459">
        <f>IF(D58*0.1&lt;D56,"Exceed 10% Rule","")</f>
      </c>
      <c r="E57" s="355">
        <f>IF(E58*0.1+E77&lt;E56,"Exceed 10% Rule","")</f>
      </c>
    </row>
    <row r="58" spans="2:5" ht="15.75">
      <c r="B58" s="322" t="s">
        <v>132</v>
      </c>
      <c r="C58" s="460">
        <f>SUM(C46:C56)</f>
        <v>0</v>
      </c>
      <c r="D58" s="460">
        <f>SUM(D46:D56)</f>
        <v>0</v>
      </c>
      <c r="E58" s="363">
        <f>SUM(E46:E56)</f>
        <v>0</v>
      </c>
    </row>
    <row r="59" spans="2:5" ht="15.75">
      <c r="B59" s="322" t="s">
        <v>133</v>
      </c>
      <c r="C59" s="460">
        <f>C44+C58</f>
        <v>0</v>
      </c>
      <c r="D59" s="460">
        <f>D44+D58</f>
        <v>0</v>
      </c>
      <c r="E59" s="363">
        <f>E44+E58</f>
        <v>0</v>
      </c>
    </row>
    <row r="60" spans="2:5" ht="15.75">
      <c r="B60" s="153" t="s">
        <v>136</v>
      </c>
      <c r="C60" s="320"/>
      <c r="D60" s="320"/>
      <c r="E60" s="113"/>
    </row>
    <row r="61" spans="2:5" ht="15.75">
      <c r="B61" s="329"/>
      <c r="C61" s="458"/>
      <c r="D61" s="458"/>
      <c r="E61" s="117"/>
    </row>
    <row r="62" spans="2:5" ht="15.75">
      <c r="B62" s="329"/>
      <c r="C62" s="458"/>
      <c r="D62" s="458"/>
      <c r="E62" s="117"/>
    </row>
    <row r="63" spans="2:5" ht="15.75">
      <c r="B63" s="329"/>
      <c r="C63" s="458"/>
      <c r="D63" s="458"/>
      <c r="E63" s="117"/>
    </row>
    <row r="64" spans="2:5" ht="15.75">
      <c r="B64" s="329"/>
      <c r="C64" s="458"/>
      <c r="D64" s="458"/>
      <c r="E64" s="117"/>
    </row>
    <row r="65" spans="2:5" ht="15.75">
      <c r="B65" s="329"/>
      <c r="C65" s="458"/>
      <c r="D65" s="458"/>
      <c r="E65" s="117"/>
    </row>
    <row r="66" spans="2:5" ht="15.75">
      <c r="B66" s="329"/>
      <c r="C66" s="458"/>
      <c r="D66" s="458"/>
      <c r="E66" s="117"/>
    </row>
    <row r="67" spans="2:5" ht="15.75">
      <c r="B67" s="320" t="s">
        <v>872</v>
      </c>
      <c r="C67" s="458"/>
      <c r="D67" s="458"/>
      <c r="E67" s="125">
        <f>Nhood!E28</f>
      </c>
    </row>
    <row r="68" spans="2:5" ht="15.75">
      <c r="B68" s="320" t="s">
        <v>870</v>
      </c>
      <c r="C68" s="458"/>
      <c r="D68" s="458"/>
      <c r="E68" s="117"/>
    </row>
    <row r="69" spans="2:5" ht="15.75">
      <c r="B69" s="320" t="s">
        <v>721</v>
      </c>
      <c r="C69" s="459">
        <f>IF(C70*0.1&lt;C68,"Exceed 10% Rule","")</f>
      </c>
      <c r="D69" s="459">
        <f>IF(D70*0.1&lt;D68,"Exceed 10% Rule","")</f>
      </c>
      <c r="E69" s="355">
        <f>IF(E70*0.1&lt;E68,"Exceed 10% Rule","")</f>
      </c>
    </row>
    <row r="70" spans="2:5" ht="15.75">
      <c r="B70" s="322" t="s">
        <v>137</v>
      </c>
      <c r="C70" s="460">
        <f>SUM(C61:C68)</f>
        <v>0</v>
      </c>
      <c r="D70" s="460">
        <f>SUM(D61:D68)</f>
        <v>0</v>
      </c>
      <c r="E70" s="363">
        <f>SUM(E61:E68)</f>
        <v>0</v>
      </c>
    </row>
    <row r="71" spans="2:5" ht="15.75">
      <c r="B71" s="153" t="s">
        <v>254</v>
      </c>
      <c r="C71" s="463">
        <f>C59-C70</f>
        <v>0</v>
      </c>
      <c r="D71" s="463">
        <f>D59-D70</f>
        <v>0</v>
      </c>
      <c r="E71" s="348" t="s">
        <v>111</v>
      </c>
    </row>
    <row r="72" spans="2:6" ht="15.75">
      <c r="B72" s="298" t="str">
        <f>CONCATENATE("",E$1-2,"/",E$1-1," Budget Authority Amount:")</f>
        <v>2010/2011 Budget Authority Amount:</v>
      </c>
      <c r="C72" s="290">
        <f>inputOth!B53</f>
        <v>0</v>
      </c>
      <c r="D72" s="290">
        <f>inputPrYr!D38</f>
        <v>0</v>
      </c>
      <c r="E72" s="348" t="s">
        <v>111</v>
      </c>
      <c r="F72" s="331"/>
    </row>
    <row r="73" spans="2:6" ht="15.75">
      <c r="B73" s="298"/>
      <c r="C73" s="729" t="s">
        <v>725</v>
      </c>
      <c r="D73" s="730"/>
      <c r="E73" s="117"/>
      <c r="F73" s="331">
        <f>IF(E70/0.95-E70&lt;E73,"Exceeds 5%","")</f>
      </c>
    </row>
    <row r="74" spans="2:5" ht="15.75">
      <c r="B74" s="537" t="str">
        <f>CONCATENATE(C90,"     ",D90)</f>
        <v>     </v>
      </c>
      <c r="C74" s="731" t="s">
        <v>726</v>
      </c>
      <c r="D74" s="732"/>
      <c r="E74" s="276">
        <f>E70+E73</f>
        <v>0</v>
      </c>
    </row>
    <row r="75" spans="2:5" ht="15.75">
      <c r="B75" s="537" t="str">
        <f>CONCATENATE(C91,"     ",D91)</f>
        <v>     </v>
      </c>
      <c r="C75" s="332"/>
      <c r="D75" s="252" t="s">
        <v>138</v>
      </c>
      <c r="E75" s="125">
        <f>IF(E74-E59&gt;0,E74-E59,0)</f>
        <v>0</v>
      </c>
    </row>
    <row r="76" spans="2:5" ht="15.75">
      <c r="B76" s="252"/>
      <c r="C76" s="536" t="s">
        <v>727</v>
      </c>
      <c r="D76" s="508">
        <f>inputOth!$E$24</f>
        <v>0</v>
      </c>
      <c r="E76" s="276">
        <f>ROUND(IF(D76&gt;0,($E$75*D76),0),0)</f>
        <v>0</v>
      </c>
    </row>
    <row r="77" spans="2:5" ht="15.75">
      <c r="B77" s="90"/>
      <c r="C77" s="727" t="str">
        <f>CONCATENATE("Amount of  ",$E$1-1," Ad Valorem Tax")</f>
        <v>Amount of  2011 Ad Valorem Tax</v>
      </c>
      <c r="D77" s="728"/>
      <c r="E77" s="359">
        <f>E75+E76</f>
        <v>0</v>
      </c>
    </row>
    <row r="78" spans="2:5" ht="15.75">
      <c r="B78" s="298" t="s">
        <v>160</v>
      </c>
      <c r="C78" s="360"/>
      <c r="D78" s="90"/>
      <c r="E78" s="90"/>
    </row>
    <row r="88" spans="3:4" ht="15.75" hidden="1">
      <c r="C88" s="77">
        <f>IF(C33&gt;C35,"See Tab A","")</f>
      </c>
      <c r="D88" s="77">
        <f>IF(D33&gt;D35,"See Tab C","")</f>
      </c>
    </row>
    <row r="89" spans="3:4" ht="15.75" hidden="1">
      <c r="C89" s="77">
        <f>IF(C34&lt;0,"See Tab B","")</f>
      </c>
      <c r="D89" s="77">
        <f>IF(D34&lt;0,"See Tab D","")</f>
      </c>
    </row>
    <row r="90" spans="3:4" ht="15.75" hidden="1">
      <c r="C90" s="77">
        <f>IF(C70&gt;C72,"See Tab A","")</f>
      </c>
      <c r="D90" s="77">
        <f>IF(D70&gt;D72,"See Tab C","")</f>
      </c>
    </row>
    <row r="91" spans="3:4" ht="15.75" hidden="1">
      <c r="C91" s="77">
        <f>IF(C71&lt;0,"See Tab B","")</f>
      </c>
      <c r="D91" s="77">
        <f>IF(D71&lt;0,"See Tab D","")</f>
      </c>
    </row>
  </sheetData>
  <sheetProtection sheet="1"/>
  <mergeCells count="6">
    <mergeCell ref="C77:D77"/>
    <mergeCell ref="C40:D40"/>
    <mergeCell ref="C36:D36"/>
    <mergeCell ref="C37:D37"/>
    <mergeCell ref="C73:D73"/>
    <mergeCell ref="C74:D74"/>
  </mergeCells>
  <conditionalFormatting sqref="E68">
    <cfRule type="cellIs" priority="3" dxfId="405" operator="greaterThan" stopIfTrue="1">
      <formula>$E$70*0.1</formula>
    </cfRule>
  </conditionalFormatting>
  <conditionalFormatting sqref="E73">
    <cfRule type="cellIs" priority="4" dxfId="405" operator="greaterThan" stopIfTrue="1">
      <formula>$E$70/0.95-$E$70</formula>
    </cfRule>
  </conditionalFormatting>
  <conditionalFormatting sqref="E36">
    <cfRule type="cellIs" priority="5" dxfId="405" operator="greaterThan" stopIfTrue="1">
      <formula>$E$33/0.95-$E$33</formula>
    </cfRule>
  </conditionalFormatting>
  <conditionalFormatting sqref="E31">
    <cfRule type="cellIs" priority="6" dxfId="405" operator="greaterThan" stopIfTrue="1">
      <formula>$E$33*0.1</formula>
    </cfRule>
  </conditionalFormatting>
  <conditionalFormatting sqref="C71 C34">
    <cfRule type="cellIs" priority="7" dxfId="2" operator="lessThan" stopIfTrue="1">
      <formula>0</formula>
    </cfRule>
  </conditionalFormatting>
  <conditionalFormatting sqref="C70">
    <cfRule type="cellIs" priority="8" dxfId="2" operator="greaterThan" stopIfTrue="1">
      <formula>$C$72</formula>
    </cfRule>
  </conditionalFormatting>
  <conditionalFormatting sqref="D70">
    <cfRule type="cellIs" priority="9" dxfId="2" operator="greaterThan" stopIfTrue="1">
      <formula>$D$72</formula>
    </cfRule>
  </conditionalFormatting>
  <conditionalFormatting sqref="C68">
    <cfRule type="cellIs" priority="10" dxfId="2" operator="greaterThan" stopIfTrue="1">
      <formula>$C$70*0.1</formula>
    </cfRule>
  </conditionalFormatting>
  <conditionalFormatting sqref="D68">
    <cfRule type="cellIs" priority="11" dxfId="2" operator="greaterThan" stopIfTrue="1">
      <formula>$D$70*0.1</formula>
    </cfRule>
  </conditionalFormatting>
  <conditionalFormatting sqref="E56">
    <cfRule type="cellIs" priority="12" dxfId="405" operator="greaterThan" stopIfTrue="1">
      <formula>$E$58*0.1+E77</formula>
    </cfRule>
  </conditionalFormatting>
  <conditionalFormatting sqref="C56">
    <cfRule type="cellIs" priority="13" dxfId="2" operator="greaterThan" stopIfTrue="1">
      <formula>$C$58*0.1</formula>
    </cfRule>
  </conditionalFormatting>
  <conditionalFormatting sqref="D56">
    <cfRule type="cellIs" priority="14" dxfId="2" operator="greaterThan" stopIfTrue="1">
      <formula>$D$58*0.1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9">
    <cfRule type="cellIs" priority="19" dxfId="405" operator="greaterThan" stopIfTrue="1">
      <formula>$E$21*0.1+E40</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62" r:id="rId1"/>
  <headerFooter alignWithMargins="0">
    <oddHeader>&amp;RState of Kansas
County
</oddHeader>
  </headerFooter>
</worksheet>
</file>

<file path=xl/worksheets/sheet47.xml><?xml version="1.0" encoding="utf-8"?>
<worksheet xmlns="http://schemas.openxmlformats.org/spreadsheetml/2006/main" xmlns:r="http://schemas.openxmlformats.org/officeDocument/2006/relationships">
  <sheetPr>
    <pageSetUpPr fitToPage="1"/>
  </sheetPr>
  <dimension ref="B1:F91"/>
  <sheetViews>
    <sheetView tabSelected="1" zoomScalePageLayoutView="0" workbookViewId="0" topLeftCell="A1">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29687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211</v>
      </c>
      <c r="C3" s="344"/>
      <c r="D3" s="344"/>
      <c r="E3" s="345"/>
    </row>
    <row r="4" spans="2:5" ht="15.75">
      <c r="B4" s="90"/>
      <c r="C4" s="338"/>
      <c r="D4" s="338"/>
      <c r="E4" s="338"/>
    </row>
    <row r="5" spans="2:5" ht="15.75">
      <c r="B5" s="89" t="s">
        <v>123</v>
      </c>
      <c r="C5" s="481" t="str">
        <f>general!C4</f>
        <v>Prior Year Actual</v>
      </c>
      <c r="D5" s="480" t="str">
        <f>general!D4</f>
        <v>Current Year Estimate</v>
      </c>
      <c r="E5" s="482" t="str">
        <f>general!E4</f>
        <v>Proposed Budget Year</v>
      </c>
    </row>
    <row r="6" spans="2:5" ht="15.75">
      <c r="B6" s="516" t="str">
        <f>inputPrYr!B39</f>
        <v> </v>
      </c>
      <c r="C6" s="461">
        <f>general!$C$5</f>
        <v>2010</v>
      </c>
      <c r="D6" s="461">
        <f>general!D5</f>
        <v>2011</v>
      </c>
      <c r="E6" s="313">
        <f>general!E5</f>
        <v>2012</v>
      </c>
    </row>
    <row r="7" spans="2:5" ht="15.75">
      <c r="B7" s="153" t="s">
        <v>253</v>
      </c>
      <c r="C7" s="458"/>
      <c r="D7" s="462">
        <f>C34</f>
        <v>0</v>
      </c>
      <c r="E7" s="276">
        <f>D34</f>
        <v>0</v>
      </c>
    </row>
    <row r="8" spans="2:5" ht="15.75">
      <c r="B8" s="301" t="s">
        <v>255</v>
      </c>
      <c r="C8" s="316"/>
      <c r="D8" s="316"/>
      <c r="E8" s="132"/>
    </row>
    <row r="9" spans="2:5" ht="15.75">
      <c r="B9" s="153" t="s">
        <v>124</v>
      </c>
      <c r="C9" s="458"/>
      <c r="D9" s="462">
        <f>inputPrYr!E39</f>
        <v>0</v>
      </c>
      <c r="E9" s="348" t="s">
        <v>111</v>
      </c>
    </row>
    <row r="10" spans="2:5" ht="15.75">
      <c r="B10" s="153" t="s">
        <v>125</v>
      </c>
      <c r="C10" s="458"/>
      <c r="D10" s="458"/>
      <c r="E10" s="117"/>
    </row>
    <row r="11" spans="2:5" ht="15.75">
      <c r="B11" s="153" t="s">
        <v>126</v>
      </c>
      <c r="C11" s="458"/>
      <c r="D11" s="458"/>
      <c r="E11" s="276" t="str">
        <f>mvalloc!D31</f>
        <v>  </v>
      </c>
    </row>
    <row r="12" spans="2:5" ht="15.75">
      <c r="B12" s="153" t="s">
        <v>127</v>
      </c>
      <c r="C12" s="458"/>
      <c r="D12" s="458"/>
      <c r="E12" s="276" t="str">
        <f>mvalloc!E31</f>
        <v>  </v>
      </c>
    </row>
    <row r="13" spans="2:5" ht="15.75">
      <c r="B13" s="316" t="s">
        <v>202</v>
      </c>
      <c r="C13" s="458"/>
      <c r="D13" s="458"/>
      <c r="E13" s="276" t="str">
        <f>mvalloc!F31</f>
        <v>  </v>
      </c>
    </row>
    <row r="14" spans="2:5" ht="15.75">
      <c r="B14" s="316" t="s">
        <v>304</v>
      </c>
      <c r="C14" s="458"/>
      <c r="D14" s="458"/>
      <c r="E14" s="276" t="str">
        <f>mvalloc!G31</f>
        <v> </v>
      </c>
    </row>
    <row r="15" spans="2:5" ht="15.75">
      <c r="B15" s="329"/>
      <c r="C15" s="458"/>
      <c r="D15" s="458"/>
      <c r="E15" s="117"/>
    </row>
    <row r="16" spans="2:5" ht="15.75">
      <c r="B16" s="329"/>
      <c r="C16" s="458"/>
      <c r="D16" s="458"/>
      <c r="E16" s="117"/>
    </row>
    <row r="17" spans="2:5" ht="15.75">
      <c r="B17" s="329"/>
      <c r="C17" s="458"/>
      <c r="D17" s="458"/>
      <c r="E17" s="117"/>
    </row>
    <row r="18" spans="2:5" ht="15.75">
      <c r="B18" s="319" t="s">
        <v>131</v>
      </c>
      <c r="C18" s="458"/>
      <c r="D18" s="458"/>
      <c r="E18" s="117"/>
    </row>
    <row r="19" spans="2:5" ht="15.75">
      <c r="B19" s="320" t="s">
        <v>870</v>
      </c>
      <c r="C19" s="458"/>
      <c r="D19" s="458"/>
      <c r="E19" s="117"/>
    </row>
    <row r="20" spans="2:5" ht="15.75">
      <c r="B20" s="320" t="s">
        <v>722</v>
      </c>
      <c r="C20" s="459">
        <f>IF(C21*0.1&lt;C19,"Exceed 10% Rule","")</f>
      </c>
      <c r="D20" s="459">
        <f>IF(D21*0.1&lt;D19,"Exceed 10% Rule","")</f>
      </c>
      <c r="E20" s="355">
        <f>IF(E21*0.1+E40&lt;E19,"Exceed 10% Rule","")</f>
      </c>
    </row>
    <row r="21" spans="2:5" ht="15.75">
      <c r="B21" s="322" t="s">
        <v>132</v>
      </c>
      <c r="C21" s="460">
        <f>SUM(C9:C19)</f>
        <v>0</v>
      </c>
      <c r="D21" s="460">
        <f>SUM(D9:D19)</f>
        <v>0</v>
      </c>
      <c r="E21" s="363">
        <f>SUM(E9:E19)</f>
        <v>0</v>
      </c>
    </row>
    <row r="22" spans="2:5" ht="15.75">
      <c r="B22" s="322" t="s">
        <v>133</v>
      </c>
      <c r="C22" s="460">
        <f>C7+C21</f>
        <v>0</v>
      </c>
      <c r="D22" s="460">
        <f>D7+D21</f>
        <v>0</v>
      </c>
      <c r="E22" s="363">
        <f>E7+E21</f>
        <v>0</v>
      </c>
    </row>
    <row r="23" spans="2:5" ht="15.75">
      <c r="B23" s="153" t="s">
        <v>136</v>
      </c>
      <c r="C23" s="320"/>
      <c r="D23" s="320"/>
      <c r="E23" s="113"/>
    </row>
    <row r="24" spans="2:5" ht="15.75">
      <c r="B24" s="329"/>
      <c r="C24" s="458"/>
      <c r="D24" s="458"/>
      <c r="E24" s="117"/>
    </row>
    <row r="25" spans="2:5" ht="15.75">
      <c r="B25" s="329"/>
      <c r="C25" s="458"/>
      <c r="D25" s="458"/>
      <c r="E25" s="117"/>
    </row>
    <row r="26" spans="2:5" ht="15.75">
      <c r="B26" s="329"/>
      <c r="C26" s="458"/>
      <c r="D26" s="458"/>
      <c r="E26" s="117"/>
    </row>
    <row r="27" spans="2:5" ht="15.75">
      <c r="B27" s="329"/>
      <c r="C27" s="458"/>
      <c r="D27" s="458"/>
      <c r="E27" s="117"/>
    </row>
    <row r="28" spans="2:5" ht="15.75">
      <c r="B28" s="329"/>
      <c r="C28" s="458"/>
      <c r="D28" s="458"/>
      <c r="E28" s="117"/>
    </row>
    <row r="29" spans="2:5" ht="15.75">
      <c r="B29" s="329"/>
      <c r="C29" s="458"/>
      <c r="D29" s="458"/>
      <c r="E29" s="117"/>
    </row>
    <row r="30" spans="2:5" ht="15.75">
      <c r="B30" s="320" t="s">
        <v>872</v>
      </c>
      <c r="C30" s="458"/>
      <c r="D30" s="458"/>
      <c r="E30" s="125">
        <f>Nhood!E29</f>
      </c>
    </row>
    <row r="31" spans="2:5" ht="15.75">
      <c r="B31" s="320" t="s">
        <v>870</v>
      </c>
      <c r="C31" s="458"/>
      <c r="D31" s="458"/>
      <c r="E31" s="117"/>
    </row>
    <row r="32" spans="2:5" ht="15.75">
      <c r="B32" s="320" t="s">
        <v>721</v>
      </c>
      <c r="C32" s="459">
        <f>IF(C33*0.1&lt;C31,"Exceed 10% Rule","")</f>
      </c>
      <c r="D32" s="459">
        <f>IF(D33*0.1&lt;D31,"Exceed 10% Rule","")</f>
      </c>
      <c r="E32" s="355">
        <f>IF(E33*0.1&lt;E31,"Exceed 10% Rule","")</f>
      </c>
    </row>
    <row r="33" spans="2:5" ht="15.75">
      <c r="B33" s="322" t="s">
        <v>137</v>
      </c>
      <c r="C33" s="460">
        <f>SUM(C24:C31)</f>
        <v>0</v>
      </c>
      <c r="D33" s="460">
        <f>SUM(D24:D31)</f>
        <v>0</v>
      </c>
      <c r="E33" s="363">
        <f>SUM(E24:E31)</f>
        <v>0</v>
      </c>
    </row>
    <row r="34" spans="2:5" ht="15.75">
      <c r="B34" s="153" t="s">
        <v>254</v>
      </c>
      <c r="C34" s="463">
        <f>C22-C33</f>
        <v>0</v>
      </c>
      <c r="D34" s="463">
        <f>D22-D33</f>
        <v>0</v>
      </c>
      <c r="E34" s="348" t="s">
        <v>111</v>
      </c>
    </row>
    <row r="35" spans="2:6" ht="15.75">
      <c r="B35" s="298" t="str">
        <f>CONCATENATE("",E$1-2,"/",E$1-1," Budget Authority Amount:")</f>
        <v>2010/2011 Budget Authority Amount:</v>
      </c>
      <c r="C35" s="290">
        <f>inputOth!B54</f>
        <v>0</v>
      </c>
      <c r="D35" s="290">
        <f>inputPrYr!D39</f>
        <v>0</v>
      </c>
      <c r="E35" s="348" t="s">
        <v>111</v>
      </c>
      <c r="F35" s="331"/>
    </row>
    <row r="36" spans="2:6" ht="15.75">
      <c r="B36" s="298"/>
      <c r="C36" s="729" t="s">
        <v>725</v>
      </c>
      <c r="D36" s="730"/>
      <c r="E36" s="117"/>
      <c r="F36" s="331">
        <f>IF(E33/0.95-E33&lt;E36,"Exceeds 5%","")</f>
      </c>
    </row>
    <row r="37" spans="2:5" ht="15.75">
      <c r="B37" s="538" t="str">
        <f>CONCATENATE(C88,"     ",D88)</f>
        <v>     </v>
      </c>
      <c r="C37" s="731" t="s">
        <v>726</v>
      </c>
      <c r="D37" s="732"/>
      <c r="E37" s="276">
        <f>E33+E36</f>
        <v>0</v>
      </c>
    </row>
    <row r="38" spans="2:5" ht="15.75">
      <c r="B38" s="538" t="str">
        <f>CONCATENATE(C89,"     ",D89)</f>
        <v>     </v>
      </c>
      <c r="C38" s="332"/>
      <c r="D38" s="252" t="s">
        <v>138</v>
      </c>
      <c r="E38" s="125">
        <f>IF(E37-E22&gt;0,E37-E22,0)</f>
        <v>0</v>
      </c>
    </row>
    <row r="39" spans="2:5" ht="15.75">
      <c r="B39" s="252"/>
      <c r="C39" s="536" t="s">
        <v>727</v>
      </c>
      <c r="D39" s="508">
        <f>inputOth!$E$24</f>
        <v>0</v>
      </c>
      <c r="E39" s="276">
        <f>ROUND(IF(D39&gt;0,($E$38*D39),0),0)</f>
        <v>0</v>
      </c>
    </row>
    <row r="40" spans="2:5" ht="15.75">
      <c r="B40" s="90"/>
      <c r="C40" s="727" t="str">
        <f>CONCATENATE("Amount of  ",$E$1-1," Ad Valorem Tax")</f>
        <v>Amount of  2011 Ad Valorem Tax</v>
      </c>
      <c r="D40" s="728"/>
      <c r="E40" s="359">
        <f>E38+E39</f>
        <v>0</v>
      </c>
    </row>
    <row r="41" spans="2:5" ht="15.75">
      <c r="B41" s="90"/>
      <c r="C41" s="338"/>
      <c r="D41" s="338"/>
      <c r="E41" s="338"/>
    </row>
    <row r="42" spans="2:5" ht="15.75">
      <c r="B42" s="89" t="s">
        <v>123</v>
      </c>
      <c r="C42" s="481" t="str">
        <f aca="true" t="shared" si="0" ref="C42:E43">C5</f>
        <v>Prior Year Actual</v>
      </c>
      <c r="D42" s="480" t="str">
        <f t="shared" si="0"/>
        <v>Current Year Estimate</v>
      </c>
      <c r="E42" s="482" t="str">
        <f t="shared" si="0"/>
        <v>Proposed Budget Year</v>
      </c>
    </row>
    <row r="43" spans="2:5" ht="15.75">
      <c r="B43" s="515" t="str">
        <f>inputPrYr!B40</f>
        <v> </v>
      </c>
      <c r="C43" s="461">
        <f t="shared" si="0"/>
        <v>2010</v>
      </c>
      <c r="D43" s="461">
        <f t="shared" si="0"/>
        <v>2011</v>
      </c>
      <c r="E43" s="313">
        <f t="shared" si="0"/>
        <v>2012</v>
      </c>
    </row>
    <row r="44" spans="2:5" ht="15.75">
      <c r="B44" s="153" t="s">
        <v>253</v>
      </c>
      <c r="C44" s="458"/>
      <c r="D44" s="462">
        <f>C71</f>
        <v>0</v>
      </c>
      <c r="E44" s="276">
        <f>D71</f>
        <v>0</v>
      </c>
    </row>
    <row r="45" spans="2:5" ht="15.75">
      <c r="B45" s="314" t="s">
        <v>255</v>
      </c>
      <c r="C45" s="316"/>
      <c r="D45" s="316"/>
      <c r="E45" s="132"/>
    </row>
    <row r="46" spans="2:5" ht="15.75">
      <c r="B46" s="153" t="s">
        <v>124</v>
      </c>
      <c r="C46" s="458"/>
      <c r="D46" s="462">
        <f>inputPrYr!E40</f>
        <v>0</v>
      </c>
      <c r="E46" s="348" t="s">
        <v>111</v>
      </c>
    </row>
    <row r="47" spans="2:5" ht="15.75">
      <c r="B47" s="153" t="s">
        <v>125</v>
      </c>
      <c r="C47" s="458"/>
      <c r="D47" s="458"/>
      <c r="E47" s="117"/>
    </row>
    <row r="48" spans="2:5" ht="15.75">
      <c r="B48" s="153" t="s">
        <v>126</v>
      </c>
      <c r="C48" s="458"/>
      <c r="D48" s="458"/>
      <c r="E48" s="276" t="str">
        <f>mvalloc!D32</f>
        <v>  </v>
      </c>
    </row>
    <row r="49" spans="2:5" ht="15.75">
      <c r="B49" s="153" t="s">
        <v>127</v>
      </c>
      <c r="C49" s="458"/>
      <c r="D49" s="458"/>
      <c r="E49" s="276" t="str">
        <f>mvalloc!E32</f>
        <v>  </v>
      </c>
    </row>
    <row r="50" spans="2:5" ht="15.75">
      <c r="B50" s="316" t="s">
        <v>202</v>
      </c>
      <c r="C50" s="458"/>
      <c r="D50" s="458"/>
      <c r="E50" s="276" t="str">
        <f>mvalloc!F32</f>
        <v>  </v>
      </c>
    </row>
    <row r="51" spans="2:5" ht="15.75">
      <c r="B51" s="316" t="s">
        <v>304</v>
      </c>
      <c r="C51" s="458"/>
      <c r="D51" s="458"/>
      <c r="E51" s="276" t="str">
        <f>mvalloc!G32</f>
        <v> </v>
      </c>
    </row>
    <row r="52" spans="2:5" ht="15.75">
      <c r="B52" s="329"/>
      <c r="C52" s="458"/>
      <c r="D52" s="458"/>
      <c r="E52" s="117"/>
    </row>
    <row r="53" spans="2:5" ht="15.75">
      <c r="B53" s="329"/>
      <c r="C53" s="458"/>
      <c r="D53" s="458"/>
      <c r="E53" s="117"/>
    </row>
    <row r="54" spans="2:5" ht="15.75">
      <c r="B54" s="329"/>
      <c r="C54" s="458"/>
      <c r="D54" s="458"/>
      <c r="E54" s="117"/>
    </row>
    <row r="55" spans="2:5" ht="15.75">
      <c r="B55" s="319" t="s">
        <v>131</v>
      </c>
      <c r="C55" s="458"/>
      <c r="D55" s="458"/>
      <c r="E55" s="117"/>
    </row>
    <row r="56" spans="2:5" ht="15.75">
      <c r="B56" s="320" t="s">
        <v>870</v>
      </c>
      <c r="C56" s="458"/>
      <c r="D56" s="458"/>
      <c r="E56" s="117"/>
    </row>
    <row r="57" spans="2:5" ht="15.75">
      <c r="B57" s="320" t="s">
        <v>722</v>
      </c>
      <c r="C57" s="459">
        <f>IF(C58*0.1&lt;C56,"Exceed 10% Rule","")</f>
      </c>
      <c r="D57" s="459">
        <f>IF(D58*0.1&lt;D56,"Exceed 10% Rule","")</f>
      </c>
      <c r="E57" s="355">
        <f>IF(E58*0.1+E77&lt;E56,"Exceed 10% Rule","")</f>
      </c>
    </row>
    <row r="58" spans="2:5" ht="15.75">
      <c r="B58" s="322" t="s">
        <v>132</v>
      </c>
      <c r="C58" s="460">
        <f>SUM(C46:C56)</f>
        <v>0</v>
      </c>
      <c r="D58" s="460">
        <f>SUM(D46:D56)</f>
        <v>0</v>
      </c>
      <c r="E58" s="363">
        <f>SUM(E46:E56)</f>
        <v>0</v>
      </c>
    </row>
    <row r="59" spans="2:5" ht="15.75">
      <c r="B59" s="322" t="s">
        <v>133</v>
      </c>
      <c r="C59" s="460">
        <f>C44+C58</f>
        <v>0</v>
      </c>
      <c r="D59" s="460">
        <f>D44+D58</f>
        <v>0</v>
      </c>
      <c r="E59" s="363">
        <f>E44+E58</f>
        <v>0</v>
      </c>
    </row>
    <row r="60" spans="2:5" ht="15.75">
      <c r="B60" s="153" t="s">
        <v>136</v>
      </c>
      <c r="C60" s="320"/>
      <c r="D60" s="320"/>
      <c r="E60" s="113"/>
    </row>
    <row r="61" spans="2:5" ht="15.75">
      <c r="B61" s="329"/>
      <c r="C61" s="458"/>
      <c r="D61" s="458"/>
      <c r="E61" s="117"/>
    </row>
    <row r="62" spans="2:5" ht="15.75">
      <c r="B62" s="329"/>
      <c r="C62" s="458"/>
      <c r="D62" s="458"/>
      <c r="E62" s="117"/>
    </row>
    <row r="63" spans="2:5" ht="15.75">
      <c r="B63" s="329"/>
      <c r="C63" s="458"/>
      <c r="D63" s="458"/>
      <c r="E63" s="117"/>
    </row>
    <row r="64" spans="2:5" ht="15.75">
      <c r="B64" s="329"/>
      <c r="C64" s="458"/>
      <c r="D64" s="458"/>
      <c r="E64" s="117"/>
    </row>
    <row r="65" spans="2:5" ht="15.75">
      <c r="B65" s="329"/>
      <c r="C65" s="458"/>
      <c r="D65" s="458"/>
      <c r="E65" s="117"/>
    </row>
    <row r="66" spans="2:5" ht="15.75">
      <c r="B66" s="329"/>
      <c r="C66" s="458"/>
      <c r="D66" s="458"/>
      <c r="E66" s="117"/>
    </row>
    <row r="67" spans="2:5" ht="15.75">
      <c r="B67" s="320" t="s">
        <v>872</v>
      </c>
      <c r="C67" s="458"/>
      <c r="D67" s="458"/>
      <c r="E67" s="125">
        <f>Nhood!E30</f>
      </c>
    </row>
    <row r="68" spans="2:5" ht="15.75">
      <c r="B68" s="320" t="s">
        <v>870</v>
      </c>
      <c r="C68" s="458"/>
      <c r="D68" s="458"/>
      <c r="E68" s="117"/>
    </row>
    <row r="69" spans="2:5" ht="15.75">
      <c r="B69" s="320" t="s">
        <v>721</v>
      </c>
      <c r="C69" s="459">
        <f>IF(C70*0.1&lt;C68,"Exceed 10% Rule","")</f>
      </c>
      <c r="D69" s="459">
        <f>IF(D70*0.1&lt;D68,"Exceed 10% Rule","")</f>
      </c>
      <c r="E69" s="355">
        <f>IF(E70*0.1&lt;E68,"Exceed 10% Rule","")</f>
      </c>
    </row>
    <row r="70" spans="2:5" ht="15.75">
      <c r="B70" s="322" t="s">
        <v>137</v>
      </c>
      <c r="C70" s="460">
        <f>SUM(C61:C68)</f>
        <v>0</v>
      </c>
      <c r="D70" s="460">
        <f>SUM(D61:D68)</f>
        <v>0</v>
      </c>
      <c r="E70" s="363">
        <f>SUM(E61:E68)</f>
        <v>0</v>
      </c>
    </row>
    <row r="71" spans="2:5" ht="15.75">
      <c r="B71" s="153" t="s">
        <v>254</v>
      </c>
      <c r="C71" s="463">
        <f>C59-C70</f>
        <v>0</v>
      </c>
      <c r="D71" s="463">
        <f>D59-D70</f>
        <v>0</v>
      </c>
      <c r="E71" s="348" t="s">
        <v>111</v>
      </c>
    </row>
    <row r="72" spans="2:6" ht="15.75">
      <c r="B72" s="298" t="str">
        <f>CONCATENATE("",E$1-2,"/",E$1-1," Budget Authority Amount:")</f>
        <v>2010/2011 Budget Authority Amount:</v>
      </c>
      <c r="C72" s="290">
        <f>inputOth!B55</f>
        <v>0</v>
      </c>
      <c r="D72" s="290">
        <f>inputPrYr!D40</f>
        <v>0</v>
      </c>
      <c r="E72" s="348" t="s">
        <v>111</v>
      </c>
      <c r="F72" s="331"/>
    </row>
    <row r="73" spans="2:6" ht="15.75">
      <c r="B73" s="298"/>
      <c r="C73" s="729" t="s">
        <v>725</v>
      </c>
      <c r="D73" s="730"/>
      <c r="E73" s="117"/>
      <c r="F73" s="331">
        <f>IF(E70/0.95-E70&lt;E73,"Exceeds 5%","")</f>
      </c>
    </row>
    <row r="74" spans="2:5" ht="15.75">
      <c r="B74" s="537" t="str">
        <f>CONCATENATE(C90,"     ",D90)</f>
        <v>     </v>
      </c>
      <c r="C74" s="731" t="s">
        <v>726</v>
      </c>
      <c r="D74" s="732"/>
      <c r="E74" s="276">
        <f>E70+E73</f>
        <v>0</v>
      </c>
    </row>
    <row r="75" spans="2:5" ht="15.75">
      <c r="B75" s="537" t="str">
        <f>CONCATENATE(C91,"     ",D91)</f>
        <v>     </v>
      </c>
      <c r="C75" s="332"/>
      <c r="D75" s="252" t="s">
        <v>138</v>
      </c>
      <c r="E75" s="125">
        <f>IF(E74-E59&gt;0,E74-E59,0)</f>
        <v>0</v>
      </c>
    </row>
    <row r="76" spans="2:5" ht="15.75">
      <c r="B76" s="252"/>
      <c r="C76" s="536" t="s">
        <v>727</v>
      </c>
      <c r="D76" s="508">
        <f>inputOth!$E$24</f>
        <v>0</v>
      </c>
      <c r="E76" s="276">
        <f>ROUND(IF(D76&gt;0,($E$75*D76),0),0)</f>
        <v>0</v>
      </c>
    </row>
    <row r="77" spans="2:5" ht="15.75">
      <c r="B77" s="90"/>
      <c r="C77" s="727" t="str">
        <f>CONCATENATE("Amount of  ",$E$1-1," Ad Valorem Tax")</f>
        <v>Amount of  2011 Ad Valorem Tax</v>
      </c>
      <c r="D77" s="728"/>
      <c r="E77" s="359">
        <f>E75+E76</f>
        <v>0</v>
      </c>
    </row>
    <row r="78" spans="2:5" ht="15.75">
      <c r="B78" s="298" t="s">
        <v>160</v>
      </c>
      <c r="C78" s="360"/>
      <c r="D78" s="90"/>
      <c r="E78" s="90"/>
    </row>
    <row r="88" spans="3:4" ht="15.75" hidden="1">
      <c r="C88" s="77">
        <f>IF(C33&gt;C35,"See Tab A","")</f>
      </c>
      <c r="D88" s="77">
        <f>IF(D33&gt;D35,"See Tab C","")</f>
      </c>
    </row>
    <row r="89" spans="3:4" ht="15.75" hidden="1">
      <c r="C89" s="77">
        <f>IF(C34&lt;0,"See Tab B","")</f>
      </c>
      <c r="D89" s="77">
        <f>IF(D34&lt;0,"See Tab D","")</f>
      </c>
    </row>
    <row r="90" spans="3:4" ht="15.75" hidden="1">
      <c r="C90" s="77">
        <f>IF(C70&gt;C72,"See Tab A","")</f>
      </c>
      <c r="D90" s="77">
        <f>IF(D70&gt;D72,"See Tab C","")</f>
      </c>
    </row>
    <row r="91" spans="3:4" ht="15.75" hidden="1">
      <c r="C91" s="77">
        <f>IF(C71&lt;0,"See Tab B","")</f>
      </c>
      <c r="D91" s="77">
        <f>IF(D71&lt;0,"See Tab D","")</f>
      </c>
    </row>
  </sheetData>
  <sheetProtection sheet="1"/>
  <mergeCells count="6">
    <mergeCell ref="C77:D77"/>
    <mergeCell ref="C40:D40"/>
    <mergeCell ref="C36:D36"/>
    <mergeCell ref="C37:D37"/>
    <mergeCell ref="C73:D73"/>
    <mergeCell ref="C74:D74"/>
  </mergeCells>
  <conditionalFormatting sqref="E68">
    <cfRule type="cellIs" priority="3" dxfId="405" operator="greaterThan" stopIfTrue="1">
      <formula>$E$70*0.1</formula>
    </cfRule>
  </conditionalFormatting>
  <conditionalFormatting sqref="E73">
    <cfRule type="cellIs" priority="4" dxfId="405" operator="greaterThan" stopIfTrue="1">
      <formula>$E$70/0.95-$E$70</formula>
    </cfRule>
  </conditionalFormatting>
  <conditionalFormatting sqref="E36">
    <cfRule type="cellIs" priority="5" dxfId="405" operator="greaterThan" stopIfTrue="1">
      <formula>$E$33/0.95-$E$33</formula>
    </cfRule>
  </conditionalFormatting>
  <conditionalFormatting sqref="E31">
    <cfRule type="cellIs" priority="6" dxfId="405" operator="greaterThan" stopIfTrue="1">
      <formula>$E$33*0.1</formula>
    </cfRule>
  </conditionalFormatting>
  <conditionalFormatting sqref="C71 C34">
    <cfRule type="cellIs" priority="7" dxfId="2" operator="lessThan" stopIfTrue="1">
      <formula>0</formula>
    </cfRule>
  </conditionalFormatting>
  <conditionalFormatting sqref="C70">
    <cfRule type="cellIs" priority="8" dxfId="2" operator="greaterThan" stopIfTrue="1">
      <formula>$C$72</formula>
    </cfRule>
  </conditionalFormatting>
  <conditionalFormatting sqref="D70">
    <cfRule type="cellIs" priority="9" dxfId="2" operator="greaterThan" stopIfTrue="1">
      <formula>$D$72</formula>
    </cfRule>
  </conditionalFormatting>
  <conditionalFormatting sqref="C68">
    <cfRule type="cellIs" priority="10" dxfId="2" operator="greaterThan" stopIfTrue="1">
      <formula>$C$70*0.1</formula>
    </cfRule>
  </conditionalFormatting>
  <conditionalFormatting sqref="D68">
    <cfRule type="cellIs" priority="11" dxfId="2" operator="greaterThan" stopIfTrue="1">
      <formula>$D$70*0.1</formula>
    </cfRule>
  </conditionalFormatting>
  <conditionalFormatting sqref="E56">
    <cfRule type="cellIs" priority="12" dxfId="405" operator="greaterThan" stopIfTrue="1">
      <formula>$E$58*0.1+E77</formula>
    </cfRule>
  </conditionalFormatting>
  <conditionalFormatting sqref="C56">
    <cfRule type="cellIs" priority="13" dxfId="2" operator="greaterThan" stopIfTrue="1">
      <formula>$C$58*0.1</formula>
    </cfRule>
  </conditionalFormatting>
  <conditionalFormatting sqref="D56">
    <cfRule type="cellIs" priority="14" dxfId="2" operator="greaterThan" stopIfTrue="1">
      <formula>$D$58*0.1</formula>
    </cfRule>
  </conditionalFormatting>
  <conditionalFormatting sqref="C33">
    <cfRule type="cellIs" priority="15" dxfId="2" operator="greaterThan" stopIfTrue="1">
      <formula>$C$35</formula>
    </cfRule>
  </conditionalFormatting>
  <conditionalFormatting sqref="D33">
    <cfRule type="cellIs" priority="16" dxfId="2" operator="greaterThan" stopIfTrue="1">
      <formula>$D$35</formula>
    </cfRule>
  </conditionalFormatting>
  <conditionalFormatting sqref="C31">
    <cfRule type="cellIs" priority="17" dxfId="2" operator="greaterThan" stopIfTrue="1">
      <formula>$C$33*0.1</formula>
    </cfRule>
  </conditionalFormatting>
  <conditionalFormatting sqref="D31">
    <cfRule type="cellIs" priority="18" dxfId="2" operator="greaterThan" stopIfTrue="1">
      <formula>$D$33*0.1</formula>
    </cfRule>
  </conditionalFormatting>
  <conditionalFormatting sqref="E19">
    <cfRule type="cellIs" priority="19" dxfId="405" operator="greaterThan" stopIfTrue="1">
      <formula>$E$21*0.1+E40</formula>
    </cfRule>
  </conditionalFormatting>
  <conditionalFormatting sqref="C19">
    <cfRule type="cellIs" priority="20" dxfId="2" operator="greaterThan" stopIfTrue="1">
      <formula>$C$21*0.1</formula>
    </cfRule>
  </conditionalFormatting>
  <conditionalFormatting sqref="D19">
    <cfRule type="cellIs" priority="21" dxfId="2" operator="greaterThan" stopIfTrue="1">
      <formula>$D$21*0.1</formula>
    </cfRule>
  </conditionalFormatting>
  <conditionalFormatting sqref="D34 D71">
    <cfRule type="cellIs" priority="2" dxfId="0" operator="lessThan" stopIfTrue="1">
      <formula>0</formula>
    </cfRule>
  </conditionalFormatting>
  <printOptions/>
  <pageMargins left="1.12" right="0.5" top="0.74" bottom="0.34" header="0.5" footer="0"/>
  <pageSetup blackAndWhite="1" fitToHeight="1" fitToWidth="1" horizontalDpi="300" verticalDpi="300" orientation="portrait" scale="56" r:id="rId1"/>
  <headerFooter alignWithMargins="0">
    <oddHeader>&amp;RState of Kansas
County
</oddHeader>
  </headerFooter>
</worksheet>
</file>

<file path=xl/worksheets/sheet48.xml><?xml version="1.0" encoding="utf-8"?>
<worksheet xmlns="http://schemas.openxmlformats.org/spreadsheetml/2006/main" xmlns:r="http://schemas.openxmlformats.org/officeDocument/2006/relationships">
  <sheetPr>
    <pageSetUpPr fitToPage="1"/>
  </sheetPr>
  <dimension ref="B1:E66"/>
  <sheetViews>
    <sheetView tabSelected="1" zoomScalePageLayoutView="0" workbookViewId="0" topLeftCell="A1">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212</v>
      </c>
      <c r="C3" s="344"/>
      <c r="D3" s="344"/>
      <c r="E3" s="345"/>
    </row>
    <row r="4" spans="2:5" ht="15.75">
      <c r="B4" s="90"/>
      <c r="C4" s="338"/>
      <c r="D4" s="338"/>
      <c r="E4" s="338"/>
    </row>
    <row r="5" spans="2:5" ht="15.75">
      <c r="B5" s="89" t="s">
        <v>123</v>
      </c>
      <c r="C5" s="577" t="str">
        <f>general!C4</f>
        <v>Prior Year Actual</v>
      </c>
      <c r="D5" s="482" t="str">
        <f>general!D4</f>
        <v>Current Year Estimate</v>
      </c>
      <c r="E5" s="482" t="str">
        <f>general!E4</f>
        <v>Proposed Budget Year</v>
      </c>
    </row>
    <row r="6" spans="2:5" ht="15.75">
      <c r="B6" s="516" t="str">
        <f>inputPrYr!B53</f>
        <v> </v>
      </c>
      <c r="C6" s="326">
        <f>general!C5</f>
        <v>2010</v>
      </c>
      <c r="D6" s="326">
        <f>general!D5</f>
        <v>2011</v>
      </c>
      <c r="E6" s="313">
        <f>general!E5</f>
        <v>2012</v>
      </c>
    </row>
    <row r="7" spans="2:5" ht="15.75">
      <c r="B7" s="153" t="s">
        <v>253</v>
      </c>
      <c r="C7" s="117"/>
      <c r="D7" s="276">
        <f>C30</f>
        <v>0</v>
      </c>
      <c r="E7" s="276">
        <f>D30</f>
        <v>0</v>
      </c>
    </row>
    <row r="8" spans="2:5" ht="15.75">
      <c r="B8" s="347" t="s">
        <v>255</v>
      </c>
      <c r="C8" s="113"/>
      <c r="D8" s="113"/>
      <c r="E8" s="113"/>
    </row>
    <row r="9" spans="2:5" ht="15.75">
      <c r="B9" s="329"/>
      <c r="C9" s="117"/>
      <c r="D9" s="117"/>
      <c r="E9" s="117"/>
    </row>
    <row r="10" spans="2:5" ht="15.75">
      <c r="B10" s="329"/>
      <c r="C10" s="117"/>
      <c r="D10" s="117"/>
      <c r="E10" s="117"/>
    </row>
    <row r="11" spans="2:5" ht="15.75">
      <c r="B11" s="329"/>
      <c r="C11" s="117"/>
      <c r="D11" s="117"/>
      <c r="E11" s="117"/>
    </row>
    <row r="12" spans="2:5" ht="15.75">
      <c r="B12" s="319" t="s">
        <v>131</v>
      </c>
      <c r="C12" s="117"/>
      <c r="D12" s="117"/>
      <c r="E12" s="117"/>
    </row>
    <row r="13" spans="2:5" ht="15.75">
      <c r="B13" s="320" t="s">
        <v>870</v>
      </c>
      <c r="C13" s="117"/>
      <c r="D13" s="315"/>
      <c r="E13" s="315"/>
    </row>
    <row r="14" spans="2:5" ht="15.75">
      <c r="B14" s="320" t="s">
        <v>722</v>
      </c>
      <c r="C14" s="512">
        <f>IF(C15*0.1&lt;C13,"Exceed 10% Rule","")</f>
      </c>
      <c r="D14" s="321">
        <f>IF(D15*0.1&lt;D13,"Exceed 10% Rule","")</f>
      </c>
      <c r="E14" s="321">
        <f>IF(E15*0.1&lt;E13,"Exceed 10% Rule","")</f>
      </c>
    </row>
    <row r="15" spans="2:5" ht="15.75">
      <c r="B15" s="322" t="s">
        <v>132</v>
      </c>
      <c r="C15" s="363">
        <f>SUM(C9:C13)</f>
        <v>0</v>
      </c>
      <c r="D15" s="363">
        <f>SUM(D9:D13)</f>
        <v>0</v>
      </c>
      <c r="E15" s="363">
        <f>SUM(E9:E13)</f>
        <v>0</v>
      </c>
    </row>
    <row r="16" spans="2:5" ht="15.75">
      <c r="B16" s="322" t="s">
        <v>133</v>
      </c>
      <c r="C16" s="363">
        <f>C15+C7</f>
        <v>0</v>
      </c>
      <c r="D16" s="363">
        <f>D15+D7</f>
        <v>0</v>
      </c>
      <c r="E16" s="363">
        <f>E15+E7</f>
        <v>0</v>
      </c>
    </row>
    <row r="17" spans="2:5" ht="15.75">
      <c r="B17" s="153" t="s">
        <v>136</v>
      </c>
      <c r="C17" s="276"/>
      <c r="D17" s="276"/>
      <c r="E17" s="276"/>
    </row>
    <row r="18" spans="2:5" ht="15.75">
      <c r="B18" s="329"/>
      <c r="C18" s="117"/>
      <c r="D18" s="117"/>
      <c r="E18" s="117"/>
    </row>
    <row r="19" spans="2:5" ht="15.75">
      <c r="B19" s="329"/>
      <c r="C19" s="117"/>
      <c r="D19" s="117"/>
      <c r="E19" s="117"/>
    </row>
    <row r="20" spans="2:5" ht="15.75">
      <c r="B20" s="329"/>
      <c r="C20" s="117"/>
      <c r="D20" s="117"/>
      <c r="E20" s="117"/>
    </row>
    <row r="21" spans="2:5" ht="15.75">
      <c r="B21" s="329"/>
      <c r="C21" s="117"/>
      <c r="D21" s="117"/>
      <c r="E21" s="117"/>
    </row>
    <row r="22" spans="2:5" ht="15.75">
      <c r="B22" s="329"/>
      <c r="C22" s="117"/>
      <c r="D22" s="117"/>
      <c r="E22" s="117"/>
    </row>
    <row r="23" spans="2:5" ht="15.75">
      <c r="B23" s="329"/>
      <c r="C23" s="117"/>
      <c r="D23" s="117"/>
      <c r="E23" s="117"/>
    </row>
    <row r="24" spans="2:5" ht="15.75">
      <c r="B24" s="329"/>
      <c r="C24" s="117"/>
      <c r="D24" s="117"/>
      <c r="E24" s="117"/>
    </row>
    <row r="25" spans="2:5" ht="15.75">
      <c r="B25" s="329"/>
      <c r="C25" s="117"/>
      <c r="D25" s="117"/>
      <c r="E25" s="117"/>
    </row>
    <row r="26" spans="2:5" ht="15.75">
      <c r="B26" s="329"/>
      <c r="C26" s="117"/>
      <c r="D26" s="117"/>
      <c r="E26" s="117"/>
    </row>
    <row r="27" spans="2:5" ht="15.75">
      <c r="B27" s="320" t="s">
        <v>870</v>
      </c>
      <c r="C27" s="117"/>
      <c r="D27" s="315"/>
      <c r="E27" s="315"/>
    </row>
    <row r="28" spans="2:5" ht="15.75">
      <c r="B28" s="320" t="s">
        <v>721</v>
      </c>
      <c r="C28" s="512">
        <f>IF(C29*0.1&lt;C27,"Exceed 10% Rule","")</f>
      </c>
      <c r="D28" s="321">
        <f>IF(D29*0.1&lt;D27,"Exceed 10% Rule","")</f>
      </c>
      <c r="E28" s="321">
        <f>IF(E29*0.1&lt;E27,"Exceed 10% Rule","")</f>
      </c>
    </row>
    <row r="29" spans="2:5" ht="15.75">
      <c r="B29" s="322" t="s">
        <v>137</v>
      </c>
      <c r="C29" s="363">
        <f>SUM(C18:C27)</f>
        <v>0</v>
      </c>
      <c r="D29" s="363">
        <f>SUM(D18:D27)</f>
        <v>0</v>
      </c>
      <c r="E29" s="363">
        <f>SUM(E18:E27)</f>
        <v>0</v>
      </c>
    </row>
    <row r="30" spans="2:5" ht="15.75">
      <c r="B30" s="153" t="s">
        <v>254</v>
      </c>
      <c r="C30" s="125">
        <f>C16-C29</f>
        <v>0</v>
      </c>
      <c r="D30" s="125">
        <f>D16-D29</f>
        <v>0</v>
      </c>
      <c r="E30" s="125">
        <f>E16-E29</f>
        <v>0</v>
      </c>
    </row>
    <row r="31" spans="2:5" ht="15.75">
      <c r="B31" s="298" t="str">
        <f>CONCATENATE("",E$1-2,"/",E$1-1," Budget Authority Amount:")</f>
        <v>2010/2011 Budget Authority Amount:</v>
      </c>
      <c r="C31" s="290">
        <f>inputOth!B66</f>
        <v>0</v>
      </c>
      <c r="D31" s="290">
        <f>inputPrYr!D53</f>
        <v>0</v>
      </c>
      <c r="E31" s="511">
        <f>IF(E30&lt;0,"See Tab E","")</f>
      </c>
    </row>
    <row r="32" spans="2:5" ht="15.75">
      <c r="B32" s="298"/>
      <c r="C32" s="332">
        <f>IF(C29&gt;C31,"See Tab A","")</f>
      </c>
      <c r="D32" s="332">
        <f>IF(D29&gt;D31,"See Tab C","")</f>
      </c>
      <c r="E32" s="150"/>
    </row>
    <row r="33" spans="2:5" ht="15.75">
      <c r="B33" s="298"/>
      <c r="C33" s="332">
        <f>IF(C30&lt;0,"See Tab B","")</f>
      </c>
      <c r="D33" s="332">
        <f>IF(D30&lt;0,"See Tab D","")</f>
      </c>
      <c r="E33" s="150"/>
    </row>
    <row r="34" spans="2:5" ht="15.75">
      <c r="B34" s="90"/>
      <c r="C34" s="150"/>
      <c r="D34" s="150"/>
      <c r="E34" s="150"/>
    </row>
    <row r="35" spans="2:5" ht="15.75">
      <c r="B35" s="89" t="s">
        <v>123</v>
      </c>
      <c r="C35" s="338"/>
      <c r="D35" s="338"/>
      <c r="E35" s="338"/>
    </row>
    <row r="36" spans="2:5" ht="15.75">
      <c r="B36" s="90"/>
      <c r="C36" s="577" t="str">
        <f aca="true" t="shared" si="0" ref="C36:E37">C5</f>
        <v>Prior Year Actual</v>
      </c>
      <c r="D36" s="482" t="str">
        <f t="shared" si="0"/>
        <v>Current Year Estimate</v>
      </c>
      <c r="E36" s="482" t="str">
        <f t="shared" si="0"/>
        <v>Proposed Budget Year</v>
      </c>
    </row>
    <row r="37" spans="2:5" ht="15.75">
      <c r="B37" s="516" t="str">
        <f>inputPrYr!B54</f>
        <v> </v>
      </c>
      <c r="C37" s="326">
        <f t="shared" si="0"/>
        <v>2010</v>
      </c>
      <c r="D37" s="326">
        <f t="shared" si="0"/>
        <v>2011</v>
      </c>
      <c r="E37" s="313">
        <f t="shared" si="0"/>
        <v>2012</v>
      </c>
    </row>
    <row r="38" spans="2:5" ht="15.75">
      <c r="B38" s="153" t="s">
        <v>253</v>
      </c>
      <c r="C38" s="117"/>
      <c r="D38" s="276">
        <f>C61</f>
        <v>0</v>
      </c>
      <c r="E38" s="276">
        <f>D61</f>
        <v>0</v>
      </c>
    </row>
    <row r="39" spans="2:5" ht="15.75">
      <c r="B39" s="347" t="s">
        <v>255</v>
      </c>
      <c r="C39" s="113"/>
      <c r="D39" s="113"/>
      <c r="E39" s="113"/>
    </row>
    <row r="40" spans="2:5" ht="15.75">
      <c r="B40" s="329"/>
      <c r="C40" s="117"/>
      <c r="D40" s="117"/>
      <c r="E40" s="117"/>
    </row>
    <row r="41" spans="2:5" ht="15.75">
      <c r="B41" s="329"/>
      <c r="C41" s="117"/>
      <c r="D41" s="117"/>
      <c r="E41" s="117"/>
    </row>
    <row r="42" spans="2:5" ht="15.75">
      <c r="B42" s="329"/>
      <c r="C42" s="117"/>
      <c r="D42" s="117"/>
      <c r="E42" s="117"/>
    </row>
    <row r="43" spans="2:5" ht="15.75">
      <c r="B43" s="319" t="s">
        <v>131</v>
      </c>
      <c r="C43" s="117"/>
      <c r="D43" s="117"/>
      <c r="E43" s="117"/>
    </row>
    <row r="44" spans="2:5" ht="15.75">
      <c r="B44" s="320" t="s">
        <v>870</v>
      </c>
      <c r="C44" s="117"/>
      <c r="D44" s="315"/>
      <c r="E44" s="315"/>
    </row>
    <row r="45" spans="2:5" ht="15.75">
      <c r="B45" s="320" t="s">
        <v>722</v>
      </c>
      <c r="C45" s="512">
        <f>IF(C46*0.1&lt;C44,"Exceed 10% Rule","")</f>
      </c>
      <c r="D45" s="321">
        <f>IF(D46*0.1&lt;D44,"Exceed 10% Rule","")</f>
      </c>
      <c r="E45" s="321">
        <f>IF(E46*0.1&lt;E44,"Exceed 10% Rule","")</f>
      </c>
    </row>
    <row r="46" spans="2:5" ht="15.75">
      <c r="B46" s="322" t="s">
        <v>132</v>
      </c>
      <c r="C46" s="363">
        <f>SUM(C40:C44)</f>
        <v>0</v>
      </c>
      <c r="D46" s="363">
        <f>SUM(D40:D44)</f>
        <v>0</v>
      </c>
      <c r="E46" s="363">
        <f>SUM(E40:E44)</f>
        <v>0</v>
      </c>
    </row>
    <row r="47" spans="2:5" ht="15.75">
      <c r="B47" s="322" t="s">
        <v>133</v>
      </c>
      <c r="C47" s="363">
        <f>C38+C46</f>
        <v>0</v>
      </c>
      <c r="D47" s="363">
        <f>D38+D46</f>
        <v>0</v>
      </c>
      <c r="E47" s="363">
        <f>E38+E46</f>
        <v>0</v>
      </c>
    </row>
    <row r="48" spans="2:5" ht="15.75">
      <c r="B48" s="153" t="s">
        <v>136</v>
      </c>
      <c r="C48" s="276"/>
      <c r="D48" s="276"/>
      <c r="E48" s="276"/>
    </row>
    <row r="49" spans="2:5" ht="15.75">
      <c r="B49" s="329"/>
      <c r="C49" s="117"/>
      <c r="D49" s="117"/>
      <c r="E49" s="117"/>
    </row>
    <row r="50" spans="2:5" ht="15.75">
      <c r="B50" s="329"/>
      <c r="C50" s="117"/>
      <c r="D50" s="117"/>
      <c r="E50" s="117"/>
    </row>
    <row r="51" spans="2:5" ht="15.75">
      <c r="B51" s="329"/>
      <c r="C51" s="117"/>
      <c r="D51" s="117"/>
      <c r="E51" s="117"/>
    </row>
    <row r="52" spans="2:5" ht="15.75">
      <c r="B52" s="329"/>
      <c r="C52" s="117"/>
      <c r="D52" s="117"/>
      <c r="E52" s="117"/>
    </row>
    <row r="53" spans="2:5" ht="15.75">
      <c r="B53" s="329"/>
      <c r="C53" s="117"/>
      <c r="D53" s="117"/>
      <c r="E53" s="117"/>
    </row>
    <row r="54" spans="2:5" ht="15.75">
      <c r="B54" s="329"/>
      <c r="C54" s="117"/>
      <c r="D54" s="117"/>
      <c r="E54" s="117"/>
    </row>
    <row r="55" spans="2:5" ht="15.75">
      <c r="B55" s="329"/>
      <c r="C55" s="117"/>
      <c r="D55" s="117"/>
      <c r="E55" s="117"/>
    </row>
    <row r="56" spans="2:5" ht="15.75">
      <c r="B56" s="329"/>
      <c r="C56" s="117"/>
      <c r="D56" s="117"/>
      <c r="E56" s="117"/>
    </row>
    <row r="57" spans="2:5" ht="15.75">
      <c r="B57" s="329"/>
      <c r="C57" s="117"/>
      <c r="D57" s="117"/>
      <c r="E57" s="117"/>
    </row>
    <row r="58" spans="2:5" ht="15.75">
      <c r="B58" s="320" t="s">
        <v>870</v>
      </c>
      <c r="C58" s="117"/>
      <c r="D58" s="315"/>
      <c r="E58" s="315"/>
    </row>
    <row r="59" spans="2:5" ht="15.75">
      <c r="B59" s="320" t="s">
        <v>721</v>
      </c>
      <c r="C59" s="512">
        <f>IF(C60*0.1&lt;C58,"Exceed 10% Rule","")</f>
      </c>
      <c r="D59" s="321">
        <f>IF(D60*0.1&lt;D58,"Exceed 10% Rule","")</f>
      </c>
      <c r="E59" s="321">
        <f>IF(E60*0.1&lt;E58,"Exceed 10% Rule","")</f>
      </c>
    </row>
    <row r="60" spans="2:5" ht="15.75">
      <c r="B60" s="322" t="s">
        <v>137</v>
      </c>
      <c r="C60" s="363">
        <f>SUM(C49:C58)</f>
        <v>0</v>
      </c>
      <c r="D60" s="363">
        <f>SUM(D49:D58)</f>
        <v>0</v>
      </c>
      <c r="E60" s="363">
        <f>SUM(E49:E58)</f>
        <v>0</v>
      </c>
    </row>
    <row r="61" spans="2:5" ht="15.75">
      <c r="B61" s="153" t="s">
        <v>254</v>
      </c>
      <c r="C61" s="125">
        <f>C47-C60</f>
        <v>0</v>
      </c>
      <c r="D61" s="125">
        <f>D47-D60</f>
        <v>0</v>
      </c>
      <c r="E61" s="125">
        <f>E47-E60</f>
        <v>0</v>
      </c>
    </row>
    <row r="62" spans="2:5" ht="15.75">
      <c r="B62" s="298" t="str">
        <f>CONCATENATE("",E$1-2,"/",E$1-1," Budget Authority Amount:")</f>
        <v>2010/2011 Budget Authority Amount:</v>
      </c>
      <c r="C62" s="290">
        <f>inputOth!B67</f>
        <v>0</v>
      </c>
      <c r="D62" s="290">
        <f>inputPrYr!D54</f>
        <v>0</v>
      </c>
      <c r="E62" s="510">
        <f>IF(E61&lt;0,"See Tab E","")</f>
      </c>
    </row>
    <row r="63" spans="2:5" ht="15.75">
      <c r="B63" s="298"/>
      <c r="C63" s="332">
        <f>IF(C60&gt;C62,"See Tab A","")</f>
      </c>
      <c r="D63" s="332">
        <f>IF(D60&gt;D62,"See Tab C","")</f>
      </c>
      <c r="E63" s="90"/>
    </row>
    <row r="64" spans="2:5" ht="15.75">
      <c r="B64" s="298"/>
      <c r="C64" s="332">
        <f>IF(C61&lt;0,"See Tab B","")</f>
      </c>
      <c r="D64" s="332">
        <f>IF(D61&lt;0,"See Tab D","")</f>
      </c>
      <c r="E64" s="90"/>
    </row>
    <row r="65" spans="2:5" ht="15.75">
      <c r="B65" s="90"/>
      <c r="C65" s="90"/>
      <c r="D65" s="90"/>
      <c r="E65" s="90"/>
    </row>
    <row r="66" spans="2:5" ht="15.75">
      <c r="B66" s="298" t="s">
        <v>160</v>
      </c>
      <c r="C66" s="360"/>
      <c r="D66" s="90"/>
      <c r="E66" s="90"/>
    </row>
  </sheetData>
  <sheetProtection/>
  <conditionalFormatting sqref="C27">
    <cfRule type="cellIs" priority="3" dxfId="405" operator="greaterThan" stopIfTrue="1">
      <formula>$C$29*0.1</formula>
    </cfRule>
  </conditionalFormatting>
  <conditionalFormatting sqref="D27">
    <cfRule type="cellIs" priority="4" dxfId="405" operator="greaterThan" stopIfTrue="1">
      <formula>$D$29*0.1</formula>
    </cfRule>
  </conditionalFormatting>
  <conditionalFormatting sqref="E27">
    <cfRule type="cellIs" priority="5" dxfId="405" operator="greaterThan" stopIfTrue="1">
      <formula>$E$29*0.1</formula>
    </cfRule>
  </conditionalFormatting>
  <conditionalFormatting sqref="C13">
    <cfRule type="cellIs" priority="6" dxfId="405" operator="greaterThan" stopIfTrue="1">
      <formula>$C$15*0.1</formula>
    </cfRule>
  </conditionalFormatting>
  <conditionalFormatting sqref="D13">
    <cfRule type="cellIs" priority="7" dxfId="405" operator="greaterThan" stopIfTrue="1">
      <formula>$D$15*0.1</formula>
    </cfRule>
  </conditionalFormatting>
  <conditionalFormatting sqref="E13">
    <cfRule type="cellIs" priority="8" dxfId="405" operator="greaterThan" stopIfTrue="1">
      <formula>$E$15*0.1</formula>
    </cfRule>
  </conditionalFormatting>
  <conditionalFormatting sqref="C44">
    <cfRule type="cellIs" priority="9" dxfId="405" operator="greaterThan" stopIfTrue="1">
      <formula>$C$46*0.1</formula>
    </cfRule>
  </conditionalFormatting>
  <conditionalFormatting sqref="D44">
    <cfRule type="cellIs" priority="10" dxfId="405" operator="greaterThan" stopIfTrue="1">
      <formula>$D$46*0.1</formula>
    </cfRule>
  </conditionalFormatting>
  <conditionalFormatting sqref="E44">
    <cfRule type="cellIs" priority="11" dxfId="405" operator="greaterThan" stopIfTrue="1">
      <formula>$E$46*0.1</formula>
    </cfRule>
  </conditionalFormatting>
  <conditionalFormatting sqref="C58">
    <cfRule type="cellIs" priority="12" dxfId="405" operator="greaterThan" stopIfTrue="1">
      <formula>$C$60*0.1</formula>
    </cfRule>
  </conditionalFormatting>
  <conditionalFormatting sqref="D58">
    <cfRule type="cellIs" priority="13" dxfId="405" operator="greaterThan" stopIfTrue="1">
      <formula>$D$60*0.1</formula>
    </cfRule>
  </conditionalFormatting>
  <conditionalFormatting sqref="E58">
    <cfRule type="cellIs" priority="14" dxfId="405"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9" r:id="rId1"/>
  <headerFooter alignWithMargins="0">
    <oddHeader>&amp;RState of Kansas
County</oddHeader>
  </headerFooter>
</worksheet>
</file>

<file path=xl/worksheets/sheet49.xml><?xml version="1.0" encoding="utf-8"?>
<worksheet xmlns="http://schemas.openxmlformats.org/spreadsheetml/2006/main" xmlns:r="http://schemas.openxmlformats.org/officeDocument/2006/relationships">
  <sheetPr>
    <pageSetUpPr fitToPage="1"/>
  </sheetPr>
  <dimension ref="B1:E66"/>
  <sheetViews>
    <sheetView tabSelected="1" zoomScalePageLayoutView="0" workbookViewId="0" topLeftCell="A1">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1992187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212</v>
      </c>
      <c r="C3" s="344"/>
      <c r="D3" s="344"/>
      <c r="E3" s="345"/>
    </row>
    <row r="4" spans="2:5" ht="15.75">
      <c r="B4" s="90"/>
      <c r="C4" s="338"/>
      <c r="D4" s="338"/>
      <c r="E4" s="338"/>
    </row>
    <row r="5" spans="2:5" ht="15.75">
      <c r="B5" s="89" t="s">
        <v>123</v>
      </c>
      <c r="C5" s="577" t="str">
        <f>general!C4</f>
        <v>Prior Year Actual</v>
      </c>
      <c r="D5" s="482" t="str">
        <f>general!D4</f>
        <v>Current Year Estimate</v>
      </c>
      <c r="E5" s="482" t="str">
        <f>general!E4</f>
        <v>Proposed Budget Year</v>
      </c>
    </row>
    <row r="6" spans="2:5" ht="15.75">
      <c r="B6" s="516" t="str">
        <f>inputPrYr!B55</f>
        <v> </v>
      </c>
      <c r="C6" s="326">
        <f>general!C5</f>
        <v>2010</v>
      </c>
      <c r="D6" s="326">
        <f>general!D5</f>
        <v>2011</v>
      </c>
      <c r="E6" s="313">
        <f>general!E5</f>
        <v>2012</v>
      </c>
    </row>
    <row r="7" spans="2:5" ht="15.75">
      <c r="B7" s="153" t="s">
        <v>253</v>
      </c>
      <c r="C7" s="117"/>
      <c r="D7" s="276">
        <f>C30</f>
        <v>0</v>
      </c>
      <c r="E7" s="276">
        <f>D30</f>
        <v>0</v>
      </c>
    </row>
    <row r="8" spans="2:5" ht="15.75">
      <c r="B8" s="347" t="s">
        <v>255</v>
      </c>
      <c r="C8" s="113"/>
      <c r="D8" s="113"/>
      <c r="E8" s="113"/>
    </row>
    <row r="9" spans="2:5" ht="15.75">
      <c r="B9" s="329"/>
      <c r="C9" s="117"/>
      <c r="D9" s="117"/>
      <c r="E9" s="117"/>
    </row>
    <row r="10" spans="2:5" ht="15.75">
      <c r="B10" s="329"/>
      <c r="C10" s="117"/>
      <c r="D10" s="117"/>
      <c r="E10" s="117"/>
    </row>
    <row r="11" spans="2:5" ht="15.75">
      <c r="B11" s="329"/>
      <c r="C11" s="117"/>
      <c r="D11" s="117"/>
      <c r="E11" s="117"/>
    </row>
    <row r="12" spans="2:5" ht="15.75">
      <c r="B12" s="319" t="s">
        <v>131</v>
      </c>
      <c r="C12" s="117"/>
      <c r="D12" s="117"/>
      <c r="E12" s="117"/>
    </row>
    <row r="13" spans="2:5" ht="15.75">
      <c r="B13" s="320" t="s">
        <v>870</v>
      </c>
      <c r="C13" s="117"/>
      <c r="D13" s="315"/>
      <c r="E13" s="315"/>
    </row>
    <row r="14" spans="2:5" ht="15.75">
      <c r="B14" s="320" t="s">
        <v>722</v>
      </c>
      <c r="C14" s="512">
        <f>IF(C15*0.1&lt;C13,"Exceed 10% Rule","")</f>
      </c>
      <c r="D14" s="321">
        <f>IF(D15*0.1&lt;D13,"Exceed 10% Rule","")</f>
      </c>
      <c r="E14" s="321">
        <f>IF(E15*0.1&lt;E13,"Exceed 10% Rule","")</f>
      </c>
    </row>
    <row r="15" spans="2:5" ht="15.75">
      <c r="B15" s="322" t="s">
        <v>132</v>
      </c>
      <c r="C15" s="363">
        <f>SUM(C9:C13)</f>
        <v>0</v>
      </c>
      <c r="D15" s="363">
        <f>SUM(D9:D13)</f>
        <v>0</v>
      </c>
      <c r="E15" s="363">
        <f>SUM(E9:E13)</f>
        <v>0</v>
      </c>
    </row>
    <row r="16" spans="2:5" ht="15.75">
      <c r="B16" s="322" t="s">
        <v>133</v>
      </c>
      <c r="C16" s="363">
        <f>C15+C7</f>
        <v>0</v>
      </c>
      <c r="D16" s="363">
        <f>D15+D7</f>
        <v>0</v>
      </c>
      <c r="E16" s="363">
        <f>E15+E7</f>
        <v>0</v>
      </c>
    </row>
    <row r="17" spans="2:5" ht="15.75">
      <c r="B17" s="153" t="s">
        <v>136</v>
      </c>
      <c r="C17" s="276"/>
      <c r="D17" s="276"/>
      <c r="E17" s="276"/>
    </row>
    <row r="18" spans="2:5" ht="15.75">
      <c r="B18" s="329"/>
      <c r="C18" s="117"/>
      <c r="D18" s="117"/>
      <c r="E18" s="117"/>
    </row>
    <row r="19" spans="2:5" ht="15.75">
      <c r="B19" s="329"/>
      <c r="C19" s="117"/>
      <c r="D19" s="117"/>
      <c r="E19" s="117"/>
    </row>
    <row r="20" spans="2:5" ht="15.75">
      <c r="B20" s="329"/>
      <c r="C20" s="117"/>
      <c r="D20" s="117"/>
      <c r="E20" s="117"/>
    </row>
    <row r="21" spans="2:5" ht="15.75">
      <c r="B21" s="329"/>
      <c r="C21" s="117"/>
      <c r="D21" s="117"/>
      <c r="E21" s="117"/>
    </row>
    <row r="22" spans="2:5" ht="15.75">
      <c r="B22" s="329"/>
      <c r="C22" s="117"/>
      <c r="D22" s="117"/>
      <c r="E22" s="117"/>
    </row>
    <row r="23" spans="2:5" ht="15.75">
      <c r="B23" s="329"/>
      <c r="C23" s="117"/>
      <c r="D23" s="117"/>
      <c r="E23" s="117"/>
    </row>
    <row r="24" spans="2:5" ht="15.75">
      <c r="B24" s="329"/>
      <c r="C24" s="117"/>
      <c r="D24" s="117"/>
      <c r="E24" s="117"/>
    </row>
    <row r="25" spans="2:5" ht="15.75">
      <c r="B25" s="329"/>
      <c r="C25" s="117"/>
      <c r="D25" s="117"/>
      <c r="E25" s="117"/>
    </row>
    <row r="26" spans="2:5" ht="15.75">
      <c r="B26" s="329"/>
      <c r="C26" s="117"/>
      <c r="D26" s="117"/>
      <c r="E26" s="117"/>
    </row>
    <row r="27" spans="2:5" ht="15.75">
      <c r="B27" s="320" t="s">
        <v>870</v>
      </c>
      <c r="C27" s="117"/>
      <c r="D27" s="315"/>
      <c r="E27" s="315"/>
    </row>
    <row r="28" spans="2:5" ht="15.75">
      <c r="B28" s="320" t="s">
        <v>721</v>
      </c>
      <c r="C28" s="512">
        <f>IF(C29*0.1&lt;C27,"Exceed 10% Rule","")</f>
      </c>
      <c r="D28" s="321">
        <f>IF(D29*0.1&lt;D27,"Exceed 10% Rule","")</f>
      </c>
      <c r="E28" s="321">
        <f>IF(E29*0.1&lt;E27,"Exceed 10% Rule","")</f>
      </c>
    </row>
    <row r="29" spans="2:5" ht="15.75">
      <c r="B29" s="322" t="s">
        <v>137</v>
      </c>
      <c r="C29" s="363">
        <f>SUM(C18:C27)</f>
        <v>0</v>
      </c>
      <c r="D29" s="363">
        <f>SUM(D18:D27)</f>
        <v>0</v>
      </c>
      <c r="E29" s="363">
        <f>SUM(E18:E27)</f>
        <v>0</v>
      </c>
    </row>
    <row r="30" spans="2:5" ht="15.75">
      <c r="B30" s="153" t="s">
        <v>254</v>
      </c>
      <c r="C30" s="125">
        <f>C16-C29</f>
        <v>0</v>
      </c>
      <c r="D30" s="125">
        <f>D16-D29</f>
        <v>0</v>
      </c>
      <c r="E30" s="125">
        <f>E16-E29</f>
        <v>0</v>
      </c>
    </row>
    <row r="31" spans="2:5" ht="15.75">
      <c r="B31" s="298" t="str">
        <f>CONCATENATE("",E$1-2,"/",E$1-1," Budget Authority Amount:")</f>
        <v>2010/2011 Budget Authority Amount:</v>
      </c>
      <c r="C31" s="290">
        <f>inputOth!B68</f>
        <v>0</v>
      </c>
      <c r="D31" s="290">
        <f>inputPrYr!D55</f>
        <v>0</v>
      </c>
      <c r="E31" s="511">
        <f>IF(E30&lt;0,"See Tab E","")</f>
      </c>
    </row>
    <row r="32" spans="2:5" ht="15.75">
      <c r="B32" s="298"/>
      <c r="C32" s="332">
        <f>IF(C29&gt;C31,"See Tab A","")</f>
      </c>
      <c r="D32" s="332">
        <f>IF(D29&gt;D31,"See Tab C","")</f>
      </c>
      <c r="E32" s="150"/>
    </row>
    <row r="33" spans="2:5" ht="15.75">
      <c r="B33" s="298"/>
      <c r="C33" s="332">
        <f>IF(C30&lt;0,"See Tab B","")</f>
      </c>
      <c r="D33" s="332">
        <f>IF(D30&lt;0,"See Tab D","")</f>
      </c>
      <c r="E33" s="150"/>
    </row>
    <row r="34" spans="2:5" ht="15.75">
      <c r="B34" s="90"/>
      <c r="C34" s="150"/>
      <c r="D34" s="150"/>
      <c r="E34" s="150"/>
    </row>
    <row r="35" spans="2:5" ht="15.75">
      <c r="B35" s="89" t="s">
        <v>123</v>
      </c>
      <c r="C35" s="338"/>
      <c r="D35" s="338"/>
      <c r="E35" s="338"/>
    </row>
    <row r="36" spans="2:5" ht="15.75">
      <c r="B36" s="90"/>
      <c r="C36" s="577" t="str">
        <f aca="true" t="shared" si="0" ref="C36:E37">C5</f>
        <v>Prior Year Actual</v>
      </c>
      <c r="D36" s="482" t="str">
        <f t="shared" si="0"/>
        <v>Current Year Estimate</v>
      </c>
      <c r="E36" s="482" t="str">
        <f t="shared" si="0"/>
        <v>Proposed Budget Year</v>
      </c>
    </row>
    <row r="37" spans="2:5" ht="15.75">
      <c r="B37" s="515" t="str">
        <f>inputPrYr!B56</f>
        <v> </v>
      </c>
      <c r="C37" s="326">
        <f t="shared" si="0"/>
        <v>2010</v>
      </c>
      <c r="D37" s="326">
        <f t="shared" si="0"/>
        <v>2011</v>
      </c>
      <c r="E37" s="313">
        <f t="shared" si="0"/>
        <v>2012</v>
      </c>
    </row>
    <row r="38" spans="2:5" ht="15.75">
      <c r="B38" s="153" t="s">
        <v>253</v>
      </c>
      <c r="C38" s="117"/>
      <c r="D38" s="276">
        <f>C61</f>
        <v>0</v>
      </c>
      <c r="E38" s="276">
        <f>D61</f>
        <v>0</v>
      </c>
    </row>
    <row r="39" spans="2:5" ht="15.75">
      <c r="B39" s="153" t="s">
        <v>255</v>
      </c>
      <c r="C39" s="113"/>
      <c r="D39" s="113"/>
      <c r="E39" s="113"/>
    </row>
    <row r="40" spans="2:5" ht="15.75">
      <c r="B40" s="329"/>
      <c r="C40" s="117"/>
      <c r="D40" s="117"/>
      <c r="E40" s="117"/>
    </row>
    <row r="41" spans="2:5" ht="15.75">
      <c r="B41" s="329"/>
      <c r="C41" s="117"/>
      <c r="D41" s="117"/>
      <c r="E41" s="117"/>
    </row>
    <row r="42" spans="2:5" ht="15.75">
      <c r="B42" s="329"/>
      <c r="C42" s="117"/>
      <c r="D42" s="117"/>
      <c r="E42" s="117"/>
    </row>
    <row r="43" spans="2:5" ht="15.75">
      <c r="B43" s="319" t="s">
        <v>131</v>
      </c>
      <c r="C43" s="117"/>
      <c r="D43" s="117"/>
      <c r="E43" s="117"/>
    </row>
    <row r="44" spans="2:5" ht="15.75">
      <c r="B44" s="320" t="s">
        <v>870</v>
      </c>
      <c r="C44" s="117"/>
      <c r="D44" s="315"/>
      <c r="E44" s="315"/>
    </row>
    <row r="45" spans="2:5" ht="15.75">
      <c r="B45" s="320" t="s">
        <v>722</v>
      </c>
      <c r="C45" s="512">
        <f>IF(C46*0.1&lt;C44,"Exceed 10% Rule","")</f>
      </c>
      <c r="D45" s="321">
        <f>IF(D46*0.1&lt;D44,"Exceed 10% Rule","")</f>
      </c>
      <c r="E45" s="321">
        <f>IF(E46*0.1&lt;E44,"Exceed 10% Rule","")</f>
      </c>
    </row>
    <row r="46" spans="2:5" ht="15.75">
      <c r="B46" s="322" t="s">
        <v>132</v>
      </c>
      <c r="C46" s="363">
        <f>SUM(C40:C44)</f>
        <v>0</v>
      </c>
      <c r="D46" s="363">
        <f>SUM(D40:D44)</f>
        <v>0</v>
      </c>
      <c r="E46" s="363">
        <f>SUM(E40:E44)</f>
        <v>0</v>
      </c>
    </row>
    <row r="47" spans="2:5" ht="15.75">
      <c r="B47" s="322" t="s">
        <v>133</v>
      </c>
      <c r="C47" s="363">
        <f>C38+C46</f>
        <v>0</v>
      </c>
      <c r="D47" s="363">
        <f>D38+D46</f>
        <v>0</v>
      </c>
      <c r="E47" s="363">
        <f>E38+E46</f>
        <v>0</v>
      </c>
    </row>
    <row r="48" spans="2:5" ht="15.75">
      <c r="B48" s="153" t="s">
        <v>136</v>
      </c>
      <c r="C48" s="276"/>
      <c r="D48" s="276"/>
      <c r="E48" s="276"/>
    </row>
    <row r="49" spans="2:5" ht="15.75">
      <c r="B49" s="329"/>
      <c r="C49" s="117"/>
      <c r="D49" s="117"/>
      <c r="E49" s="117"/>
    </row>
    <row r="50" spans="2:5" ht="15.75">
      <c r="B50" s="329"/>
      <c r="C50" s="117"/>
      <c r="D50" s="117"/>
      <c r="E50" s="117"/>
    </row>
    <row r="51" spans="2:5" ht="15.75">
      <c r="B51" s="329"/>
      <c r="C51" s="117"/>
      <c r="D51" s="117"/>
      <c r="E51" s="117"/>
    </row>
    <row r="52" spans="2:5" ht="15.75">
      <c r="B52" s="329"/>
      <c r="C52" s="117"/>
      <c r="D52" s="117"/>
      <c r="E52" s="117"/>
    </row>
    <row r="53" spans="2:5" ht="15.75">
      <c r="B53" s="329"/>
      <c r="C53" s="117"/>
      <c r="D53" s="117"/>
      <c r="E53" s="117"/>
    </row>
    <row r="54" spans="2:5" ht="15.75">
      <c r="B54" s="329"/>
      <c r="C54" s="117"/>
      <c r="D54" s="117"/>
      <c r="E54" s="117"/>
    </row>
    <row r="55" spans="2:5" ht="15.75">
      <c r="B55" s="329"/>
      <c r="C55" s="117"/>
      <c r="D55" s="117"/>
      <c r="E55" s="117"/>
    </row>
    <row r="56" spans="2:5" ht="15.75">
      <c r="B56" s="329"/>
      <c r="C56" s="117"/>
      <c r="D56" s="117"/>
      <c r="E56" s="117"/>
    </row>
    <row r="57" spans="2:5" ht="15.75">
      <c r="B57" s="329"/>
      <c r="C57" s="117"/>
      <c r="D57" s="117"/>
      <c r="E57" s="117"/>
    </row>
    <row r="58" spans="2:5" ht="15.75">
      <c r="B58" s="320" t="s">
        <v>870</v>
      </c>
      <c r="C58" s="117"/>
      <c r="D58" s="315"/>
      <c r="E58" s="315"/>
    </row>
    <row r="59" spans="2:5" ht="15.75">
      <c r="B59" s="320" t="s">
        <v>721</v>
      </c>
      <c r="C59" s="512">
        <f>IF(C60*0.1&lt;C58,"Exceed 10% Rule","")</f>
      </c>
      <c r="D59" s="321">
        <f>IF(D60*0.1&lt;D58,"Exceed 10% Rule","")</f>
      </c>
      <c r="E59" s="321">
        <f>IF(E60*0.1&lt;E58,"Exceed 10% Rule","")</f>
      </c>
    </row>
    <row r="60" spans="2:5" ht="15.75">
      <c r="B60" s="322" t="s">
        <v>137</v>
      </c>
      <c r="C60" s="363">
        <f>SUM(C49:C58)</f>
        <v>0</v>
      </c>
      <c r="D60" s="363">
        <f>SUM(D49:D58)</f>
        <v>0</v>
      </c>
      <c r="E60" s="363">
        <f>SUM(E49:E58)</f>
        <v>0</v>
      </c>
    </row>
    <row r="61" spans="2:5" ht="15.75">
      <c r="B61" s="153" t="s">
        <v>254</v>
      </c>
      <c r="C61" s="125">
        <f>C47-C60</f>
        <v>0</v>
      </c>
      <c r="D61" s="125">
        <f>D47-D60</f>
        <v>0</v>
      </c>
      <c r="E61" s="125">
        <f>E47-E60</f>
        <v>0</v>
      </c>
    </row>
    <row r="62" spans="2:5" ht="15.75">
      <c r="B62" s="298" t="str">
        <f>CONCATENATE("",E$1-2,"/",E$1-1," Budget Authority Amount:")</f>
        <v>2010/2011 Budget Authority Amount:</v>
      </c>
      <c r="C62" s="290">
        <f>inputOth!B69</f>
        <v>0</v>
      </c>
      <c r="D62" s="290">
        <f>inputPrYr!D56</f>
        <v>0</v>
      </c>
      <c r="E62" s="510">
        <f>IF(E61&lt;0,"See Tab E","")</f>
      </c>
    </row>
    <row r="63" spans="2:5" ht="15.75">
      <c r="B63" s="298"/>
      <c r="C63" s="332">
        <f>IF(C60&gt;C62,"See Tab A","")</f>
      </c>
      <c r="D63" s="332">
        <f>IF(D60&gt;D62,"See Tab C","")</f>
      </c>
      <c r="E63" s="90"/>
    </row>
    <row r="64" spans="2:5" ht="15.75">
      <c r="B64" s="298"/>
      <c r="C64" s="332">
        <f>IF(C61&lt;0,"See Tab B","")</f>
      </c>
      <c r="D64" s="332">
        <f>IF(D61&lt;0,"See Tab D","")</f>
      </c>
      <c r="E64" s="90"/>
    </row>
    <row r="65" spans="2:5" ht="15.75">
      <c r="B65" s="90"/>
      <c r="C65" s="90"/>
      <c r="D65" s="90"/>
      <c r="E65" s="90"/>
    </row>
    <row r="66" spans="2:5" ht="15.75">
      <c r="B66" s="298" t="s">
        <v>160</v>
      </c>
      <c r="C66" s="360"/>
      <c r="D66" s="90"/>
      <c r="E66" s="90"/>
    </row>
  </sheetData>
  <sheetProtection sheet="1"/>
  <conditionalFormatting sqref="C27">
    <cfRule type="cellIs" priority="3" dxfId="405" operator="greaterThan" stopIfTrue="1">
      <formula>$C$29*0.1</formula>
    </cfRule>
  </conditionalFormatting>
  <conditionalFormatting sqref="D27">
    <cfRule type="cellIs" priority="4" dxfId="405" operator="greaterThan" stopIfTrue="1">
      <formula>$D$29*0.1</formula>
    </cfRule>
  </conditionalFormatting>
  <conditionalFormatting sqref="E27">
    <cfRule type="cellIs" priority="5" dxfId="405" operator="greaterThan" stopIfTrue="1">
      <formula>$E$29*0.1</formula>
    </cfRule>
  </conditionalFormatting>
  <conditionalFormatting sqref="C13">
    <cfRule type="cellIs" priority="6" dxfId="405" operator="greaterThan" stopIfTrue="1">
      <formula>$C$15*0.1</formula>
    </cfRule>
  </conditionalFormatting>
  <conditionalFormatting sqref="D13">
    <cfRule type="cellIs" priority="7" dxfId="405" operator="greaterThan" stopIfTrue="1">
      <formula>$D$15*0.1</formula>
    </cfRule>
  </conditionalFormatting>
  <conditionalFormatting sqref="E13">
    <cfRule type="cellIs" priority="8" dxfId="405" operator="greaterThan" stopIfTrue="1">
      <formula>$E$15*0.1</formula>
    </cfRule>
  </conditionalFormatting>
  <conditionalFormatting sqref="C44">
    <cfRule type="cellIs" priority="9" dxfId="405" operator="greaterThan" stopIfTrue="1">
      <formula>$C$46*0.1</formula>
    </cfRule>
  </conditionalFormatting>
  <conditionalFormatting sqref="D44">
    <cfRule type="cellIs" priority="10" dxfId="405" operator="greaterThan" stopIfTrue="1">
      <formula>$D$46*0.1</formula>
    </cfRule>
  </conditionalFormatting>
  <conditionalFormatting sqref="E44">
    <cfRule type="cellIs" priority="11" dxfId="405" operator="greaterThan" stopIfTrue="1">
      <formula>$E$46*0.1</formula>
    </cfRule>
  </conditionalFormatting>
  <conditionalFormatting sqref="C58">
    <cfRule type="cellIs" priority="12" dxfId="405" operator="greaterThan" stopIfTrue="1">
      <formula>$C$60*0.1</formula>
    </cfRule>
  </conditionalFormatting>
  <conditionalFormatting sqref="D58">
    <cfRule type="cellIs" priority="13" dxfId="405" operator="greaterThan" stopIfTrue="1">
      <formula>$D$60*0.1</formula>
    </cfRule>
  </conditionalFormatting>
  <conditionalFormatting sqref="E58">
    <cfRule type="cellIs" priority="14" dxfId="405" operator="greaterThan" stopIfTrue="1">
      <formula>$E$60*0.1</formula>
    </cfRule>
  </conditionalFormatting>
  <conditionalFormatting sqref="E30 C30 E61 C61">
    <cfRule type="cellIs" priority="15" dxfId="2" operator="lessThan" stopIfTrue="1">
      <formula>0</formula>
    </cfRule>
  </conditionalFormatting>
  <conditionalFormatting sqref="D29">
    <cfRule type="cellIs" priority="16" dxfId="2" operator="greaterThan" stopIfTrue="1">
      <formula>$D$31</formula>
    </cfRule>
  </conditionalFormatting>
  <conditionalFormatting sqref="C29">
    <cfRule type="cellIs" priority="17" dxfId="2" operator="greaterThan" stopIfTrue="1">
      <formula>$C$31</formula>
    </cfRule>
  </conditionalFormatting>
  <conditionalFormatting sqref="D60">
    <cfRule type="cellIs" priority="18" dxfId="2" operator="greaterThan" stopIfTrue="1">
      <formula>$D$62</formula>
    </cfRule>
  </conditionalFormatting>
  <conditionalFormatting sqref="C60">
    <cfRule type="cellIs" priority="19" dxfId="2" operator="greaterThan" stopIfTrue="1">
      <formula>$C$62</formula>
    </cfRule>
  </conditionalFormatting>
  <conditionalFormatting sqref="D30">
    <cfRule type="cellIs" priority="2" dxfId="0" operator="lessThan" stopIfTrue="1">
      <formula>0</formula>
    </cfRule>
  </conditionalFormatting>
  <conditionalFormatting sqref="D6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9" r:id="rId1"/>
  <headerFooter alignWithMargins="0">
    <oddHeader>&amp;RState of Kansas
County</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F62"/>
  <sheetViews>
    <sheetView tabSelected="1" zoomScale="90" zoomScaleNormal="90" zoomScalePageLayoutView="0" workbookViewId="0" topLeftCell="A16">
      <selection activeCell="F49" sqref="F49"/>
    </sheetView>
  </sheetViews>
  <sheetFormatPr defaultColWidth="8.796875" defaultRowHeight="15"/>
  <cols>
    <col min="1" max="1" width="20.796875" style="168" customWidth="1"/>
    <col min="2" max="2" width="9.796875" style="168" customWidth="1"/>
    <col min="3" max="3" width="5.796875" style="168" customWidth="1"/>
    <col min="4" max="6" width="15.796875" style="168" customWidth="1"/>
    <col min="7" max="16384" width="8.8984375" style="168" customWidth="1"/>
  </cols>
  <sheetData>
    <row r="1" spans="1:6" ht="12.75">
      <c r="A1" s="167"/>
      <c r="B1" s="167"/>
      <c r="C1" s="167"/>
      <c r="D1" s="167"/>
      <c r="E1" s="167"/>
      <c r="F1" s="167"/>
    </row>
    <row r="2" spans="1:6" ht="12.75">
      <c r="A2" s="696" t="s">
        <v>203</v>
      </c>
      <c r="B2" s="696"/>
      <c r="C2" s="696"/>
      <c r="D2" s="696"/>
      <c r="E2" s="696"/>
      <c r="F2" s="696"/>
    </row>
    <row r="3" spans="1:6" ht="15" customHeight="1">
      <c r="A3" s="169"/>
      <c r="B3" s="169"/>
      <c r="C3" s="169"/>
      <c r="D3" s="169"/>
      <c r="E3" s="169"/>
      <c r="F3" s="167">
        <f>inputPrYr!C4</f>
        <v>2012</v>
      </c>
    </row>
    <row r="4" spans="1:6" ht="15">
      <c r="A4" s="701" t="str">
        <f>CONCATENATE("To the Clerk of ",inputPrYr!C2,", State of Kansas")</f>
        <v>To the Clerk of Clay County, State of Kansas</v>
      </c>
      <c r="B4" s="702"/>
      <c r="C4" s="702"/>
      <c r="D4" s="702"/>
      <c r="E4" s="702"/>
      <c r="F4" s="702"/>
    </row>
    <row r="5" spans="1:6" ht="15">
      <c r="A5" s="701" t="s">
        <v>336</v>
      </c>
      <c r="B5" s="703"/>
      <c r="C5" s="703"/>
      <c r="D5" s="703"/>
      <c r="E5" s="703"/>
      <c r="F5" s="703"/>
    </row>
    <row r="6" spans="1:6" ht="15">
      <c r="A6" s="699" t="str">
        <f>(inputPrYr!C2)</f>
        <v>Clay County</v>
      </c>
      <c r="B6" s="700"/>
      <c r="C6" s="700"/>
      <c r="D6" s="700"/>
      <c r="E6" s="700"/>
      <c r="F6" s="700"/>
    </row>
    <row r="7" spans="1:6" ht="12.75">
      <c r="A7" s="171" t="s">
        <v>98</v>
      </c>
      <c r="B7" s="172"/>
      <c r="C7" s="172"/>
      <c r="D7" s="172"/>
      <c r="E7" s="172"/>
      <c r="F7" s="172"/>
    </row>
    <row r="8" spans="1:6" ht="12.75">
      <c r="A8" s="171" t="s">
        <v>99</v>
      </c>
      <c r="B8" s="172"/>
      <c r="C8" s="172"/>
      <c r="D8" s="172"/>
      <c r="E8" s="172"/>
      <c r="F8" s="172"/>
    </row>
    <row r="9" spans="1:6" ht="12.75">
      <c r="A9" s="171" t="str">
        <f>CONCATENATE("maximum expenditure for the various funds for the year ",F3,"; and")</f>
        <v>maximum expenditure for the various funds for the year 2012; and</v>
      </c>
      <c r="B9" s="172"/>
      <c r="C9" s="172"/>
      <c r="D9" s="172"/>
      <c r="E9" s="172"/>
      <c r="F9" s="172"/>
    </row>
    <row r="10" spans="1:6" ht="12.75">
      <c r="A10" s="171" t="str">
        <f>CONCATENATE("(3) the Amount(s) of ",F3-1," Ad Valorem Tax are within statutory limitations.")</f>
        <v>(3) the Amount(s) of 2011 Ad Valorem Tax are within statutory limitations.</v>
      </c>
      <c r="B10" s="172"/>
      <c r="C10" s="172"/>
      <c r="D10" s="172"/>
      <c r="E10" s="172"/>
      <c r="F10" s="172"/>
    </row>
    <row r="11" spans="1:6" ht="8.25" customHeight="1">
      <c r="A11" s="173"/>
      <c r="B11" s="169"/>
      <c r="C11" s="169"/>
      <c r="D11" s="174"/>
      <c r="E11" s="174"/>
      <c r="F11" s="174"/>
    </row>
    <row r="12" spans="1:6" ht="12.75">
      <c r="A12" s="169"/>
      <c r="B12" s="169"/>
      <c r="C12" s="169"/>
      <c r="D12" s="175" t="str">
        <f>CONCATENATE("",F3," Adopted Budget")</f>
        <v>2012 Adopted Budget</v>
      </c>
      <c r="E12" s="176"/>
      <c r="F12" s="177"/>
    </row>
    <row r="13" spans="1:6" ht="13.5" customHeight="1">
      <c r="A13" s="169"/>
      <c r="B13" s="169"/>
      <c r="C13" s="178" t="s">
        <v>100</v>
      </c>
      <c r="D13" s="507" t="s">
        <v>667</v>
      </c>
      <c r="E13" s="697" t="str">
        <f>CONCATENATE("Amount of ",F3-1,"               Ad Valorem Tax")</f>
        <v>Amount of 2011               Ad Valorem Tax</v>
      </c>
      <c r="F13" s="178" t="s">
        <v>101</v>
      </c>
    </row>
    <row r="14" spans="1:6" ht="12.75" customHeight="1">
      <c r="A14" s="179" t="s">
        <v>102</v>
      </c>
      <c r="B14" s="180"/>
      <c r="C14" s="181" t="s">
        <v>103</v>
      </c>
      <c r="D14" s="506" t="s">
        <v>668</v>
      </c>
      <c r="E14" s="698"/>
      <c r="F14" s="181" t="s">
        <v>105</v>
      </c>
    </row>
    <row r="15" spans="1:6" ht="12.75">
      <c r="A15" s="182" t="str">
        <f>CONCATENATE("Computation to Determine Limit for ",F3,"")</f>
        <v>Computation to Determine Limit for 2012</v>
      </c>
      <c r="B15" s="180"/>
      <c r="C15" s="181">
        <v>2</v>
      </c>
      <c r="D15" s="183"/>
      <c r="E15" s="183"/>
      <c r="F15" s="183"/>
    </row>
    <row r="16" spans="1:6" ht="12.75">
      <c r="A16" s="184" t="s">
        <v>859</v>
      </c>
      <c r="B16" s="185"/>
      <c r="C16" s="181">
        <v>3</v>
      </c>
      <c r="D16" s="183"/>
      <c r="E16" s="183"/>
      <c r="F16" s="183"/>
    </row>
    <row r="17" spans="1:6" ht="12.75">
      <c r="A17" s="186" t="s">
        <v>258</v>
      </c>
      <c r="B17" s="187"/>
      <c r="C17" s="188">
        <v>4</v>
      </c>
      <c r="D17" s="183"/>
      <c r="E17" s="183"/>
      <c r="F17" s="183"/>
    </row>
    <row r="18" spans="1:6" ht="12.75">
      <c r="A18" s="186" t="s">
        <v>106</v>
      </c>
      <c r="B18" s="187"/>
      <c r="C18" s="189">
        <v>5</v>
      </c>
      <c r="D18" s="190"/>
      <c r="E18" s="190"/>
      <c r="F18" s="190"/>
    </row>
    <row r="19" spans="1:6" ht="12.75">
      <c r="A19" s="186" t="s">
        <v>107</v>
      </c>
      <c r="B19" s="187"/>
      <c r="C19" s="191">
        <v>6</v>
      </c>
      <c r="D19" s="190"/>
      <c r="E19" s="190"/>
      <c r="F19" s="190"/>
    </row>
    <row r="20" spans="1:6" ht="12.75">
      <c r="A20" s="192" t="s">
        <v>108</v>
      </c>
      <c r="B20" s="193" t="s">
        <v>109</v>
      </c>
      <c r="C20" s="194"/>
      <c r="D20" s="195"/>
      <c r="E20" s="195"/>
      <c r="F20" s="195"/>
    </row>
    <row r="21" spans="1:6" ht="15.75">
      <c r="A21" s="182" t="str">
        <f>inputPrYr!B16</f>
        <v>General</v>
      </c>
      <c r="B21" s="196" t="str">
        <f>inputPrYr!C16</f>
        <v>79-1946</v>
      </c>
      <c r="C21" s="189">
        <v>7</v>
      </c>
      <c r="D21" s="197">
        <f>IF(general!$E$100&lt;&gt;0,general!$E$100,"  ")</f>
        <v>2986513</v>
      </c>
      <c r="E21" s="579">
        <f>IF(general!$E$107&lt;&gt;0,general!$E$107,0)</f>
        <v>1674789</v>
      </c>
      <c r="F21" s="198" t="str">
        <f>IF(AND(general!E107=0,$F$49&gt;=0)," ",IF(AND(E21&gt;0,$F$49=0)," ",IF(AND(E21&gt;0,$F$49&gt;0),ROUND(E21/$F$49*1000,3))))</f>
        <v> </v>
      </c>
    </row>
    <row r="22" spans="1:6" ht="15.75">
      <c r="A22" s="182" t="str">
        <f>inputPrYr!B17</f>
        <v>County Bond &amp; Interest</v>
      </c>
      <c r="B22" s="196" t="str">
        <f>inputPrYr!C17</f>
        <v>10-113</v>
      </c>
      <c r="C22" s="199">
        <f>IF(DebtService!C63&gt;0,DebtService!C63,"")</f>
        <v>8</v>
      </c>
      <c r="D22" s="197">
        <f>IF(DebtService!$E$54&lt;&gt;0,DebtService!$E$54,"  ")</f>
        <v>241431.95</v>
      </c>
      <c r="E22" s="579">
        <f>IF(DebtService!$E$61&lt;&gt;0,DebtService!$E$61,0)</f>
        <v>172353.95</v>
      </c>
      <c r="F22" s="198" t="str">
        <f>IF(AND(DebtService!E61=0,$F$49&gt;=0)," ",IF(AND(E22&gt;0,$F$49=0)," ",IF(AND(E22&gt;0,$F$49&gt;0),ROUND(E22/$F$49*1000,3))))</f>
        <v> </v>
      </c>
    </row>
    <row r="23" spans="1:6" ht="15.75">
      <c r="A23" s="182" t="str">
        <f>inputPrYr!B18</f>
        <v>Road &amp; Bridge</v>
      </c>
      <c r="B23" s="196" t="str">
        <f>inputPrYr!C18</f>
        <v>79-1946</v>
      </c>
      <c r="C23" s="189">
        <f>IF(road!C58&gt;0,road!C58,"")</f>
        <v>9</v>
      </c>
      <c r="D23" s="197">
        <f>IF(road!$E$110&lt;&gt;0,road!$E$110,"  ")</f>
        <v>1578955</v>
      </c>
      <c r="E23" s="579">
        <f>IF(road!$E$117&lt;&gt;0,road!$E$117,0)</f>
        <v>744483.5</v>
      </c>
      <c r="F23" s="198" t="str">
        <f>IF(AND(road!E117=0,$F$49&gt;=0)," ",IF(AND(E23&gt;0,$F$49=0)," ",IF(AND(E23&gt;0,$F$49&gt;0),ROUND(E23/$F$49*1000,3))))</f>
        <v> </v>
      </c>
    </row>
    <row r="24" spans="1:6" ht="15.75">
      <c r="A24" s="197" t="str">
        <f>IF((inputPrYr!$B19&gt;"  "),(inputPrYr!$B19),"  ")</f>
        <v>Health</v>
      </c>
      <c r="B24" s="196" t="str">
        <f>IF((inputPrYr!C19&gt;0),(inputPrYr!C19),"  ")</f>
        <v>65-204</v>
      </c>
      <c r="C24" s="189">
        <f>IF('levy page10'!C78&gt;0,'levy page10'!C78,"  ")</f>
        <v>10</v>
      </c>
      <c r="D24" s="197">
        <f>IF('levy page10'!$E$33&lt;&gt;0,'levy page10'!$E$33,"  ")</f>
        <v>702841</v>
      </c>
      <c r="E24" s="579">
        <f>IF('levy page10'!$E$40&lt;&gt;0,'levy page10'!$E$40,0)</f>
        <v>71391</v>
      </c>
      <c r="F24" s="198" t="str">
        <f>IF(AND('levy page10'!E40=0,$F$49&gt;=0)," ",IF(AND(E24&gt;0,$F$49=0)," ",IF(AND(E24&gt;0,$F$49&gt;0),ROUND(E24/$F$49*1000,3))))</f>
        <v> </v>
      </c>
    </row>
    <row r="25" spans="1:6" ht="15.75">
      <c r="A25" s="197" t="str">
        <f>IF((inputPrYr!$B20&gt;"  "),(inputPrYr!$B20),"  ")</f>
        <v>Noxious Weed</v>
      </c>
      <c r="B25" s="196" t="str">
        <f>IF((inputPrYr!C20&gt;0),(inputPrYr!C20),"  ")</f>
        <v>2-1318</v>
      </c>
      <c r="C25" s="189">
        <f>IF('levy page10'!C78&gt;0,'levy page10'!C78,"  ")</f>
        <v>10</v>
      </c>
      <c r="D25" s="197">
        <f>IF('levy page10'!$E$70&lt;&gt;0,'levy page10'!$E$70,"  ")</f>
        <v>382466</v>
      </c>
      <c r="E25" s="579">
        <f>IF('levy page10'!$E$77&lt;&gt;0,'levy page10'!$E$77,0)</f>
        <v>115601</v>
      </c>
      <c r="F25" s="198" t="str">
        <f>IF(AND('levy page10'!E77=0,$F$49&gt;=0)," ",IF(AND(E25&gt;0,$F$49=0)," ",IF(AND(E25&gt;0,$F$49&gt;0),ROUND(E25/$F$49*1000,3))))</f>
        <v> </v>
      </c>
    </row>
    <row r="26" spans="1:6" ht="15.75">
      <c r="A26" s="197" t="str">
        <f>IF((inputPrYr!$B21&gt;"  "),(inputPrYr!$B21),"  ")</f>
        <v>Courthouse Maintenance</v>
      </c>
      <c r="B26" s="196" t="str">
        <f>IF((inputPrYr!C21&gt;0),(inputPrYr!C21),"  ")</f>
        <v>19-15,11</v>
      </c>
      <c r="C26" s="189">
        <f>IF('levy page11'!C78&gt;0,'levy page11'!C78,"  ")</f>
        <v>11</v>
      </c>
      <c r="D26" s="197">
        <f>IF('levy page11'!$E$33&lt;&gt;0,'levy page11'!$E$33,"  ")</f>
        <v>467129</v>
      </c>
      <c r="E26" s="579">
        <f>IF('levy page11'!$E$40&lt;&gt;0,'levy page11'!$E$40,0)</f>
        <v>77068</v>
      </c>
      <c r="F26" s="198" t="str">
        <f>IF(AND('levy page11'!E40=0,$F$49&gt;=0)," ",IF(AND(E26&gt;0,$F$49=0)," ",IF(AND(E26&gt;0,$F$49&gt;0),ROUND(E26/$F$49*1000,3))))</f>
        <v> </v>
      </c>
    </row>
    <row r="27" spans="1:6" ht="15.75">
      <c r="A27" s="197" t="str">
        <f>IF((inputPrYr!$B22&gt;"  "),(inputPrYr!$B22),"  ")</f>
        <v>Historical</v>
      </c>
      <c r="B27" s="196" t="str">
        <f>IF((inputPrYr!C22&gt;0),(inputPrYr!C22),"  ")</f>
        <v>19-2651</v>
      </c>
      <c r="C27" s="189">
        <f>IF('levy page11'!C78&gt;0,'levy page11'!C78,"  ")</f>
        <v>11</v>
      </c>
      <c r="D27" s="197">
        <f>IF('levy page11'!$E$70&lt;&gt;0,'levy page11'!$E$70,"  ")</f>
        <v>43343</v>
      </c>
      <c r="E27" s="579">
        <f>IF('levy page11'!$E$77&lt;&gt;0,'levy page11'!$E$77,0)</f>
        <v>38534</v>
      </c>
      <c r="F27" s="198" t="str">
        <f>IF(AND('levy page11'!E77=0,$F$49&gt;=0)," ",IF(AND(E27&gt;0,$F$49=0)," ",IF(AND(E27&gt;0,$F$49&gt;0),ROUND(E27/$F$49*1000,3))))</f>
        <v> </v>
      </c>
    </row>
    <row r="28" spans="1:6" ht="15.75">
      <c r="A28" s="197" t="str">
        <f>IF((inputPrYr!$B23&gt;"  "),(inputPrYr!$B23),"  ")</f>
        <v>Employee Benefits</v>
      </c>
      <c r="B28" s="196" t="str">
        <f>IF((inputPrYr!C23&gt;0),(inputPrYr!C23),"  ")</f>
        <v>12-16,102</v>
      </c>
      <c r="C28" s="189">
        <f>IF('levy page12'!C78&gt;0,'levy page12'!C78,"  ")</f>
        <v>12</v>
      </c>
      <c r="D28" s="197">
        <f>IF('levy page12'!$E$33&lt;&gt;0,'levy page12'!$E$33,"  ")</f>
        <v>1890911</v>
      </c>
      <c r="E28" s="579">
        <f>IF('levy page12'!$E$40&lt;&gt;0,'levy page12'!$E$40,0)</f>
        <v>1497020</v>
      </c>
      <c r="F28" s="198" t="str">
        <f>IF(AND('levy page12'!E40=0,$F$49&gt;=0)," ",IF(AND(E28&gt;0,$F$49=0)," ",IF(AND(E28&gt;0,$F$49&gt;0),ROUND(E28/$F$49*1000,3))))</f>
        <v> </v>
      </c>
    </row>
    <row r="29" spans="1:6" ht="15.75">
      <c r="A29" s="197" t="str">
        <f>IF((inputPrYr!$B24&gt;"  "),(inputPrYr!$B24),"  ")</f>
        <v>Economic Development</v>
      </c>
      <c r="B29" s="196" t="str">
        <f>IF((inputPrYr!C24&gt;0),(inputPrYr!C24),"  ")</f>
        <v>19-1402-10</v>
      </c>
      <c r="C29" s="189">
        <f>IF('levy page12'!C78&gt;0,'levy page12'!C78,"  ")</f>
        <v>12</v>
      </c>
      <c r="D29" s="197">
        <f>IF('levy page12'!$E$70&lt;&gt;0,'levy page12'!$E$70,"  ")</f>
        <v>202529</v>
      </c>
      <c r="E29" s="579">
        <f>IF('levy page12'!$E$77&lt;&gt;0,'levy page12'!$E$77,0)</f>
        <v>77068</v>
      </c>
      <c r="F29" s="198" t="str">
        <f>IF(AND('levy page12'!E77=0,$F$49&gt;=0)," ",IF(AND(E29&gt;0,$F$49=0)," ",IF(AND(E29&gt;0,$F$49&gt;0),ROUND(E29/$F$49*1000,3))))</f>
        <v> </v>
      </c>
    </row>
    <row r="30" spans="1:6" ht="15.75">
      <c r="A30" s="197" t="str">
        <f>IF((inputPrYr!$B25&gt;"  "),(inputPrYr!$B25),"  ")</f>
        <v>Special Bridge</v>
      </c>
      <c r="B30" s="196" t="str">
        <f>IF((inputPrYr!C25&gt;0),(inputPrYr!C25),"  ")</f>
        <v>68-1135</v>
      </c>
      <c r="C30" s="189">
        <f>IF('levy page13'!C78&gt;0,'levy page13'!C78,"  ")</f>
        <v>13</v>
      </c>
      <c r="D30" s="197">
        <f>IF('levy page13'!$E$33&lt;&gt;0,'levy page13'!$E$33,"  ")</f>
        <v>158623</v>
      </c>
      <c r="E30" s="579">
        <f>IF('levy page13'!$E$40&lt;&gt;0,'levy page13'!$E$40,0)</f>
        <v>77068</v>
      </c>
      <c r="F30" s="198" t="str">
        <f>IF(AND('levy page13'!E40=0,$F$49&gt;=0)," ",IF(AND(E30&gt;0,$F$49=0)," ",IF(AND(E30&gt;0,$F$49&gt;0),ROUND(E30/$F$49*1000,3))))</f>
        <v> </v>
      </c>
    </row>
    <row r="31" spans="1:6" ht="15.75">
      <c r="A31" s="197" t="str">
        <f>IF((inputPrYr!$B26&gt;"  "),(inputPrYr!$B26),"  ")</f>
        <v>  </v>
      </c>
      <c r="B31" s="196" t="str">
        <f>IF((inputPrYr!C26&gt;0),(inputPrYr!C26),"  ")</f>
        <v>  </v>
      </c>
      <c r="C31" s="189">
        <f>IF('levy page13'!C78&gt;0,'levy page13'!C78,"  ")</f>
        <v>13</v>
      </c>
      <c r="D31" s="197" t="str">
        <f>IF('levy page13'!$E$70&lt;&gt;0,'levy page13'!$E$70,"  ")</f>
        <v>  </v>
      </c>
      <c r="E31" s="579">
        <f>IF('levy page13'!$E$77&lt;&gt;0,'levy page13'!$E$77,0)</f>
        <v>0</v>
      </c>
      <c r="F31" s="198" t="str">
        <f>IF(AND('levy page13'!E77=0,$F$49&gt;=0)," ",IF(AND(E31&gt;0,$F$49=0)," ",IF(AND(E31&gt;0,$F$49&gt;0),ROUND(E31/$F$49*1000,3))))</f>
        <v> </v>
      </c>
    </row>
    <row r="32" spans="1:6" ht="12.75">
      <c r="A32" s="197" t="str">
        <f>IF((inputPrYr!$B43&gt;"  "),(inputPrYr!$B43),"  ")</f>
        <v>Special Parks &amp; Recreation</v>
      </c>
      <c r="B32" s="200"/>
      <c r="C32" s="189">
        <f>IF('no levy page14'!C66&gt;0,'no levy page14'!C66,"  ")</f>
        <v>14</v>
      </c>
      <c r="D32" s="197">
        <f>IF('no levy page14'!$E$29&lt;&gt;0,'no levy page14'!$E$29,"  ")</f>
        <v>6304</v>
      </c>
      <c r="E32" s="194"/>
      <c r="F32" s="194"/>
    </row>
    <row r="33" spans="1:6" ht="12.75">
      <c r="A33" s="197" t="str">
        <f>IF((inputPrYr!$B44&gt;"  "),(inputPrYr!$B44),"  ")</f>
        <v>Special Alcohol</v>
      </c>
      <c r="B33" s="200"/>
      <c r="C33" s="189">
        <f>IF('no levy page14'!C66&gt;0,'no levy page14'!C66,"  ")</f>
        <v>14</v>
      </c>
      <c r="D33" s="197">
        <f>IF('no levy page14'!$E$60&lt;&gt;0,'no levy page14'!$E$60,"  ")</f>
        <v>24851</v>
      </c>
      <c r="E33" s="194"/>
      <c r="F33" s="194"/>
    </row>
    <row r="34" spans="1:6" ht="12.75">
      <c r="A34" s="197" t="str">
        <f>IF((inputPrYr!$B45&gt;"  "),(inputPrYr!$B45),"  ")</f>
        <v>Bridge Improvement Sales Tax</v>
      </c>
      <c r="B34" s="200"/>
      <c r="C34" s="189">
        <f>IF('no levy page15'!C66&gt;0,'no levy page15'!C66,"  ")</f>
        <v>15</v>
      </c>
      <c r="D34" s="197">
        <f>IF('no levy page15'!$E$29&lt;&gt;0,'no levy page15'!$E$29,"  ")</f>
        <v>802006.05</v>
      </c>
      <c r="E34" s="194"/>
      <c r="F34" s="194"/>
    </row>
    <row r="35" spans="1:6" ht="12.75">
      <c r="A35" s="197" t="str">
        <f>IF((inputPrYr!$B46&gt;"  "),(inputPrYr!$B46),"  ")</f>
        <v>Noxious Weed Capital Outlay</v>
      </c>
      <c r="B35" s="200"/>
      <c r="C35" s="189">
        <f>IF('no levy page15'!C66&gt;0,'no levy page15'!C66,"  ")</f>
        <v>15</v>
      </c>
      <c r="D35" s="197">
        <f>IF('no levy page15'!$E$60&lt;&gt;0,'no levy page15'!$E$60,"  ")</f>
        <v>98957</v>
      </c>
      <c r="E35" s="194"/>
      <c r="F35" s="194"/>
    </row>
    <row r="36" spans="1:6" ht="12.75">
      <c r="A36" s="197" t="str">
        <f>IF((inputPrYr!$B47&gt;"  "),(inputPrYr!$B47),"  ")</f>
        <v>Solid Waste</v>
      </c>
      <c r="B36" s="200"/>
      <c r="C36" s="189">
        <f>IF('no levy page16'!C66&gt;0,'no levy page16'!C66,"  ")</f>
        <v>16</v>
      </c>
      <c r="D36" s="197">
        <f>IF('no levy page16'!$E$29&lt;&gt;0,'no levy page16'!$E$29,"  ")</f>
        <v>472910</v>
      </c>
      <c r="E36" s="194"/>
      <c r="F36" s="194"/>
    </row>
    <row r="37" spans="1:6" ht="12.75">
      <c r="A37" s="197" t="str">
        <f>IF((inputPrYr!$B48&gt;"  "),(inputPrYr!$B48),"  ")</f>
        <v>Solid Waste Capital Outlay</v>
      </c>
      <c r="B37" s="200"/>
      <c r="C37" s="189">
        <f>IF('no levy page16'!C66&gt;0,'no levy page16'!C66,"  ")</f>
        <v>16</v>
      </c>
      <c r="D37" s="197">
        <f>IF('no levy page16'!$E$60&lt;&gt;0,'no levy page16'!$E$60,"  ")</f>
        <v>102042</v>
      </c>
      <c r="E37" s="194"/>
      <c r="F37" s="194"/>
    </row>
    <row r="38" spans="1:6" ht="12.75">
      <c r="A38" s="197" t="str">
        <f>IF((inputPrYr!$B49&gt;"  "),(inputPrYr!$B49),"  ")</f>
        <v>Emergency 911</v>
      </c>
      <c r="B38" s="200"/>
      <c r="C38" s="189">
        <f>IF('no levy page17'!C66&gt;0,'no levy page17'!C66,"  ")</f>
        <v>17</v>
      </c>
      <c r="D38" s="197">
        <f>IF('no levy page17'!$E$29&lt;&gt;0,'no levy page17'!$E$29,"  ")</f>
        <v>112938</v>
      </c>
      <c r="E38" s="194"/>
      <c r="F38" s="194"/>
    </row>
    <row r="39" spans="1:6" ht="12.75">
      <c r="A39" s="197" t="str">
        <f>IF((inputPrYr!$B50&gt;"  "),(inputPrYr!$B50),"  ")</f>
        <v>Cell Phone 911</v>
      </c>
      <c r="B39" s="200"/>
      <c r="C39" s="189">
        <f>IF('no levy page17'!C66&gt;0,'no levy page17'!C66,"  ")</f>
        <v>17</v>
      </c>
      <c r="D39" s="197">
        <f>IF('no levy page17'!$E$60&lt;&gt;0,'no levy page17'!$E$60,"  ")</f>
        <v>48480</v>
      </c>
      <c r="E39" s="194"/>
      <c r="F39" s="194"/>
    </row>
    <row r="40" spans="1:6" ht="12.75">
      <c r="A40" s="197" t="str">
        <f>IF((inputPrYr!$B51&gt;"  "),(inputPrYr!$B51),"  ")</f>
        <v>Convention &amp; Tourism</v>
      </c>
      <c r="B40" s="200"/>
      <c r="C40" s="189">
        <f>IF('no levy page18'!C66&gt;0,'no levy page18'!C66,"  ")</f>
        <v>18</v>
      </c>
      <c r="D40" s="197">
        <f>IF('no levy page18'!$E$29&lt;&gt;0,'no levy page18'!$E$29,"  ")</f>
        <v>30974</v>
      </c>
      <c r="E40" s="194"/>
      <c r="F40" s="194"/>
    </row>
    <row r="41" spans="1:6" ht="12.75">
      <c r="A41" s="197" t="str">
        <f>IF((inputPrYr!$B52&gt;"  "),(inputPrYr!$B52),"  ")</f>
        <v>  </v>
      </c>
      <c r="B41" s="200"/>
      <c r="C41" s="189">
        <f>IF('no levy page18'!C66&gt;0,'no levy page18'!C66,"  ")</f>
        <v>18</v>
      </c>
      <c r="D41" s="197" t="str">
        <f>IF('no levy page18'!$E$60&lt;&gt;0,'no levy page18'!$E$60,"  ")</f>
        <v>  </v>
      </c>
      <c r="E41" s="194"/>
      <c r="F41" s="194"/>
    </row>
    <row r="42" spans="1:6" ht="12.75">
      <c r="A42" s="197" t="str">
        <f>IF((inputPrYr!$B62&gt;"  "),(nonbudA!$A3),"  ")</f>
        <v>Non-Budgeted Funds-A</v>
      </c>
      <c r="B42" s="194"/>
      <c r="C42" s="189">
        <f>IF(nonbudA!$F$33&gt;0,nonbudA!$F$33,"  ")</f>
        <v>19</v>
      </c>
      <c r="D42" s="197"/>
      <c r="E42" s="201"/>
      <c r="F42" s="201"/>
    </row>
    <row r="43" spans="1:6" ht="12.75">
      <c r="A43" s="197" t="str">
        <f>IF((inputPrYr!$B68&gt;"  "),(nonbudB!$A3),"  ")</f>
        <v>Non-Budgeted Funds-B</v>
      </c>
      <c r="B43" s="194"/>
      <c r="C43" s="189">
        <f>IF(nonbudB!$F$33&gt;0,nonbudB!$F$33,"  ")</f>
        <v>20</v>
      </c>
      <c r="D43" s="197"/>
      <c r="E43" s="201"/>
      <c r="F43" s="201"/>
    </row>
    <row r="44" spans="1:6" ht="12.75">
      <c r="A44" s="197" t="str">
        <f>IF((inputPrYr!$B74&gt;"  "),(nonbudC!$A3),"  ")</f>
        <v>Non-Budgeted Funds-C</v>
      </c>
      <c r="B44" s="194"/>
      <c r="C44" s="189">
        <f>IF(nonbudC!$F$33&gt;0,nonbudC!$F$33,"  ")</f>
        <v>21</v>
      </c>
      <c r="D44" s="197"/>
      <c r="E44" s="201"/>
      <c r="F44" s="201"/>
    </row>
    <row r="45" spans="1:6" ht="12.75">
      <c r="A45" s="197" t="str">
        <f>IF((inputPrYr!$B80&gt;"  "),(nonbudD!$A3),"  ")</f>
        <v>  </v>
      </c>
      <c r="B45" s="194"/>
      <c r="C45" s="189" t="str">
        <f>IF(nonbudD!$F$33&gt;0,nonbudD!$F$33,"  ")</f>
        <v>  </v>
      </c>
      <c r="D45" s="197"/>
      <c r="E45" s="201"/>
      <c r="F45" s="201"/>
    </row>
    <row r="46" spans="1:6" ht="14.25" customHeight="1" thickBot="1">
      <c r="A46" s="202" t="s">
        <v>121</v>
      </c>
      <c r="B46" s="201"/>
      <c r="C46" s="189" t="s">
        <v>12</v>
      </c>
      <c r="D46" s="203">
        <f>SUM(D21:D45)</f>
        <v>10354204</v>
      </c>
      <c r="E46" s="203">
        <f>SUM(E21:E31)</f>
        <v>4545376.45</v>
      </c>
      <c r="F46" s="204">
        <f>IF(SUM(F21:F31)=0,"",SUM(F21:F31))</f>
      </c>
    </row>
    <row r="47" spans="1:6" ht="14.25" customHeight="1" thickTop="1">
      <c r="A47" s="205" t="s">
        <v>11</v>
      </c>
      <c r="B47" s="206"/>
      <c r="C47" s="189">
        <f>summ!E58</f>
        <v>22</v>
      </c>
      <c r="D47" s="207"/>
      <c r="E47" s="207"/>
      <c r="F47" s="185"/>
    </row>
    <row r="48" spans="1:6" ht="12.75">
      <c r="A48" s="186" t="s">
        <v>882</v>
      </c>
      <c r="B48" s="187"/>
      <c r="C48" s="189">
        <f>IF(summ2!E42&gt;0,summ2!E42,"")</f>
      </c>
      <c r="D48" s="208"/>
      <c r="E48" s="169"/>
      <c r="F48" s="478" t="s">
        <v>284</v>
      </c>
    </row>
    <row r="49" spans="1:6" ht="15.75">
      <c r="A49" s="704" t="s">
        <v>872</v>
      </c>
      <c r="B49" s="705"/>
      <c r="C49" s="199">
        <f>IF(Nhood!C51&gt;0,Nhood!C51,"")</f>
        <v>23</v>
      </c>
      <c r="D49" s="209" t="s">
        <v>14</v>
      </c>
      <c r="E49" s="210" t="str">
        <f>IF(E46&gt;computation!J35,"Yes","No")</f>
        <v>Yes</v>
      </c>
      <c r="F49" s="211"/>
    </row>
    <row r="50" spans="1:6" ht="14.25" customHeight="1">
      <c r="A50" s="186" t="s">
        <v>13</v>
      </c>
      <c r="B50" s="212"/>
      <c r="C50" s="199">
        <f>IF(Resolution!E55&gt;0,Resolution!E55,"")</f>
        <v>24</v>
      </c>
      <c r="D50" s="208"/>
      <c r="E50" s="185"/>
      <c r="F50" s="707" t="str">
        <f>CONCATENATE("Nov 1, ",F3-1," Total Assessed Valuation")</f>
        <v>Nov 1, 2011 Total Assessed Valuation</v>
      </c>
    </row>
    <row r="51" spans="1:6" ht="12.75">
      <c r="A51" s="167" t="s">
        <v>112</v>
      </c>
      <c r="B51" s="169"/>
      <c r="C51" s="173"/>
      <c r="D51" s="169"/>
      <c r="E51" s="169"/>
      <c r="F51" s="708"/>
    </row>
    <row r="52" spans="1:6" ht="12.75">
      <c r="A52" s="214" t="s">
        <v>78</v>
      </c>
      <c r="B52" s="169"/>
      <c r="C52" s="169"/>
      <c r="D52" s="169"/>
      <c r="E52" s="427"/>
      <c r="F52" s="427"/>
    </row>
    <row r="53" spans="1:6" ht="12.75">
      <c r="A53" s="216" t="s">
        <v>79</v>
      </c>
      <c r="B53" s="213"/>
      <c r="C53" s="169"/>
      <c r="D53" s="169"/>
      <c r="E53" s="215"/>
      <c r="F53" s="215"/>
    </row>
    <row r="54" spans="1:6" ht="12.75">
      <c r="A54" s="425" t="s">
        <v>286</v>
      </c>
      <c r="B54" s="213"/>
      <c r="C54" s="476"/>
      <c r="D54" s="476"/>
      <c r="E54" s="477"/>
      <c r="F54" s="477"/>
    </row>
    <row r="55" spans="1:6" ht="12.75">
      <c r="A55" s="214" t="s">
        <v>80</v>
      </c>
      <c r="B55" s="169"/>
      <c r="C55" s="180"/>
      <c r="D55" s="180"/>
      <c r="E55" s="217"/>
      <c r="F55" s="217"/>
    </row>
    <row r="56" spans="1:6" ht="12.75">
      <c r="A56" s="216" t="s">
        <v>81</v>
      </c>
      <c r="B56" s="218"/>
      <c r="C56" s="169"/>
      <c r="D56" s="169"/>
      <c r="E56" s="215"/>
      <c r="F56" s="219"/>
    </row>
    <row r="57" spans="1:6" ht="12.75">
      <c r="A57" s="216"/>
      <c r="B57" s="169"/>
      <c r="C57" s="180"/>
      <c r="D57" s="180"/>
      <c r="E57" s="217"/>
      <c r="F57" s="220"/>
    </row>
    <row r="58" spans="1:6" ht="12.75">
      <c r="A58" s="475" t="s">
        <v>578</v>
      </c>
      <c r="B58" s="221">
        <f>F3-1</f>
        <v>2011</v>
      </c>
      <c r="C58" s="169"/>
      <c r="D58" s="169"/>
      <c r="E58" s="171"/>
      <c r="F58" s="169"/>
    </row>
    <row r="59" spans="1:6" ht="12.75">
      <c r="A59" s="474"/>
      <c r="B59" s="169"/>
      <c r="C59" s="180"/>
      <c r="D59" s="180"/>
      <c r="E59" s="180"/>
      <c r="F59" s="180"/>
    </row>
    <row r="60" spans="1:6" ht="15">
      <c r="A60" s="479" t="s">
        <v>114</v>
      </c>
      <c r="B60" s="169"/>
      <c r="C60" s="706" t="s">
        <v>113</v>
      </c>
      <c r="D60" s="703"/>
      <c r="E60" s="703"/>
      <c r="F60" s="703"/>
    </row>
    <row r="61" spans="1:6" ht="12.75">
      <c r="A61" s="695"/>
      <c r="B61" s="695"/>
      <c r="C61" s="695"/>
      <c r="D61" s="695"/>
      <c r="E61" s="695"/>
      <c r="F61" s="695"/>
    </row>
    <row r="62" spans="3:6" ht="12.75">
      <c r="C62" s="222"/>
      <c r="E62" s="222"/>
      <c r="F62" s="222"/>
    </row>
  </sheetData>
  <sheetProtection/>
  <mergeCells count="9">
    <mergeCell ref="A61:F61"/>
    <mergeCell ref="A2:F2"/>
    <mergeCell ref="E13:E14"/>
    <mergeCell ref="A6:F6"/>
    <mergeCell ref="A4:F4"/>
    <mergeCell ref="A5:F5"/>
    <mergeCell ref="A49:B49"/>
    <mergeCell ref="C60:F60"/>
    <mergeCell ref="F50:F51"/>
  </mergeCells>
  <printOptions/>
  <pageMargins left="0.5" right="0.5" top="0" bottom="0.23" header="0" footer="0"/>
  <pageSetup blackAndWhite="1" fitToHeight="1" fitToWidth="1" horizontalDpi="120" verticalDpi="120" orientation="portrait" scale="89" r:id="rId1"/>
  <headerFooter alignWithMargins="0">
    <oddHeader>&amp;RState of Kansas
County
</oddHeader>
    <oddFooter>&amp;CPage No. 1</oddFooter>
  </headerFooter>
</worksheet>
</file>

<file path=xl/worksheets/sheet50.xml><?xml version="1.0" encoding="utf-8"?>
<worksheet xmlns="http://schemas.openxmlformats.org/spreadsheetml/2006/main" xmlns:r="http://schemas.openxmlformats.org/officeDocument/2006/relationships">
  <sheetPr>
    <pageSetUpPr fitToPage="1"/>
  </sheetPr>
  <dimension ref="B1:E66"/>
  <sheetViews>
    <sheetView tabSelected="1" zoomScalePageLayoutView="0" workbookViewId="0" topLeftCell="A1">
      <selection activeCell="F49" sqref="F49"/>
    </sheetView>
  </sheetViews>
  <sheetFormatPr defaultColWidth="8.796875" defaultRowHeight="15"/>
  <cols>
    <col min="1" max="1" width="2.3984375" style="77" customWidth="1"/>
    <col min="2" max="2" width="31.09765625" style="77" customWidth="1"/>
    <col min="3" max="4" width="15.796875" style="77" customWidth="1"/>
    <col min="5" max="5" width="16.09765625" style="77" customWidth="1"/>
    <col min="6" max="16384" width="8.8984375" style="77" customWidth="1"/>
  </cols>
  <sheetData>
    <row r="1" spans="2:5" ht="15.75">
      <c r="B1" s="240" t="str">
        <f>(inputPrYr!C2)</f>
        <v>Clay County</v>
      </c>
      <c r="C1" s="90"/>
      <c r="D1" s="90"/>
      <c r="E1" s="297">
        <f>inputPrYr!C4</f>
        <v>2012</v>
      </c>
    </row>
    <row r="2" spans="2:5" ht="15.75">
      <c r="B2" s="90"/>
      <c r="C2" s="90"/>
      <c r="D2" s="90"/>
      <c r="E2" s="252"/>
    </row>
    <row r="3" spans="2:5" ht="15.75">
      <c r="B3" s="157" t="s">
        <v>212</v>
      </c>
      <c r="C3" s="344"/>
      <c r="D3" s="344"/>
      <c r="E3" s="345"/>
    </row>
    <row r="4" spans="2:5" ht="15.75">
      <c r="B4" s="90"/>
      <c r="C4" s="338"/>
      <c r="D4" s="338"/>
      <c r="E4" s="338"/>
    </row>
    <row r="5" spans="2:5" ht="15.75">
      <c r="B5" s="89" t="s">
        <v>123</v>
      </c>
      <c r="C5" s="577" t="str">
        <f>general!C4</f>
        <v>Prior Year Actual</v>
      </c>
      <c r="D5" s="482" t="str">
        <f>general!D4</f>
        <v>Current Year Estimate</v>
      </c>
      <c r="E5" s="482" t="str">
        <f>general!E4</f>
        <v>Proposed Budget Year</v>
      </c>
    </row>
    <row r="6" spans="2:5" ht="15.75">
      <c r="B6" s="516" t="str">
        <f>inputPrYr!B57</f>
        <v> </v>
      </c>
      <c r="C6" s="326">
        <f>general!C5</f>
        <v>2010</v>
      </c>
      <c r="D6" s="326">
        <f>general!D5</f>
        <v>2011</v>
      </c>
      <c r="E6" s="313">
        <f>general!E5</f>
        <v>2012</v>
      </c>
    </row>
    <row r="7" spans="2:5" ht="15.75">
      <c r="B7" s="153" t="s">
        <v>253</v>
      </c>
      <c r="C7" s="117"/>
      <c r="D7" s="276">
        <f>C30</f>
        <v>0</v>
      </c>
      <c r="E7" s="276">
        <f>D30</f>
        <v>0</v>
      </c>
    </row>
    <row r="8" spans="2:5" ht="15.75">
      <c r="B8" s="347" t="s">
        <v>255</v>
      </c>
      <c r="C8" s="113"/>
      <c r="D8" s="113"/>
      <c r="E8" s="113"/>
    </row>
    <row r="9" spans="2:5" ht="15.75">
      <c r="B9" s="329"/>
      <c r="C9" s="117"/>
      <c r="D9" s="117"/>
      <c r="E9" s="117"/>
    </row>
    <row r="10" spans="2:5" ht="15.75">
      <c r="B10" s="329"/>
      <c r="C10" s="117"/>
      <c r="D10" s="117"/>
      <c r="E10" s="117"/>
    </row>
    <row r="11" spans="2:5" ht="15.75">
      <c r="B11" s="329"/>
      <c r="C11" s="117"/>
      <c r="D11" s="117"/>
      <c r="E11" s="117"/>
    </row>
    <row r="12" spans="2:5" ht="15.75">
      <c r="B12" s="319" t="s">
        <v>131</v>
      </c>
      <c r="C12" s="117"/>
      <c r="D12" s="117"/>
      <c r="E12" s="117"/>
    </row>
    <row r="13" spans="2:5" ht="15.75">
      <c r="B13" s="320" t="s">
        <v>870</v>
      </c>
      <c r="C13" s="117"/>
      <c r="D13" s="315"/>
      <c r="E13" s="315"/>
    </row>
    <row r="14" spans="2:5" ht="15.75">
      <c r="B14" s="320" t="s">
        <v>722</v>
      </c>
      <c r="C14" s="512">
        <f>IF(C15*0.1&lt;C13,"Exceed 10% Rule","")</f>
      </c>
      <c r="D14" s="321">
        <f>IF(D15*0.1&lt;D13,"Exceed 10% Rule","")</f>
      </c>
      <c r="E14" s="321">
        <f>IF(E15*0.1&lt;E13,"Exceed 10% Rule","")</f>
      </c>
    </row>
    <row r="15" spans="2:5" ht="15.75">
      <c r="B15" s="322" t="s">
        <v>132</v>
      </c>
      <c r="C15" s="363">
        <f>SUM(C9:C13)</f>
        <v>0</v>
      </c>
      <c r="D15" s="363">
        <f>SUM(D9:D13)</f>
        <v>0</v>
      </c>
      <c r="E15" s="363">
        <f>SUM(E9:E13)</f>
        <v>0</v>
      </c>
    </row>
    <row r="16" spans="2:5" ht="15.75">
      <c r="B16" s="322" t="s">
        <v>133</v>
      </c>
      <c r="C16" s="363">
        <f>C15+C7</f>
        <v>0</v>
      </c>
      <c r="D16" s="363">
        <f>D15+D7</f>
        <v>0</v>
      </c>
      <c r="E16" s="363">
        <f>E15+E7</f>
        <v>0</v>
      </c>
    </row>
    <row r="17" spans="2:5" ht="15.75">
      <c r="B17" s="153" t="s">
        <v>136</v>
      </c>
      <c r="C17" s="276"/>
      <c r="D17" s="276"/>
      <c r="E17" s="276"/>
    </row>
    <row r="18" spans="2:5" ht="15.75">
      <c r="B18" s="329"/>
      <c r="C18" s="117"/>
      <c r="D18" s="117"/>
      <c r="E18" s="117"/>
    </row>
    <row r="19" spans="2:5" ht="15.75">
      <c r="B19" s="329"/>
      <c r="C19" s="117"/>
      <c r="D19" s="117"/>
      <c r="E19" s="117"/>
    </row>
    <row r="20" spans="2:5" ht="15.75">
      <c r="B20" s="329"/>
      <c r="C20" s="117"/>
      <c r="D20" s="117"/>
      <c r="E20" s="117"/>
    </row>
    <row r="21" spans="2:5" ht="15.75">
      <c r="B21" s="329"/>
      <c r="C21" s="117"/>
      <c r="D21" s="117"/>
      <c r="E21" s="117"/>
    </row>
    <row r="22" spans="2:5" ht="15.75">
      <c r="B22" s="329"/>
      <c r="C22" s="117"/>
      <c r="D22" s="117"/>
      <c r="E22" s="117"/>
    </row>
    <row r="23" spans="2:5" ht="15.75">
      <c r="B23" s="329"/>
      <c r="C23" s="117"/>
      <c r="D23" s="117"/>
      <c r="E23" s="117"/>
    </row>
    <row r="24" spans="2:5" ht="15.75">
      <c r="B24" s="329"/>
      <c r="C24" s="117"/>
      <c r="D24" s="117"/>
      <c r="E24" s="117"/>
    </row>
    <row r="25" spans="2:5" ht="15.75">
      <c r="B25" s="329"/>
      <c r="C25" s="117"/>
      <c r="D25" s="117"/>
      <c r="E25" s="117"/>
    </row>
    <row r="26" spans="2:5" ht="15.75">
      <c r="B26" s="329"/>
      <c r="C26" s="117"/>
      <c r="D26" s="117"/>
      <c r="E26" s="117"/>
    </row>
    <row r="27" spans="2:5" ht="15.75">
      <c r="B27" s="320" t="s">
        <v>870</v>
      </c>
      <c r="C27" s="117"/>
      <c r="D27" s="315"/>
      <c r="E27" s="315"/>
    </row>
    <row r="28" spans="2:5" ht="15.75">
      <c r="B28" s="320" t="s">
        <v>721</v>
      </c>
      <c r="C28" s="512">
        <f>IF(C29*0.1&lt;C27,"Exceed 10% Rule","")</f>
      </c>
      <c r="D28" s="321">
        <f>IF(D29*0.1&lt;D27,"Exceed 10% Rule","")</f>
      </c>
      <c r="E28" s="321">
        <f>IF(E29*0.1&lt;E27,"Exceed 10% Rule","")</f>
      </c>
    </row>
    <row r="29" spans="2:5" ht="15.75">
      <c r="B29" s="322" t="s">
        <v>137</v>
      </c>
      <c r="C29" s="363">
        <f>SUM(C18:C27)</f>
        <v>0</v>
      </c>
      <c r="D29" s="363">
        <f>SUM(D18:D27)</f>
        <v>0</v>
      </c>
      <c r="E29" s="363">
        <f>SUM(E18:E27)</f>
        <v>0</v>
      </c>
    </row>
    <row r="30" spans="2:5" ht="15.75">
      <c r="B30" s="153" t="s">
        <v>254</v>
      </c>
      <c r="C30" s="125">
        <f>C16-C29</f>
        <v>0</v>
      </c>
      <c r="D30" s="125">
        <f>D16-D29</f>
        <v>0</v>
      </c>
      <c r="E30" s="125">
        <f>E16-E29</f>
        <v>0</v>
      </c>
    </row>
    <row r="31" spans="2:5" ht="15.75">
      <c r="B31" s="298" t="str">
        <f>CONCATENATE("",E$1-2,"/",E$1-1," Budget Authority Amount:")</f>
        <v>2010/2011 Budget Authority Amount:</v>
      </c>
      <c r="C31" s="290">
        <f>inputOth!B70</f>
        <v>0</v>
      </c>
      <c r="D31" s="290">
        <f>inputPrYr!D57</f>
        <v>0</v>
      </c>
      <c r="E31" s="511">
        <f>IF(E30&lt;0,"See Tab E","")</f>
      </c>
    </row>
    <row r="32" spans="2:5" ht="15.75">
      <c r="B32" s="298"/>
      <c r="C32" s="332">
        <f>IF(C29&gt;C31,"See Tab A","")</f>
      </c>
      <c r="D32" s="332">
        <f>IF(D29&gt;D31,"See Tab C","")</f>
      </c>
      <c r="E32" s="150"/>
    </row>
    <row r="33" spans="2:5" ht="15.75">
      <c r="B33" s="298"/>
      <c r="C33" s="332">
        <f>IF(C30&lt;0,"See Tab B","")</f>
      </c>
      <c r="D33" s="332">
        <f>IF(D30&lt;0,"See Tab D","")</f>
      </c>
      <c r="E33" s="150"/>
    </row>
    <row r="34" spans="2:5" ht="15.75">
      <c r="B34" s="90"/>
      <c r="C34" s="150"/>
      <c r="D34" s="150"/>
      <c r="E34" s="150"/>
    </row>
    <row r="35" spans="2:5" ht="15.75">
      <c r="B35" s="89" t="s">
        <v>123</v>
      </c>
      <c r="C35" s="338"/>
      <c r="D35" s="338"/>
      <c r="E35" s="338"/>
    </row>
    <row r="36" spans="2:5" ht="15.75">
      <c r="B36" s="90"/>
      <c r="C36" s="577" t="str">
        <f aca="true" t="shared" si="0" ref="C36:E37">C5</f>
        <v>Prior Year Actual</v>
      </c>
      <c r="D36" s="482" t="str">
        <f t="shared" si="0"/>
        <v>Current Year Estimate</v>
      </c>
      <c r="E36" s="482" t="str">
        <f t="shared" si="0"/>
        <v>Proposed Budget Year</v>
      </c>
    </row>
    <row r="37" spans="2:5" ht="15.75">
      <c r="B37" s="515" t="str">
        <f>inputPrYr!B58</f>
        <v> </v>
      </c>
      <c r="C37" s="326">
        <f t="shared" si="0"/>
        <v>2010</v>
      </c>
      <c r="D37" s="326">
        <f t="shared" si="0"/>
        <v>2011</v>
      </c>
      <c r="E37" s="313">
        <f t="shared" si="0"/>
        <v>2012</v>
      </c>
    </row>
    <row r="38" spans="2:5" ht="15.75">
      <c r="B38" s="153" t="s">
        <v>253</v>
      </c>
      <c r="C38" s="117"/>
      <c r="D38" s="276">
        <f>C61</f>
        <v>0</v>
      </c>
      <c r="E38" s="276">
        <f>D61</f>
        <v>0</v>
      </c>
    </row>
    <row r="39" spans="2:5" ht="15.75">
      <c r="B39" s="153" t="s">
        <v>255</v>
      </c>
      <c r="C39" s="113"/>
      <c r="D39" s="113"/>
      <c r="E39" s="113"/>
    </row>
    <row r="40" spans="2:5" ht="15.75">
      <c r="B40" s="329"/>
      <c r="C40" s="117"/>
      <c r="D40" s="117"/>
      <c r="E40" s="117"/>
    </row>
    <row r="41" spans="2:5" ht="15.75">
      <c r="B41" s="329"/>
      <c r="C41" s="117"/>
      <c r="D41" s="117"/>
      <c r="E41" s="117"/>
    </row>
    <row r="42" spans="2:5" ht="15.75">
      <c r="B42" s="329"/>
      <c r="C42" s="117"/>
      <c r="D42" s="117"/>
      <c r="E42" s="117"/>
    </row>
    <row r="43" spans="2:5" ht="15.75">
      <c r="B43" s="319" t="s">
        <v>131</v>
      </c>
      <c r="C43" s="117"/>
      <c r="D43" s="117"/>
      <c r="E43" s="117"/>
    </row>
    <row r="44" spans="2:5" ht="15.75">
      <c r="B44" s="320" t="s">
        <v>870</v>
      </c>
      <c r="C44" s="117"/>
      <c r="D44" s="315"/>
      <c r="E44" s="315"/>
    </row>
    <row r="45" spans="2:5" ht="15.75">
      <c r="B45" s="320" t="s">
        <v>722</v>
      </c>
      <c r="C45" s="512">
        <f>IF(C46*0.1&lt;C44,"Exceed 10% Rule","")</f>
      </c>
      <c r="D45" s="321">
        <f>IF(D46*0.1&lt;D44,"Exceed 10% Rule","")</f>
      </c>
      <c r="E45" s="321">
        <f>IF(E46*0.1&lt;E44,"Exceed 10% Rule","")</f>
      </c>
    </row>
    <row r="46" spans="2:5" ht="15.75">
      <c r="B46" s="322" t="s">
        <v>132</v>
      </c>
      <c r="C46" s="363">
        <f>SUM(C40:C44)</f>
        <v>0</v>
      </c>
      <c r="D46" s="363">
        <f>SUM(D40:D44)</f>
        <v>0</v>
      </c>
      <c r="E46" s="363">
        <f>SUM(E40:E44)</f>
        <v>0</v>
      </c>
    </row>
    <row r="47" spans="2:5" ht="15.75">
      <c r="B47" s="322" t="s">
        <v>133</v>
      </c>
      <c r="C47" s="363">
        <f>C38+C46</f>
        <v>0</v>
      </c>
      <c r="D47" s="363">
        <f>D38+D46</f>
        <v>0</v>
      </c>
      <c r="E47" s="363">
        <f>E38+E46</f>
        <v>0</v>
      </c>
    </row>
    <row r="48" spans="2:5" ht="15.75">
      <c r="B48" s="153" t="s">
        <v>136</v>
      </c>
      <c r="C48" s="276"/>
      <c r="D48" s="276"/>
      <c r="E48" s="276"/>
    </row>
    <row r="49" spans="2:5" ht="15.75">
      <c r="B49" s="329"/>
      <c r="C49" s="117"/>
      <c r="D49" s="117"/>
      <c r="E49" s="117"/>
    </row>
    <row r="50" spans="2:5" ht="15.75">
      <c r="B50" s="329"/>
      <c r="C50" s="117"/>
      <c r="D50" s="117"/>
      <c r="E50" s="117"/>
    </row>
    <row r="51" spans="2:5" ht="15.75">
      <c r="B51" s="329"/>
      <c r="C51" s="117"/>
      <c r="D51" s="117"/>
      <c r="E51" s="117"/>
    </row>
    <row r="52" spans="2:5" ht="15.75">
      <c r="B52" s="329"/>
      <c r="C52" s="117"/>
      <c r="D52" s="117"/>
      <c r="E52" s="117"/>
    </row>
    <row r="53" spans="2:5" ht="15.75">
      <c r="B53" s="329"/>
      <c r="C53" s="117"/>
      <c r="D53" s="117"/>
      <c r="E53" s="117"/>
    </row>
    <row r="54" spans="2:5" ht="15.75">
      <c r="B54" s="329"/>
      <c r="C54" s="117"/>
      <c r="D54" s="117"/>
      <c r="E54" s="117"/>
    </row>
    <row r="55" spans="2:5" ht="15.75">
      <c r="B55" s="329"/>
      <c r="C55" s="117"/>
      <c r="D55" s="117"/>
      <c r="E55" s="117"/>
    </row>
    <row r="56" spans="2:5" ht="15.75">
      <c r="B56" s="329"/>
      <c r="C56" s="117"/>
      <c r="D56" s="117"/>
      <c r="E56" s="117"/>
    </row>
    <row r="57" spans="2:5" ht="15.75">
      <c r="B57" s="329"/>
      <c r="C57" s="117"/>
      <c r="D57" s="117"/>
      <c r="E57" s="117"/>
    </row>
    <row r="58" spans="2:5" ht="15.75">
      <c r="B58" s="320" t="s">
        <v>870</v>
      </c>
      <c r="C58" s="117"/>
      <c r="D58" s="315"/>
      <c r="E58" s="315"/>
    </row>
    <row r="59" spans="2:5" ht="15.75">
      <c r="B59" s="320" t="s">
        <v>721</v>
      </c>
      <c r="C59" s="512">
        <f>IF(C60*0.1&lt;C58,"Exceed 10% Rule","")</f>
      </c>
      <c r="D59" s="321">
        <f>IF(D60*0.1&lt;D58,"Exceed 10% Rule","")</f>
      </c>
      <c r="E59" s="321">
        <f>IF(E60*0.1&lt;E58,"Exceed 10% Rule","")</f>
      </c>
    </row>
    <row r="60" spans="2:5" ht="15.75">
      <c r="B60" s="322" t="s">
        <v>137</v>
      </c>
      <c r="C60" s="363">
        <f>SUM(C49:C58)</f>
        <v>0</v>
      </c>
      <c r="D60" s="363">
        <f>SUM(D49:D58)</f>
        <v>0</v>
      </c>
      <c r="E60" s="363">
        <f>SUM(E49:E58)</f>
        <v>0</v>
      </c>
    </row>
    <row r="61" spans="2:5" ht="15.75">
      <c r="B61" s="153" t="s">
        <v>254</v>
      </c>
      <c r="C61" s="125">
        <f>C47-C60</f>
        <v>0</v>
      </c>
      <c r="D61" s="125">
        <f>D47-D60</f>
        <v>0</v>
      </c>
      <c r="E61" s="125">
        <f>E47-E60</f>
        <v>0</v>
      </c>
    </row>
    <row r="62" spans="2:5" ht="15.75">
      <c r="B62" s="298" t="str">
        <f>CONCATENATE("",E$1-2,"/",E$1-1," Budget Authority Amount:")</f>
        <v>2010/2011 Budget Authority Amount:</v>
      </c>
      <c r="C62" s="290">
        <f>inputOth!B71</f>
        <v>0</v>
      </c>
      <c r="D62" s="290">
        <f>inputPrYr!D58</f>
        <v>0</v>
      </c>
      <c r="E62" s="510">
        <f>IF(E61&lt;0,"See Tab E","")</f>
      </c>
    </row>
    <row r="63" spans="2:5" ht="15.75">
      <c r="B63" s="298"/>
      <c r="C63" s="332">
        <f>IF(C60&gt;C62,"See Tab A","")</f>
      </c>
      <c r="D63" s="332">
        <f>IF(D60&gt;D62,"See Tab C","")</f>
      </c>
      <c r="E63" s="90"/>
    </row>
    <row r="64" spans="2:5" ht="15.75">
      <c r="B64" s="298"/>
      <c r="C64" s="332">
        <f>IF(C61&lt;0,"See Tab B","")</f>
      </c>
      <c r="D64" s="332">
        <f>IF(D61&lt;0,"See Tab D","")</f>
      </c>
      <c r="E64" s="90"/>
    </row>
    <row r="65" spans="2:5" ht="15.75">
      <c r="B65" s="90"/>
      <c r="C65" s="90"/>
      <c r="D65" s="90"/>
      <c r="E65" s="90"/>
    </row>
    <row r="66" spans="2:5" ht="15.75">
      <c r="B66" s="298" t="s">
        <v>160</v>
      </c>
      <c r="C66" s="360"/>
      <c r="D66" s="90"/>
      <c r="E66" s="90"/>
    </row>
  </sheetData>
  <sheetProtection sheet="1"/>
  <conditionalFormatting sqref="C27">
    <cfRule type="cellIs" priority="4" dxfId="405" operator="greaterThan" stopIfTrue="1">
      <formula>$C$29*0.1</formula>
    </cfRule>
  </conditionalFormatting>
  <conditionalFormatting sqref="D27">
    <cfRule type="cellIs" priority="5" dxfId="405" operator="greaterThan" stopIfTrue="1">
      <formula>$D$29*0.1</formula>
    </cfRule>
  </conditionalFormatting>
  <conditionalFormatting sqref="E27">
    <cfRule type="cellIs" priority="6" dxfId="405" operator="greaterThan" stopIfTrue="1">
      <formula>$E$29*0.1</formula>
    </cfRule>
  </conditionalFormatting>
  <conditionalFormatting sqref="C13">
    <cfRule type="cellIs" priority="7" dxfId="405" operator="greaterThan" stopIfTrue="1">
      <formula>$C$15*0.1</formula>
    </cfRule>
  </conditionalFormatting>
  <conditionalFormatting sqref="D13">
    <cfRule type="cellIs" priority="8" dxfId="405" operator="greaterThan" stopIfTrue="1">
      <formula>$D$15*0.1</formula>
    </cfRule>
  </conditionalFormatting>
  <conditionalFormatting sqref="E13">
    <cfRule type="cellIs" priority="9" dxfId="405" operator="greaterThan" stopIfTrue="1">
      <formula>$E$15*0.1</formula>
    </cfRule>
  </conditionalFormatting>
  <conditionalFormatting sqref="C44">
    <cfRule type="cellIs" priority="10" dxfId="405" operator="greaterThan" stopIfTrue="1">
      <formula>$C$46*0.1</formula>
    </cfRule>
  </conditionalFormatting>
  <conditionalFormatting sqref="D44">
    <cfRule type="cellIs" priority="11" dxfId="405" operator="greaterThan" stopIfTrue="1">
      <formula>$D$46*0.1</formula>
    </cfRule>
  </conditionalFormatting>
  <conditionalFormatting sqref="E44">
    <cfRule type="cellIs" priority="12" dxfId="405" operator="greaterThan" stopIfTrue="1">
      <formula>$E$46*0.1</formula>
    </cfRule>
  </conditionalFormatting>
  <conditionalFormatting sqref="C58">
    <cfRule type="cellIs" priority="13" dxfId="405" operator="greaterThan" stopIfTrue="1">
      <formula>$C$60*0.1</formula>
    </cfRule>
  </conditionalFormatting>
  <conditionalFormatting sqref="D58">
    <cfRule type="cellIs" priority="14" dxfId="405" operator="greaterThan" stopIfTrue="1">
      <formula>$D$60*0.1</formula>
    </cfRule>
  </conditionalFormatting>
  <conditionalFormatting sqref="E58">
    <cfRule type="cellIs" priority="15" dxfId="405" operator="greaterThan" stopIfTrue="1">
      <formula>$E$60*0.1</formula>
    </cfRule>
  </conditionalFormatting>
  <conditionalFormatting sqref="E30 E61 C61 C30">
    <cfRule type="cellIs" priority="16" dxfId="2" operator="lessThan" stopIfTrue="1">
      <formula>0</formula>
    </cfRule>
  </conditionalFormatting>
  <conditionalFormatting sqref="D60">
    <cfRule type="cellIs" priority="17" dxfId="2" operator="greaterThan" stopIfTrue="1">
      <formula>$D$62</formula>
    </cfRule>
  </conditionalFormatting>
  <conditionalFormatting sqref="C60">
    <cfRule type="cellIs" priority="18" dxfId="2" operator="greaterThan" stopIfTrue="1">
      <formula>$C$62</formula>
    </cfRule>
  </conditionalFormatting>
  <conditionalFormatting sqref="D29">
    <cfRule type="cellIs" priority="19" dxfId="2" operator="greaterThan" stopIfTrue="1">
      <formula>$D$31</formula>
    </cfRule>
  </conditionalFormatting>
  <conditionalFormatting sqref="C29">
    <cfRule type="cellIs" priority="20" dxfId="2" operator="greaterThan" stopIfTrue="1">
      <formula>$C$31</formula>
    </cfRule>
  </conditionalFormatting>
  <conditionalFormatting sqref="D30">
    <cfRule type="cellIs" priority="3" dxfId="0" operator="lessThan" stopIfTrue="1">
      <formula>0</formula>
    </cfRule>
  </conditionalFormatting>
  <conditionalFormatting sqref="D61">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9" r:id="rId1"/>
  <headerFooter alignWithMargins="0">
    <oddHeader>&amp;RState of Kansas
County</oddHeader>
  </headerFooter>
</worksheet>
</file>

<file path=xl/worksheets/sheet5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12" sqref="H12"/>
    </sheetView>
  </sheetViews>
  <sheetFormatPr defaultColWidth="8.796875" defaultRowHeight="15"/>
  <cols>
    <col min="1" max="1" width="11.59765625" style="77" customWidth="1"/>
    <col min="2" max="2" width="7.3984375" style="77" customWidth="1"/>
    <col min="3" max="3" width="11.59765625" style="77" customWidth="1"/>
    <col min="4" max="4" width="7.3984375" style="77" customWidth="1"/>
    <col min="5" max="5" width="11.59765625" style="77" customWidth="1"/>
    <col min="6" max="6" width="7.3984375" style="77" customWidth="1"/>
    <col min="7" max="7" width="11.59765625" style="77" customWidth="1"/>
    <col min="8" max="8" width="7.3984375" style="77" customWidth="1"/>
    <col min="9" max="9" width="11.59765625" style="77" customWidth="1"/>
    <col min="10" max="16384" width="8.8984375" style="77" customWidth="1"/>
  </cols>
  <sheetData>
    <row r="1" spans="1:11" ht="15.75">
      <c r="A1" s="149" t="str">
        <f>inputPrYr!$C$2</f>
        <v>Clay County</v>
      </c>
      <c r="B1" s="368"/>
      <c r="C1" s="130"/>
      <c r="D1" s="130"/>
      <c r="E1" s="130"/>
      <c r="F1" s="369" t="s">
        <v>599</v>
      </c>
      <c r="G1" s="130"/>
      <c r="H1" s="130"/>
      <c r="I1" s="130"/>
      <c r="J1" s="130"/>
      <c r="K1" s="130">
        <f>inputPrYr!$C$4</f>
        <v>2012</v>
      </c>
    </row>
    <row r="2" spans="1:11" ht="15.75">
      <c r="A2" s="130"/>
      <c r="B2" s="130"/>
      <c r="C2" s="130"/>
      <c r="D2" s="130"/>
      <c r="E2" s="130"/>
      <c r="F2" s="370" t="str">
        <f>CONCATENATE("(Only the actual budget year for ",K1-2," is to be shown)")</f>
        <v>(Only the actual budget year for 2010 is to be shown)</v>
      </c>
      <c r="G2" s="130"/>
      <c r="H2" s="130"/>
      <c r="I2" s="130"/>
      <c r="J2" s="130"/>
      <c r="K2" s="130"/>
    </row>
    <row r="3" spans="1:11" ht="15.75">
      <c r="A3" s="130" t="s">
        <v>600</v>
      </c>
      <c r="B3" s="130"/>
      <c r="C3" s="130"/>
      <c r="D3" s="130"/>
      <c r="E3" s="130"/>
      <c r="F3" s="368"/>
      <c r="G3" s="130"/>
      <c r="H3" s="130"/>
      <c r="I3" s="130"/>
      <c r="J3" s="130"/>
      <c r="K3" s="130"/>
    </row>
    <row r="4" spans="1:11" ht="15.75">
      <c r="A4" s="130" t="s">
        <v>588</v>
      </c>
      <c r="B4" s="130"/>
      <c r="C4" s="130" t="s">
        <v>589</v>
      </c>
      <c r="D4" s="130"/>
      <c r="E4" s="130" t="s">
        <v>590</v>
      </c>
      <c r="F4" s="368"/>
      <c r="G4" s="130" t="s">
        <v>591</v>
      </c>
      <c r="H4" s="130"/>
      <c r="I4" s="130" t="s">
        <v>592</v>
      </c>
      <c r="J4" s="130"/>
      <c r="K4" s="130"/>
    </row>
    <row r="5" spans="1:11" ht="15.75">
      <c r="A5" s="737" t="str">
        <f>IF(inputPrYr!B80&gt;" ",(inputPrYr!B80)," ")</f>
        <v> </v>
      </c>
      <c r="B5" s="738"/>
      <c r="C5" s="737" t="str">
        <f>IF(inputPrYr!B81&gt;" ",(inputPrYr!B81)," ")</f>
        <v> </v>
      </c>
      <c r="D5" s="738"/>
      <c r="E5" s="737" t="str">
        <f>IF(inputPrYr!B82&gt;" ",(inputPrYr!B82)," ")</f>
        <v> </v>
      </c>
      <c r="F5" s="738"/>
      <c r="G5" s="737" t="str">
        <f>IF(inputPrYr!B83&gt;" ",(inputPrYr!B83)," ")</f>
        <v> </v>
      </c>
      <c r="H5" s="738"/>
      <c r="I5" s="737" t="str">
        <f>IF(inputPrYr!B84&gt;" ",(inputPrYr!B84)," ")</f>
        <v> </v>
      </c>
      <c r="J5" s="738"/>
      <c r="K5" s="372"/>
    </row>
    <row r="6" spans="1:11" ht="15.75">
      <c r="A6" s="373" t="s">
        <v>593</v>
      </c>
      <c r="B6" s="374"/>
      <c r="C6" s="375" t="s">
        <v>593</v>
      </c>
      <c r="D6" s="376"/>
      <c r="E6" s="375" t="s">
        <v>593</v>
      </c>
      <c r="F6" s="371"/>
      <c r="G6" s="375" t="s">
        <v>593</v>
      </c>
      <c r="H6" s="377"/>
      <c r="I6" s="375" t="s">
        <v>593</v>
      </c>
      <c r="J6" s="130"/>
      <c r="K6" s="378" t="s">
        <v>441</v>
      </c>
    </row>
    <row r="7" spans="1:11" ht="15.75">
      <c r="A7" s="379" t="s">
        <v>881</v>
      </c>
      <c r="B7" s="380"/>
      <c r="C7" s="381" t="s">
        <v>881</v>
      </c>
      <c r="D7" s="380"/>
      <c r="E7" s="381" t="s">
        <v>881</v>
      </c>
      <c r="F7" s="380"/>
      <c r="G7" s="381" t="s">
        <v>881</v>
      </c>
      <c r="H7" s="380"/>
      <c r="I7" s="381" t="s">
        <v>881</v>
      </c>
      <c r="J7" s="380"/>
      <c r="K7" s="382">
        <f>SUM(B7+D7+F7+H7+J7)</f>
        <v>0</v>
      </c>
    </row>
    <row r="8" spans="1:11" ht="15.75">
      <c r="A8" s="383" t="s">
        <v>255</v>
      </c>
      <c r="B8" s="384"/>
      <c r="C8" s="383" t="s">
        <v>255</v>
      </c>
      <c r="D8" s="385"/>
      <c r="E8" s="383" t="s">
        <v>255</v>
      </c>
      <c r="F8" s="368"/>
      <c r="G8" s="383" t="s">
        <v>255</v>
      </c>
      <c r="H8" s="130"/>
      <c r="I8" s="383" t="s">
        <v>255</v>
      </c>
      <c r="J8" s="130"/>
      <c r="K8" s="368"/>
    </row>
    <row r="9" spans="1:11" ht="15.75">
      <c r="A9" s="386"/>
      <c r="B9" s="380"/>
      <c r="C9" s="386"/>
      <c r="D9" s="380"/>
      <c r="E9" s="386"/>
      <c r="F9" s="380"/>
      <c r="G9" s="386"/>
      <c r="H9" s="380"/>
      <c r="I9" s="386"/>
      <c r="J9" s="380"/>
      <c r="K9" s="368"/>
    </row>
    <row r="10" spans="1:11" ht="15.75">
      <c r="A10" s="386"/>
      <c r="B10" s="380"/>
      <c r="C10" s="386"/>
      <c r="D10" s="380"/>
      <c r="E10" s="386"/>
      <c r="F10" s="380"/>
      <c r="G10" s="386"/>
      <c r="H10" s="380"/>
      <c r="I10" s="386"/>
      <c r="J10" s="380"/>
      <c r="K10" s="368"/>
    </row>
    <row r="11" spans="1:11" ht="15.75">
      <c r="A11" s="386"/>
      <c r="B11" s="380"/>
      <c r="C11" s="387"/>
      <c r="D11" s="380"/>
      <c r="E11" s="387"/>
      <c r="F11" s="380"/>
      <c r="G11" s="387"/>
      <c r="H11" s="380"/>
      <c r="I11" s="388"/>
      <c r="J11" s="380"/>
      <c r="K11" s="368"/>
    </row>
    <row r="12" spans="1:11" ht="15.75">
      <c r="A12" s="386"/>
      <c r="B12" s="380"/>
      <c r="C12" s="386"/>
      <c r="D12" s="380"/>
      <c r="E12" s="389"/>
      <c r="F12" s="380"/>
      <c r="G12" s="389"/>
      <c r="H12" s="380"/>
      <c r="I12" s="389"/>
      <c r="J12" s="380"/>
      <c r="K12" s="368"/>
    </row>
    <row r="13" spans="1:11" ht="15.75">
      <c r="A13" s="390"/>
      <c r="B13" s="380"/>
      <c r="C13" s="391"/>
      <c r="D13" s="380"/>
      <c r="E13" s="391"/>
      <c r="F13" s="380"/>
      <c r="G13" s="391"/>
      <c r="H13" s="380"/>
      <c r="I13" s="388"/>
      <c r="J13" s="380"/>
      <c r="K13" s="368"/>
    </row>
    <row r="14" spans="1:11" ht="15.75">
      <c r="A14" s="386"/>
      <c r="B14" s="380"/>
      <c r="C14" s="389"/>
      <c r="D14" s="380"/>
      <c r="E14" s="389"/>
      <c r="F14" s="380"/>
      <c r="G14" s="389"/>
      <c r="H14" s="380"/>
      <c r="I14" s="389"/>
      <c r="J14" s="380"/>
      <c r="K14" s="368"/>
    </row>
    <row r="15" spans="1:11" ht="15.75">
      <c r="A15" s="386"/>
      <c r="B15" s="380"/>
      <c r="C15" s="389"/>
      <c r="D15" s="380"/>
      <c r="E15" s="389"/>
      <c r="F15" s="380"/>
      <c r="G15" s="389"/>
      <c r="H15" s="380"/>
      <c r="I15" s="389"/>
      <c r="J15" s="380"/>
      <c r="K15" s="368"/>
    </row>
    <row r="16" spans="1:11" ht="15.75">
      <c r="A16" s="386"/>
      <c r="B16" s="380"/>
      <c r="C16" s="386"/>
      <c r="D16" s="380"/>
      <c r="E16" s="386"/>
      <c r="F16" s="380"/>
      <c r="G16" s="389"/>
      <c r="H16" s="380"/>
      <c r="I16" s="386"/>
      <c r="J16" s="380"/>
      <c r="K16" s="368"/>
    </row>
    <row r="17" spans="1:11" ht="15.75">
      <c r="A17" s="383" t="s">
        <v>132</v>
      </c>
      <c r="B17" s="382">
        <f>SUM(B9:B16)</f>
        <v>0</v>
      </c>
      <c r="C17" s="383" t="s">
        <v>132</v>
      </c>
      <c r="D17" s="382">
        <f>SUM(D9:D16)</f>
        <v>0</v>
      </c>
      <c r="E17" s="383" t="s">
        <v>132</v>
      </c>
      <c r="F17" s="454">
        <f>SUM(F9:F16)</f>
        <v>0</v>
      </c>
      <c r="G17" s="383" t="s">
        <v>132</v>
      </c>
      <c r="H17" s="382">
        <f>SUM(H9:H16)</f>
        <v>0</v>
      </c>
      <c r="I17" s="383" t="s">
        <v>132</v>
      </c>
      <c r="J17" s="382">
        <f>SUM(J9:J16)</f>
        <v>0</v>
      </c>
      <c r="K17" s="382">
        <f>SUM(B17+D17+F17+H17+J17)</f>
        <v>0</v>
      </c>
    </row>
    <row r="18" spans="1:11" ht="15.75">
      <c r="A18" s="383" t="s">
        <v>133</v>
      </c>
      <c r="B18" s="382">
        <f>SUM(B7+B17)</f>
        <v>0</v>
      </c>
      <c r="C18" s="383" t="s">
        <v>133</v>
      </c>
      <c r="D18" s="382">
        <f>SUM(D7+D17)</f>
        <v>0</v>
      </c>
      <c r="E18" s="383" t="s">
        <v>133</v>
      </c>
      <c r="F18" s="382">
        <f>SUM(F7+F17)</f>
        <v>0</v>
      </c>
      <c r="G18" s="383" t="s">
        <v>133</v>
      </c>
      <c r="H18" s="382">
        <f>SUM(H7+H17)</f>
        <v>0</v>
      </c>
      <c r="I18" s="383" t="s">
        <v>133</v>
      </c>
      <c r="J18" s="382">
        <f>SUM(J7+J17)</f>
        <v>0</v>
      </c>
      <c r="K18" s="382">
        <f>SUM(B18+D18+F18+H18+J18)</f>
        <v>0</v>
      </c>
    </row>
    <row r="19" spans="1:11" ht="15.75">
      <c r="A19" s="383" t="s">
        <v>136</v>
      </c>
      <c r="B19" s="384"/>
      <c r="C19" s="383" t="s">
        <v>136</v>
      </c>
      <c r="D19" s="385"/>
      <c r="E19" s="383" t="s">
        <v>136</v>
      </c>
      <c r="F19" s="368"/>
      <c r="G19" s="383" t="s">
        <v>136</v>
      </c>
      <c r="H19" s="130"/>
      <c r="I19" s="383" t="s">
        <v>136</v>
      </c>
      <c r="J19" s="130"/>
      <c r="K19" s="368"/>
    </row>
    <row r="20" spans="1:11" ht="15.75">
      <c r="A20" s="386"/>
      <c r="B20" s="380"/>
      <c r="C20" s="389"/>
      <c r="D20" s="380"/>
      <c r="E20" s="389"/>
      <c r="F20" s="380"/>
      <c r="G20" s="389"/>
      <c r="H20" s="380"/>
      <c r="I20" s="389"/>
      <c r="J20" s="380"/>
      <c r="K20" s="368"/>
    </row>
    <row r="21" spans="1:11" ht="15.75">
      <c r="A21" s="386"/>
      <c r="B21" s="380"/>
      <c r="C21" s="389"/>
      <c r="D21" s="380"/>
      <c r="E21" s="389"/>
      <c r="F21" s="380"/>
      <c r="G21" s="389"/>
      <c r="H21" s="380"/>
      <c r="I21" s="389"/>
      <c r="J21" s="380"/>
      <c r="K21" s="368"/>
    </row>
    <row r="22" spans="1:11" ht="15.75">
      <c r="A22" s="386"/>
      <c r="B22" s="380"/>
      <c r="C22" s="391"/>
      <c r="D22" s="380"/>
      <c r="E22" s="391"/>
      <c r="F22" s="380"/>
      <c r="G22" s="391"/>
      <c r="H22" s="380"/>
      <c r="I22" s="388"/>
      <c r="J22" s="380"/>
      <c r="K22" s="368"/>
    </row>
    <row r="23" spans="1:11" ht="15.75">
      <c r="A23" s="386"/>
      <c r="B23" s="380"/>
      <c r="C23" s="389"/>
      <c r="D23" s="380"/>
      <c r="E23" s="389"/>
      <c r="F23" s="380"/>
      <c r="G23" s="389"/>
      <c r="H23" s="380"/>
      <c r="I23" s="389"/>
      <c r="J23" s="380"/>
      <c r="K23" s="368"/>
    </row>
    <row r="24" spans="1:11" ht="15.75">
      <c r="A24" s="386"/>
      <c r="B24" s="380"/>
      <c r="C24" s="391"/>
      <c r="D24" s="380"/>
      <c r="E24" s="391"/>
      <c r="F24" s="380"/>
      <c r="G24" s="391"/>
      <c r="H24" s="380"/>
      <c r="I24" s="388"/>
      <c r="J24" s="380"/>
      <c r="K24" s="368"/>
    </row>
    <row r="25" spans="1:11" ht="15.75">
      <c r="A25" s="386"/>
      <c r="B25" s="380"/>
      <c r="C25" s="389"/>
      <c r="D25" s="380"/>
      <c r="E25" s="389"/>
      <c r="F25" s="380"/>
      <c r="G25" s="389"/>
      <c r="H25" s="380"/>
      <c r="I25" s="389"/>
      <c r="J25" s="380"/>
      <c r="K25" s="368"/>
    </row>
    <row r="26" spans="1:11" ht="15.75">
      <c r="A26" s="386"/>
      <c r="B26" s="380"/>
      <c r="C26" s="389"/>
      <c r="D26" s="380"/>
      <c r="E26" s="389"/>
      <c r="F26" s="380"/>
      <c r="G26" s="389"/>
      <c r="H26" s="380"/>
      <c r="I26" s="389"/>
      <c r="J26" s="380"/>
      <c r="K26" s="368"/>
    </row>
    <row r="27" spans="1:11" ht="15.75">
      <c r="A27" s="386"/>
      <c r="B27" s="380"/>
      <c r="C27" s="386"/>
      <c r="D27" s="380"/>
      <c r="E27" s="386"/>
      <c r="F27" s="380"/>
      <c r="G27" s="389"/>
      <c r="H27" s="380"/>
      <c r="I27" s="389"/>
      <c r="J27" s="380"/>
      <c r="K27" s="368"/>
    </row>
    <row r="28" spans="1:11" ht="15.75">
      <c r="A28" s="383" t="s">
        <v>137</v>
      </c>
      <c r="B28" s="382">
        <f>SUM(B20:B27)</f>
        <v>0</v>
      </c>
      <c r="C28" s="383" t="s">
        <v>137</v>
      </c>
      <c r="D28" s="382">
        <f>SUM(D20:D27)</f>
        <v>0</v>
      </c>
      <c r="E28" s="383" t="s">
        <v>137</v>
      </c>
      <c r="F28" s="454">
        <f>SUM(F20:F27)</f>
        <v>0</v>
      </c>
      <c r="G28" s="383" t="s">
        <v>137</v>
      </c>
      <c r="H28" s="454">
        <f>SUM(H20:H27)</f>
        <v>0</v>
      </c>
      <c r="I28" s="383" t="s">
        <v>137</v>
      </c>
      <c r="J28" s="382">
        <f>SUM(J20:J27)</f>
        <v>0</v>
      </c>
      <c r="K28" s="382">
        <f>SUM(B28+D28+F28+H28+J28)</f>
        <v>0</v>
      </c>
    </row>
    <row r="29" spans="1:12" ht="15.75">
      <c r="A29" s="383" t="s">
        <v>594</v>
      </c>
      <c r="B29" s="382">
        <f>B18-B28</f>
        <v>0</v>
      </c>
      <c r="C29" s="383" t="s">
        <v>594</v>
      </c>
      <c r="D29" s="382">
        <f>D18-D28</f>
        <v>0</v>
      </c>
      <c r="E29" s="383" t="s">
        <v>594</v>
      </c>
      <c r="F29" s="382">
        <f>F18-F28</f>
        <v>0</v>
      </c>
      <c r="G29" s="383" t="s">
        <v>594</v>
      </c>
      <c r="H29" s="382">
        <f>H18-H28</f>
        <v>0</v>
      </c>
      <c r="I29" s="383" t="s">
        <v>594</v>
      </c>
      <c r="J29" s="382">
        <f>J18-J28</f>
        <v>0</v>
      </c>
      <c r="K29" s="396">
        <f>SUM(B29+D29+F29+H29+J29)</f>
        <v>0</v>
      </c>
      <c r="L29" s="77" t="s">
        <v>854</v>
      </c>
    </row>
    <row r="30" spans="1:12" ht="15.75">
      <c r="A30" s="383"/>
      <c r="B30" s="419">
        <f>IF(B29&lt;0,"See Tab B","")</f>
      </c>
      <c r="C30" s="383"/>
      <c r="D30" s="419">
        <f>IF(D29&lt;0,"See Tab B","")</f>
      </c>
      <c r="E30" s="383"/>
      <c r="F30" s="419">
        <f>IF(F29&lt;0,"See Tab B","")</f>
      </c>
      <c r="G30" s="130"/>
      <c r="H30" s="419">
        <f>IF(H29&lt;0,"See Tab B","")</f>
      </c>
      <c r="I30" s="130"/>
      <c r="J30" s="419">
        <f>IF(J29&lt;0,"See Tab B","")</f>
      </c>
      <c r="K30" s="393">
        <f>SUM(K7+K17-K28)</f>
        <v>0</v>
      </c>
      <c r="L30" s="77" t="s">
        <v>854</v>
      </c>
    </row>
    <row r="31" spans="1:11" ht="15.75">
      <c r="A31" s="130"/>
      <c r="B31" s="394"/>
      <c r="C31" s="130"/>
      <c r="D31" s="368"/>
      <c r="E31" s="130"/>
      <c r="F31" s="130"/>
      <c r="G31" s="87" t="s">
        <v>855</v>
      </c>
      <c r="H31" s="87"/>
      <c r="I31" s="87"/>
      <c r="J31" s="87"/>
      <c r="K31" s="130"/>
    </row>
    <row r="32" spans="1:11" ht="15.75">
      <c r="A32" s="130"/>
      <c r="B32" s="394"/>
      <c r="C32" s="130"/>
      <c r="D32" s="130"/>
      <c r="E32" s="130"/>
      <c r="F32" s="130"/>
      <c r="G32" s="130"/>
      <c r="H32" s="130"/>
      <c r="I32" s="130"/>
      <c r="J32" s="130"/>
      <c r="K32" s="130"/>
    </row>
    <row r="33" spans="1:11" ht="15.75">
      <c r="A33" s="130"/>
      <c r="B33" s="394"/>
      <c r="C33" s="130"/>
      <c r="D33" s="130"/>
      <c r="E33" s="333" t="s">
        <v>160</v>
      </c>
      <c r="F33" s="360"/>
      <c r="G33" s="130"/>
      <c r="H33" s="130"/>
      <c r="I33" s="130"/>
      <c r="J33" s="130"/>
      <c r="K33" s="130"/>
    </row>
    <row r="34" ht="15.75">
      <c r="B34" s="395"/>
    </row>
    <row r="35" ht="15.75">
      <c r="B35" s="395"/>
    </row>
    <row r="36" ht="15.75">
      <c r="B36" s="395"/>
    </row>
    <row r="37" ht="15.75">
      <c r="B37" s="395"/>
    </row>
    <row r="38" ht="15.75">
      <c r="B38" s="395"/>
    </row>
    <row r="39" ht="15.75">
      <c r="B39" s="395"/>
    </row>
    <row r="40" ht="15.75">
      <c r="B40" s="395"/>
    </row>
    <row r="41" ht="15.75">
      <c r="B41" s="39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County</oddHeader>
  </headerFooter>
</worksheet>
</file>

<file path=xl/worksheets/sheet52.xml><?xml version="1.0" encoding="utf-8"?>
<worksheet xmlns="http://schemas.openxmlformats.org/spreadsheetml/2006/main" xmlns:r="http://schemas.openxmlformats.org/officeDocument/2006/relationships">
  <dimension ref="A1:D47"/>
  <sheetViews>
    <sheetView zoomScalePageLayoutView="0" workbookViewId="0" topLeftCell="A1">
      <selection activeCell="C2" sqref="C2"/>
    </sheetView>
  </sheetViews>
  <sheetFormatPr defaultColWidth="8.796875" defaultRowHeight="15"/>
  <cols>
    <col min="1" max="1" width="28.296875" style="77" customWidth="1"/>
    <col min="2" max="3" width="15.796875" style="77" customWidth="1"/>
    <col min="4" max="4" width="16.19921875" style="77" customWidth="1"/>
    <col min="5" max="16384" width="8.8984375" style="77" customWidth="1"/>
  </cols>
  <sheetData>
    <row r="1" spans="1:4" ht="15.75">
      <c r="A1" s="240" t="str">
        <f>inputPrYr!C2</f>
        <v>Clay County</v>
      </c>
      <c r="B1" s="90"/>
      <c r="C1" s="312"/>
      <c r="D1" s="90">
        <f>inputPrYr!C4</f>
        <v>2012</v>
      </c>
    </row>
    <row r="2" spans="1:4" ht="15.75">
      <c r="A2" s="90"/>
      <c r="B2" s="90"/>
      <c r="C2" s="90"/>
      <c r="D2" s="312"/>
    </row>
    <row r="3" spans="1:4" ht="15.75">
      <c r="A3" s="157" t="s">
        <v>210</v>
      </c>
      <c r="B3" s="325"/>
      <c r="C3" s="325"/>
      <c r="D3" s="325"/>
    </row>
    <row r="4" spans="1:4" ht="15.75">
      <c r="A4" s="312" t="s">
        <v>123</v>
      </c>
      <c r="B4" s="577" t="str">
        <f>general!C4</f>
        <v>Prior Year Actual</v>
      </c>
      <c r="C4" s="482" t="str">
        <f>general!D4</f>
        <v>Current Year Estimate</v>
      </c>
      <c r="D4" s="482" t="str">
        <f>general!E4</f>
        <v>Proposed Budget Year</v>
      </c>
    </row>
    <row r="5" spans="1:4" ht="18.75" customHeight="1">
      <c r="A5" s="514" t="s">
        <v>723</v>
      </c>
      <c r="B5" s="326">
        <f>general!C5</f>
        <v>2010</v>
      </c>
      <c r="C5" s="326">
        <f>general!D5</f>
        <v>2011</v>
      </c>
      <c r="D5" s="313">
        <f>general!E5</f>
        <v>2012</v>
      </c>
    </row>
    <row r="6" spans="1:4" ht="15.75">
      <c r="A6" s="273" t="s">
        <v>136</v>
      </c>
      <c r="B6" s="326"/>
      <c r="C6" s="326"/>
      <c r="D6" s="313"/>
    </row>
    <row r="7" spans="1:4" ht="15.75">
      <c r="A7" s="335"/>
      <c r="B7" s="132"/>
      <c r="C7" s="132"/>
      <c r="D7" s="132"/>
    </row>
    <row r="8" spans="1:4" ht="15.75">
      <c r="A8" s="115" t="s">
        <v>141</v>
      </c>
      <c r="B8" s="317"/>
      <c r="C8" s="317"/>
      <c r="D8" s="317"/>
    </row>
    <row r="9" spans="1:4" ht="15.75">
      <c r="A9" s="115" t="s">
        <v>142</v>
      </c>
      <c r="B9" s="317"/>
      <c r="C9" s="317"/>
      <c r="D9" s="317"/>
    </row>
    <row r="10" spans="1:4" ht="15.75">
      <c r="A10" s="115" t="s">
        <v>143</v>
      </c>
      <c r="B10" s="317"/>
      <c r="C10" s="317"/>
      <c r="D10" s="317"/>
    </row>
    <row r="11" spans="1:4" ht="15.75">
      <c r="A11" s="115" t="s">
        <v>144</v>
      </c>
      <c r="B11" s="317"/>
      <c r="C11" s="317"/>
      <c r="D11" s="317"/>
    </row>
    <row r="12" spans="1:4" ht="15.75">
      <c r="A12" s="273" t="s">
        <v>441</v>
      </c>
      <c r="B12" s="330">
        <f>SUM(B8:B11)</f>
        <v>0</v>
      </c>
      <c r="C12" s="330">
        <f>SUM(C8:C11)</f>
        <v>0</v>
      </c>
      <c r="D12" s="330">
        <f>SUM(D8:D11)</f>
        <v>0</v>
      </c>
    </row>
    <row r="13" spans="1:4" ht="15.75">
      <c r="A13" s="335"/>
      <c r="B13" s="132"/>
      <c r="C13" s="132"/>
      <c r="D13" s="132"/>
    </row>
    <row r="14" spans="1:4" ht="15.75">
      <c r="A14" s="115" t="s">
        <v>141</v>
      </c>
      <c r="B14" s="317"/>
      <c r="C14" s="317"/>
      <c r="D14" s="317"/>
    </row>
    <row r="15" spans="1:4" ht="15.75">
      <c r="A15" s="115" t="s">
        <v>142</v>
      </c>
      <c r="B15" s="317"/>
      <c r="C15" s="317"/>
      <c r="D15" s="317"/>
    </row>
    <row r="16" spans="1:4" ht="15.75">
      <c r="A16" s="115" t="s">
        <v>143</v>
      </c>
      <c r="B16" s="317"/>
      <c r="C16" s="317"/>
      <c r="D16" s="317"/>
    </row>
    <row r="17" spans="1:4" ht="15.75">
      <c r="A17" s="115" t="s">
        <v>144</v>
      </c>
      <c r="B17" s="317"/>
      <c r="C17" s="317"/>
      <c r="D17" s="317"/>
    </row>
    <row r="18" spans="1:4" ht="15.75">
      <c r="A18" s="273" t="s">
        <v>441</v>
      </c>
      <c r="B18" s="330">
        <f>SUM(B14:B17)</f>
        <v>0</v>
      </c>
      <c r="C18" s="330">
        <f>SUM(C14:C17)</f>
        <v>0</v>
      </c>
      <c r="D18" s="330">
        <f>SUM(D14:D17)</f>
        <v>0</v>
      </c>
    </row>
    <row r="19" spans="1:4" ht="15.75">
      <c r="A19" s="335"/>
      <c r="B19" s="132"/>
      <c r="C19" s="132"/>
      <c r="D19" s="132"/>
    </row>
    <row r="20" spans="1:4" ht="15.75">
      <c r="A20" s="115" t="s">
        <v>141</v>
      </c>
      <c r="B20" s="317"/>
      <c r="C20" s="317"/>
      <c r="D20" s="317"/>
    </row>
    <row r="21" spans="1:4" ht="15.75">
      <c r="A21" s="115" t="s">
        <v>142</v>
      </c>
      <c r="B21" s="317"/>
      <c r="C21" s="317"/>
      <c r="D21" s="317"/>
    </row>
    <row r="22" spans="1:4" ht="15.75">
      <c r="A22" s="115" t="s">
        <v>143</v>
      </c>
      <c r="B22" s="317"/>
      <c r="C22" s="317"/>
      <c r="D22" s="317"/>
    </row>
    <row r="23" spans="1:4" ht="15.75">
      <c r="A23" s="115" t="s">
        <v>144</v>
      </c>
      <c r="B23" s="152"/>
      <c r="C23" s="152"/>
      <c r="D23" s="152"/>
    </row>
    <row r="24" spans="1:4" ht="15.75">
      <c r="A24" s="273" t="s">
        <v>441</v>
      </c>
      <c r="B24" s="330">
        <f>SUM(B20:B23)</f>
        <v>0</v>
      </c>
      <c r="C24" s="330">
        <f>SUM(C20:C23)</f>
        <v>0</v>
      </c>
      <c r="D24" s="330">
        <f>SUM(D20:D23)</f>
        <v>0</v>
      </c>
    </row>
    <row r="25" spans="1:4" ht="15.75">
      <c r="A25" s="335"/>
      <c r="B25" s="132"/>
      <c r="C25" s="132"/>
      <c r="D25" s="132"/>
    </row>
    <row r="26" spans="1:4" ht="15.75">
      <c r="A26" s="115" t="s">
        <v>141</v>
      </c>
      <c r="B26" s="317"/>
      <c r="C26" s="317"/>
      <c r="D26" s="317"/>
    </row>
    <row r="27" spans="1:4" ht="15.75">
      <c r="A27" s="115" t="s">
        <v>142</v>
      </c>
      <c r="B27" s="317"/>
      <c r="C27" s="317"/>
      <c r="D27" s="317"/>
    </row>
    <row r="28" spans="1:4" ht="15.75">
      <c r="A28" s="115" t="s">
        <v>143</v>
      </c>
      <c r="B28" s="317"/>
      <c r="C28" s="317"/>
      <c r="D28" s="317"/>
    </row>
    <row r="29" spans="1:4" ht="15.75">
      <c r="A29" s="115" t="s">
        <v>144</v>
      </c>
      <c r="B29" s="317"/>
      <c r="C29" s="317"/>
      <c r="D29" s="317"/>
    </row>
    <row r="30" spans="1:4" ht="15.75">
      <c r="A30" s="273" t="s">
        <v>441</v>
      </c>
      <c r="B30" s="330">
        <f>SUM(B26:B29)</f>
        <v>0</v>
      </c>
      <c r="C30" s="330">
        <f>SUM(C26:C29)</f>
        <v>0</v>
      </c>
      <c r="D30" s="330">
        <f>SUM(D26:D29)</f>
        <v>0</v>
      </c>
    </row>
    <row r="31" spans="1:4" ht="15.75">
      <c r="A31" s="335"/>
      <c r="B31" s="132"/>
      <c r="C31" s="132"/>
      <c r="D31" s="132"/>
    </row>
    <row r="32" spans="1:4" ht="15.75">
      <c r="A32" s="115" t="s">
        <v>141</v>
      </c>
      <c r="B32" s="317"/>
      <c r="C32" s="317"/>
      <c r="D32" s="317"/>
    </row>
    <row r="33" spans="1:4" ht="15.75">
      <c r="A33" s="115" t="s">
        <v>142</v>
      </c>
      <c r="B33" s="317"/>
      <c r="C33" s="317"/>
      <c r="D33" s="317"/>
    </row>
    <row r="34" spans="1:4" ht="15.75">
      <c r="A34" s="115" t="s">
        <v>143</v>
      </c>
      <c r="B34" s="317"/>
      <c r="C34" s="317"/>
      <c r="D34" s="317"/>
    </row>
    <row r="35" spans="1:4" ht="15.75">
      <c r="A35" s="115" t="s">
        <v>144</v>
      </c>
      <c r="B35" s="317"/>
      <c r="C35" s="317"/>
      <c r="D35" s="317"/>
    </row>
    <row r="36" spans="1:4" ht="15.75">
      <c r="A36" s="273" t="s">
        <v>441</v>
      </c>
      <c r="B36" s="330">
        <f>SUM(B32:B35)</f>
        <v>0</v>
      </c>
      <c r="C36" s="330">
        <f>SUM(C32:C35)</f>
        <v>0</v>
      </c>
      <c r="D36" s="330">
        <f>SUM(D32:D35)</f>
        <v>0</v>
      </c>
    </row>
    <row r="37" spans="1:4" ht="15.75">
      <c r="A37" s="335"/>
      <c r="B37" s="132"/>
      <c r="C37" s="132"/>
      <c r="D37" s="132"/>
    </row>
    <row r="38" spans="1:4" ht="15.75">
      <c r="A38" s="115" t="s">
        <v>141</v>
      </c>
      <c r="B38" s="317"/>
      <c r="C38" s="317"/>
      <c r="D38" s="317"/>
    </row>
    <row r="39" spans="1:4" ht="15.75">
      <c r="A39" s="115" t="s">
        <v>142</v>
      </c>
      <c r="B39" s="317"/>
      <c r="C39" s="317"/>
      <c r="D39" s="317"/>
    </row>
    <row r="40" spans="1:4" ht="15.75">
      <c r="A40" s="115" t="s">
        <v>143</v>
      </c>
      <c r="B40" s="317"/>
      <c r="C40" s="317"/>
      <c r="D40" s="317"/>
    </row>
    <row r="41" spans="1:4" ht="15.75">
      <c r="A41" s="115" t="s">
        <v>144</v>
      </c>
      <c r="B41" s="317"/>
      <c r="C41" s="317"/>
      <c r="D41" s="317"/>
    </row>
    <row r="42" spans="1:4" ht="15.75">
      <c r="A42" s="273" t="s">
        <v>441</v>
      </c>
      <c r="B42" s="330">
        <f>SUM(B38:B41)</f>
        <v>0</v>
      </c>
      <c r="C42" s="330">
        <f>SUM(C38:C41)</f>
        <v>0</v>
      </c>
      <c r="D42" s="330">
        <f>SUM(D38:D41)</f>
        <v>0</v>
      </c>
    </row>
    <row r="43" spans="1:4" ht="15.75">
      <c r="A43" s="113" t="s">
        <v>606</v>
      </c>
      <c r="B43" s="328">
        <f>SUM(B12+B18+B24+B30+B36+B42)</f>
        <v>0</v>
      </c>
      <c r="C43" s="328">
        <f>SUM(C12+C18+C24+C30+C36+C42)</f>
        <v>0</v>
      </c>
      <c r="D43" s="328">
        <f>SUM(D12+D18+D24+D30+D36+D42)</f>
        <v>0</v>
      </c>
    </row>
    <row r="44" spans="1:4" ht="15.75">
      <c r="A44" s="366" t="s">
        <v>605</v>
      </c>
      <c r="B44" s="310"/>
      <c r="C44" s="367"/>
      <c r="D44" s="240"/>
    </row>
    <row r="45" spans="1:4" ht="15.75">
      <c r="A45" s="90"/>
      <c r="B45" s="90"/>
      <c r="C45" s="90"/>
      <c r="D45" s="90"/>
    </row>
    <row r="46" spans="1:4" ht="15.75">
      <c r="A46" s="90"/>
      <c r="B46" s="90"/>
      <c r="C46" s="90"/>
      <c r="D46" s="90"/>
    </row>
    <row r="47" spans="1:4" ht="15.75">
      <c r="A47" s="90"/>
      <c r="B47" s="106" t="str">
        <f>CONCATENATE("Page No.",road!C58,"b")</f>
        <v>Page No.9b</v>
      </c>
      <c r="C47" s="90"/>
      <c r="D47" s="90"/>
    </row>
  </sheetData>
  <sheetProtection sheet="1"/>
  <printOptions/>
  <pageMargins left="1.12" right="0.5" top="0.74" bottom="0.34" header="0.5" footer="0"/>
  <pageSetup blackAndWhite="1" horizontalDpi="300" verticalDpi="300" orientation="portrait" scale="75" r:id="rId1"/>
  <headerFooter alignWithMargins="0">
    <oddHeader>&amp;RState of Kansas
County
</oddHeader>
  </headerFooter>
</worksheet>
</file>

<file path=xl/worksheets/sheet53.xml><?xml version="1.0" encoding="utf-8"?>
<worksheet xmlns="http://schemas.openxmlformats.org/spreadsheetml/2006/main" xmlns:r="http://schemas.openxmlformats.org/officeDocument/2006/relationships">
  <sheetPr>
    <pageSetUpPr fitToPage="1"/>
  </sheetPr>
  <dimension ref="A1:G58"/>
  <sheetViews>
    <sheetView tabSelected="1" zoomScalePageLayoutView="0" workbookViewId="0" topLeftCell="A1">
      <selection activeCell="F49" sqref="F49"/>
    </sheetView>
  </sheetViews>
  <sheetFormatPr defaultColWidth="8.796875" defaultRowHeight="15"/>
  <cols>
    <col min="1" max="1" width="20.796875" style="77" customWidth="1"/>
    <col min="2" max="2" width="9.796875" style="77" customWidth="1"/>
    <col min="3" max="3" width="5.796875" style="77" customWidth="1"/>
    <col min="4" max="7" width="12.796875" style="77" customWidth="1"/>
    <col min="8" max="16384" width="8.8984375" style="77" customWidth="1"/>
  </cols>
  <sheetData>
    <row r="1" spans="1:7" ht="15.75">
      <c r="A1" s="130"/>
      <c r="B1" s="130"/>
      <c r="C1" s="130"/>
      <c r="D1" s="130"/>
      <c r="E1" s="130"/>
      <c r="F1" s="130"/>
      <c r="G1" s="130"/>
    </row>
    <row r="2" spans="1:7" ht="15.75">
      <c r="A2" s="130"/>
      <c r="B2" s="130"/>
      <c r="C2" s="130"/>
      <c r="D2" s="130"/>
      <c r="E2" s="130"/>
      <c r="F2" s="130"/>
      <c r="G2" s="130"/>
    </row>
    <row r="3" spans="1:7" ht="15.75">
      <c r="A3" s="149" t="str">
        <f>inputPrYr!C2</f>
        <v>Clay County</v>
      </c>
      <c r="B3" s="130"/>
      <c r="C3" s="130"/>
      <c r="D3" s="130"/>
      <c r="E3" s="130"/>
      <c r="F3" s="130"/>
      <c r="G3" s="130">
        <f>inputPrYr!C4</f>
        <v>2012</v>
      </c>
    </row>
    <row r="4" spans="1:7" ht="15.75">
      <c r="A4" s="683" t="s">
        <v>585</v>
      </c>
      <c r="B4" s="702"/>
      <c r="C4" s="702"/>
      <c r="D4" s="702"/>
      <c r="E4" s="702"/>
      <c r="F4" s="702"/>
      <c r="G4" s="702"/>
    </row>
    <row r="5" spans="1:7" ht="15.75">
      <c r="A5" s="223"/>
      <c r="B5" s="98"/>
      <c r="C5" s="98"/>
      <c r="D5" s="223"/>
      <c r="E5" s="223"/>
      <c r="F5" s="223"/>
      <c r="G5" s="223"/>
    </row>
    <row r="6" spans="1:7" ht="15.75">
      <c r="A6" s="90"/>
      <c r="B6" s="90"/>
      <c r="C6" s="90"/>
      <c r="D6" s="224" t="str">
        <f>CONCATENATE("",G3," Proposed Budget")</f>
        <v>2012 Proposed Budget</v>
      </c>
      <c r="E6" s="225"/>
      <c r="F6" s="225"/>
      <c r="G6" s="226"/>
    </row>
    <row r="7" spans="1:7" ht="21" customHeight="1">
      <c r="A7" s="90"/>
      <c r="B7" s="90"/>
      <c r="C7" s="227" t="s">
        <v>100</v>
      </c>
      <c r="D7" s="525" t="s">
        <v>667</v>
      </c>
      <c r="E7" s="746" t="str">
        <f>CONCATENATE("Amount of ",G3-1,"      Ad Valorem Tax")</f>
        <v>Amount of 2011      Ad Valorem Tax</v>
      </c>
      <c r="F7" s="746" t="s">
        <v>285</v>
      </c>
      <c r="G7" s="227" t="s">
        <v>101</v>
      </c>
    </row>
    <row r="8" spans="1:7" ht="15.75">
      <c r="A8" s="228" t="s">
        <v>584</v>
      </c>
      <c r="B8" s="119"/>
      <c r="C8" s="229" t="s">
        <v>103</v>
      </c>
      <c r="D8" s="526" t="s">
        <v>668</v>
      </c>
      <c r="E8" s="689"/>
      <c r="F8" s="689"/>
      <c r="G8" s="229" t="s">
        <v>105</v>
      </c>
    </row>
    <row r="9" spans="1:7" ht="15.75">
      <c r="A9" s="230" t="s">
        <v>583</v>
      </c>
      <c r="B9" s="231" t="s">
        <v>109</v>
      </c>
      <c r="C9" s="113"/>
      <c r="D9" s="113"/>
      <c r="E9" s="113"/>
      <c r="F9" s="113"/>
      <c r="G9" s="113"/>
    </row>
    <row r="10" spans="1:7" ht="15.75">
      <c r="A10" s="232"/>
      <c r="B10" s="152"/>
      <c r="C10" s="152"/>
      <c r="D10" s="152"/>
      <c r="E10" s="152"/>
      <c r="F10" s="152"/>
      <c r="G10" s="198" t="str">
        <f>IF(AND(D10=0,F10&gt;=0)," ",IF(AND(E10&gt;0,F10=0)," ",IF(AND(E10&gt;0,F10&gt;0),ROUND(E10/F10*1000,3))))</f>
        <v> </v>
      </c>
    </row>
    <row r="11" spans="1:7" ht="15.75">
      <c r="A11" s="152"/>
      <c r="B11" s="152"/>
      <c r="C11" s="152"/>
      <c r="D11" s="152"/>
      <c r="E11" s="152"/>
      <c r="F11" s="152"/>
      <c r="G11" s="198" t="str">
        <f aca="true" t="shared" si="0" ref="G11:G38">IF(AND(D11=0,F11&gt;=0)," ",IF(AND(E11&gt;0,F11=0)," ",IF(AND(E11&gt;0,F11&gt;0),ROUND(E11/F11*1000,3))))</f>
        <v> </v>
      </c>
    </row>
    <row r="12" spans="1:7" ht="15.75">
      <c r="A12" s="152"/>
      <c r="B12" s="152"/>
      <c r="C12" s="152"/>
      <c r="D12" s="152"/>
      <c r="E12" s="152"/>
      <c r="F12" s="152"/>
      <c r="G12" s="198" t="str">
        <f t="shared" si="0"/>
        <v> </v>
      </c>
    </row>
    <row r="13" spans="1:7" ht="15.75">
      <c r="A13" s="152"/>
      <c r="B13" s="152"/>
      <c r="C13" s="152"/>
      <c r="D13" s="152"/>
      <c r="E13" s="152"/>
      <c r="F13" s="152"/>
      <c r="G13" s="198" t="str">
        <f t="shared" si="0"/>
        <v> </v>
      </c>
    </row>
    <row r="14" spans="1:7" ht="15.75">
      <c r="A14" s="152"/>
      <c r="B14" s="152"/>
      <c r="C14" s="152"/>
      <c r="D14" s="152"/>
      <c r="E14" s="152"/>
      <c r="F14" s="152"/>
      <c r="G14" s="198" t="str">
        <f t="shared" si="0"/>
        <v> </v>
      </c>
    </row>
    <row r="15" spans="1:7" ht="15.75">
      <c r="A15" s="152"/>
      <c r="B15" s="152"/>
      <c r="C15" s="152"/>
      <c r="D15" s="152"/>
      <c r="E15" s="152"/>
      <c r="F15" s="152"/>
      <c r="G15" s="198" t="str">
        <f t="shared" si="0"/>
        <v> </v>
      </c>
    </row>
    <row r="16" spans="1:7" ht="15.75">
      <c r="A16" s="152"/>
      <c r="B16" s="152"/>
      <c r="C16" s="152"/>
      <c r="D16" s="152"/>
      <c r="E16" s="152"/>
      <c r="F16" s="152"/>
      <c r="G16" s="198" t="str">
        <f t="shared" si="0"/>
        <v> </v>
      </c>
    </row>
    <row r="17" spans="1:7" ht="15.75">
      <c r="A17" s="152"/>
      <c r="B17" s="152"/>
      <c r="C17" s="152"/>
      <c r="D17" s="152"/>
      <c r="E17" s="152"/>
      <c r="F17" s="152"/>
      <c r="G17" s="198" t="str">
        <f t="shared" si="0"/>
        <v> </v>
      </c>
    </row>
    <row r="18" spans="1:7" ht="15.75">
      <c r="A18" s="152"/>
      <c r="B18" s="152"/>
      <c r="C18" s="152"/>
      <c r="D18" s="152"/>
      <c r="E18" s="152"/>
      <c r="F18" s="152"/>
      <c r="G18" s="198" t="str">
        <f t="shared" si="0"/>
        <v> </v>
      </c>
    </row>
    <row r="19" spans="1:7" ht="15.75">
      <c r="A19" s="152"/>
      <c r="B19" s="152"/>
      <c r="C19" s="152"/>
      <c r="D19" s="152"/>
      <c r="E19" s="152"/>
      <c r="F19" s="152"/>
      <c r="G19" s="198" t="str">
        <f t="shared" si="0"/>
        <v> </v>
      </c>
    </row>
    <row r="20" spans="1:7" ht="15.75">
      <c r="A20" s="152"/>
      <c r="B20" s="152"/>
      <c r="C20" s="152"/>
      <c r="D20" s="152"/>
      <c r="E20" s="152"/>
      <c r="F20" s="152"/>
      <c r="G20" s="198" t="str">
        <f t="shared" si="0"/>
        <v> </v>
      </c>
    </row>
    <row r="21" spans="1:7" ht="15.75">
      <c r="A21" s="152"/>
      <c r="B21" s="152"/>
      <c r="C21" s="152"/>
      <c r="D21" s="152"/>
      <c r="E21" s="152"/>
      <c r="F21" s="152"/>
      <c r="G21" s="198" t="str">
        <f t="shared" si="0"/>
        <v> </v>
      </c>
    </row>
    <row r="22" spans="1:7" ht="15.75">
      <c r="A22" s="152"/>
      <c r="B22" s="152"/>
      <c r="C22" s="152"/>
      <c r="D22" s="152"/>
      <c r="E22" s="152"/>
      <c r="F22" s="152"/>
      <c r="G22" s="198" t="str">
        <f t="shared" si="0"/>
        <v> </v>
      </c>
    </row>
    <row r="23" spans="1:7" ht="15.75">
      <c r="A23" s="152"/>
      <c r="B23" s="152"/>
      <c r="C23" s="152"/>
      <c r="D23" s="152"/>
      <c r="E23" s="152"/>
      <c r="F23" s="152"/>
      <c r="G23" s="198" t="str">
        <f t="shared" si="0"/>
        <v> </v>
      </c>
    </row>
    <row r="24" spans="1:7" ht="15.75">
      <c r="A24" s="152"/>
      <c r="B24" s="152"/>
      <c r="C24" s="152"/>
      <c r="D24" s="152"/>
      <c r="E24" s="152"/>
      <c r="F24" s="152"/>
      <c r="G24" s="198" t="str">
        <f t="shared" si="0"/>
        <v> </v>
      </c>
    </row>
    <row r="25" spans="1:7" ht="15.75">
      <c r="A25" s="152"/>
      <c r="B25" s="152"/>
      <c r="C25" s="152"/>
      <c r="D25" s="152"/>
      <c r="E25" s="152"/>
      <c r="F25" s="152"/>
      <c r="G25" s="198" t="str">
        <f t="shared" si="0"/>
        <v> </v>
      </c>
    </row>
    <row r="26" spans="1:7" ht="15.75">
      <c r="A26" s="152"/>
      <c r="B26" s="152"/>
      <c r="C26" s="152"/>
      <c r="D26" s="152"/>
      <c r="E26" s="152"/>
      <c r="F26" s="152"/>
      <c r="G26" s="198" t="str">
        <f t="shared" si="0"/>
        <v> </v>
      </c>
    </row>
    <row r="27" spans="1:7" ht="15.75">
      <c r="A27" s="152"/>
      <c r="B27" s="152"/>
      <c r="C27" s="152"/>
      <c r="D27" s="152"/>
      <c r="E27" s="152"/>
      <c r="F27" s="152"/>
      <c r="G27" s="198" t="str">
        <f t="shared" si="0"/>
        <v> </v>
      </c>
    </row>
    <row r="28" spans="1:7" ht="15.75">
      <c r="A28" s="152"/>
      <c r="B28" s="152"/>
      <c r="C28" s="152"/>
      <c r="D28" s="152"/>
      <c r="E28" s="152"/>
      <c r="F28" s="152"/>
      <c r="G28" s="198" t="str">
        <f t="shared" si="0"/>
        <v> </v>
      </c>
    </row>
    <row r="29" spans="1:7" ht="15.75">
      <c r="A29" s="152"/>
      <c r="B29" s="116"/>
      <c r="C29" s="152"/>
      <c r="D29" s="152"/>
      <c r="E29" s="116"/>
      <c r="F29" s="116"/>
      <c r="G29" s="198" t="str">
        <f t="shared" si="0"/>
        <v> </v>
      </c>
    </row>
    <row r="30" spans="1:7" ht="15.75">
      <c r="A30" s="152"/>
      <c r="B30" s="116"/>
      <c r="C30" s="152"/>
      <c r="D30" s="152"/>
      <c r="E30" s="116"/>
      <c r="F30" s="116"/>
      <c r="G30" s="198" t="str">
        <f t="shared" si="0"/>
        <v> </v>
      </c>
    </row>
    <row r="31" spans="1:7" ht="15.75">
      <c r="A31" s="152"/>
      <c r="B31" s="116"/>
      <c r="C31" s="152"/>
      <c r="D31" s="152"/>
      <c r="E31" s="116"/>
      <c r="F31" s="116"/>
      <c r="G31" s="198" t="str">
        <f t="shared" si="0"/>
        <v> </v>
      </c>
    </row>
    <row r="32" spans="1:7" ht="15.75">
      <c r="A32" s="152"/>
      <c r="B32" s="116"/>
      <c r="C32" s="152"/>
      <c r="D32" s="152"/>
      <c r="E32" s="116"/>
      <c r="F32" s="116"/>
      <c r="G32" s="198" t="str">
        <f t="shared" si="0"/>
        <v> </v>
      </c>
    </row>
    <row r="33" spans="1:7" ht="15.75">
      <c r="A33" s="152"/>
      <c r="B33" s="116"/>
      <c r="C33" s="152"/>
      <c r="D33" s="152"/>
      <c r="E33" s="116"/>
      <c r="F33" s="116"/>
      <c r="G33" s="198" t="str">
        <f t="shared" si="0"/>
        <v> </v>
      </c>
    </row>
    <row r="34" spans="1:7" ht="15.75">
      <c r="A34" s="152"/>
      <c r="B34" s="116"/>
      <c r="C34" s="152"/>
      <c r="D34" s="152"/>
      <c r="E34" s="116"/>
      <c r="F34" s="116"/>
      <c r="G34" s="198" t="str">
        <f t="shared" si="0"/>
        <v> </v>
      </c>
    </row>
    <row r="35" spans="1:7" ht="15.75">
      <c r="A35" s="152"/>
      <c r="B35" s="116"/>
      <c r="C35" s="152"/>
      <c r="D35" s="152"/>
      <c r="E35" s="116"/>
      <c r="F35" s="116"/>
      <c r="G35" s="198" t="str">
        <f t="shared" si="0"/>
        <v> </v>
      </c>
    </row>
    <row r="36" spans="1:7" ht="15.75">
      <c r="A36" s="152"/>
      <c r="B36" s="116"/>
      <c r="C36" s="152"/>
      <c r="D36" s="152"/>
      <c r="E36" s="116"/>
      <c r="F36" s="116"/>
      <c r="G36" s="198" t="str">
        <f t="shared" si="0"/>
        <v> </v>
      </c>
    </row>
    <row r="37" spans="1:7" ht="15.75">
      <c r="A37" s="152"/>
      <c r="B37" s="116"/>
      <c r="C37" s="152"/>
      <c r="D37" s="152"/>
      <c r="E37" s="116"/>
      <c r="F37" s="116"/>
      <c r="G37" s="198" t="str">
        <f t="shared" si="0"/>
        <v> </v>
      </c>
    </row>
    <row r="38" spans="1:7" ht="15.75">
      <c r="A38" s="152"/>
      <c r="B38" s="116"/>
      <c r="C38" s="152"/>
      <c r="D38" s="152"/>
      <c r="E38" s="116"/>
      <c r="F38" s="116"/>
      <c r="G38" s="198" t="str">
        <f t="shared" si="0"/>
        <v> </v>
      </c>
    </row>
    <row r="39" spans="1:7" ht="16.5" thickBot="1">
      <c r="A39" s="153" t="s">
        <v>110</v>
      </c>
      <c r="B39" s="120"/>
      <c r="C39" s="233" t="s">
        <v>111</v>
      </c>
      <c r="D39" s="234">
        <f>SUM(D10:D38)</f>
        <v>0</v>
      </c>
      <c r="E39" s="234">
        <f>SUM(E10:E38)</f>
        <v>0</v>
      </c>
      <c r="F39" s="234"/>
      <c r="G39" s="235">
        <f>SUM(G10:G38)</f>
        <v>0</v>
      </c>
    </row>
    <row r="40" spans="1:7" ht="16.5" thickTop="1">
      <c r="A40" s="126"/>
      <c r="B40" s="93"/>
      <c r="C40" s="236"/>
      <c r="D40" s="90"/>
      <c r="E40" s="90"/>
      <c r="F40" s="90"/>
      <c r="G40" s="90"/>
    </row>
    <row r="41" spans="1:7" ht="15.75">
      <c r="A41" s="126"/>
      <c r="B41" s="90"/>
      <c r="C41" s="90"/>
      <c r="D41" s="90"/>
      <c r="E41" s="90"/>
      <c r="F41" s="90"/>
      <c r="G41" s="90"/>
    </row>
    <row r="42" spans="1:7" ht="15.75">
      <c r="A42" s="237"/>
      <c r="B42" s="148"/>
      <c r="C42" s="148"/>
      <c r="D42" s="148"/>
      <c r="E42" s="148"/>
      <c r="F42" s="148"/>
      <c r="G42" s="148"/>
    </row>
    <row r="43" spans="1:7" ht="15.75">
      <c r="A43" s="238"/>
      <c r="B43" s="238"/>
      <c r="C43" s="238"/>
      <c r="D43" s="238"/>
      <c r="E43" s="238"/>
      <c r="F43" s="238"/>
      <c r="G43" s="238"/>
    </row>
    <row r="44" spans="1:7" ht="15.75">
      <c r="A44" s="148"/>
      <c r="B44" s="148"/>
      <c r="C44" s="148"/>
      <c r="D44" s="148"/>
      <c r="E44" s="148"/>
      <c r="F44" s="148"/>
      <c r="G44" s="239"/>
    </row>
    <row r="54" spans="1:7" ht="15.75">
      <c r="A54" s="148"/>
      <c r="B54" s="148"/>
      <c r="C54" s="148"/>
      <c r="D54" s="148"/>
      <c r="E54" s="148"/>
      <c r="F54" s="148"/>
      <c r="G54" s="148"/>
    </row>
    <row r="58" spans="1:7" ht="15.75">
      <c r="A58" s="148"/>
      <c r="B58" s="148"/>
      <c r="C58" s="148"/>
      <c r="D58" s="237"/>
      <c r="E58" s="148"/>
      <c r="F58" s="148"/>
      <c r="G58" s="148"/>
    </row>
  </sheetData>
  <sheetProtection sheet="1"/>
  <mergeCells count="3">
    <mergeCell ref="E7:E8"/>
    <mergeCell ref="F7:F8"/>
    <mergeCell ref="A4:G4"/>
  </mergeCells>
  <printOptions/>
  <pageMargins left="0.5" right="0.5" top="0" bottom="0.23" header="0" footer="0"/>
  <pageSetup blackAndWhite="1" fitToHeight="1" fitToWidth="1" horizontalDpi="120" verticalDpi="120" orientation="portrait" scale="85" r:id="rId1"/>
  <headerFooter alignWithMargins="0">
    <oddHeader>&amp;RState of Kansas
County
</oddHeader>
    <oddFooter>&amp;CPage No. 1a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8"/>
  <sheetViews>
    <sheetView tabSelected="1" zoomScale="85" zoomScaleNormal="85" zoomScalePageLayoutView="0" workbookViewId="0" topLeftCell="A1">
      <selection activeCell="F49" sqref="F49"/>
    </sheetView>
  </sheetViews>
  <sheetFormatPr defaultColWidth="8.796875" defaultRowHeight="15.75" customHeight="1"/>
  <cols>
    <col min="1" max="2" width="3.296875" style="77" customWidth="1"/>
    <col min="3" max="3" width="31.296875" style="77" customWidth="1"/>
    <col min="4" max="4" width="2.296875" style="77" customWidth="1"/>
    <col min="5" max="5" width="15.796875" style="77" customWidth="1"/>
    <col min="6" max="6" width="2" style="77" customWidth="1"/>
    <col min="7" max="7" width="15.796875" style="77" customWidth="1"/>
    <col min="8" max="8" width="1.8984375" style="77" customWidth="1"/>
    <col min="9" max="9" width="1.796875" style="77" customWidth="1"/>
    <col min="10" max="10" width="15.796875" style="77" customWidth="1"/>
    <col min="11" max="16384" width="8.8984375" style="77" customWidth="1"/>
  </cols>
  <sheetData>
    <row r="1" spans="1:10" ht="15.75" customHeight="1">
      <c r="A1" s="90"/>
      <c r="B1" s="90"/>
      <c r="C1" s="240" t="str">
        <f>inputPrYr!C2</f>
        <v>Clay County</v>
      </c>
      <c r="D1" s="90"/>
      <c r="E1" s="90"/>
      <c r="F1" s="90"/>
      <c r="G1" s="90"/>
      <c r="H1" s="90"/>
      <c r="I1" s="90"/>
      <c r="J1" s="90">
        <f>inputPrYr!C4</f>
        <v>2012</v>
      </c>
    </row>
    <row r="2" spans="1:10" ht="15.75" customHeight="1">
      <c r="A2" s="90"/>
      <c r="B2" s="90"/>
      <c r="C2" s="90"/>
      <c r="D2" s="90"/>
      <c r="E2" s="90"/>
      <c r="F2" s="90"/>
      <c r="G2" s="90"/>
      <c r="H2" s="90"/>
      <c r="I2" s="90"/>
      <c r="J2" s="90"/>
    </row>
    <row r="3" spans="1:10" ht="15.75">
      <c r="A3" s="683" t="str">
        <f>CONCATENATE("Computation to Determine Limit for ",J1,"")</f>
        <v>Computation to Determine Limit for 2012</v>
      </c>
      <c r="B3" s="710"/>
      <c r="C3" s="710"/>
      <c r="D3" s="710"/>
      <c r="E3" s="710"/>
      <c r="F3" s="710"/>
      <c r="G3" s="710"/>
      <c r="H3" s="710"/>
      <c r="I3" s="710"/>
      <c r="J3" s="710"/>
    </row>
    <row r="4" spans="1:10" ht="15.75">
      <c r="A4" s="90"/>
      <c r="B4" s="90"/>
      <c r="C4" s="90"/>
      <c r="D4" s="90"/>
      <c r="E4" s="710"/>
      <c r="F4" s="710"/>
      <c r="G4" s="710"/>
      <c r="H4" s="241"/>
      <c r="I4" s="90"/>
      <c r="J4" s="242" t="s">
        <v>217</v>
      </c>
    </row>
    <row r="5" spans="1:10" ht="15.75">
      <c r="A5" s="243" t="s">
        <v>218</v>
      </c>
      <c r="B5" s="90" t="str">
        <f>CONCATENATE("Total Tax Levy Amount in ",J1-1," Budget")</f>
        <v>Total Tax Levy Amount in 2011 Budget</v>
      </c>
      <c r="C5" s="90"/>
      <c r="D5" s="90"/>
      <c r="E5" s="150"/>
      <c r="F5" s="150"/>
      <c r="G5" s="150"/>
      <c r="H5" s="244" t="s">
        <v>219</v>
      </c>
      <c r="I5" s="150" t="s">
        <v>220</v>
      </c>
      <c r="J5" s="245">
        <f>inputPrYr!E41</f>
        <v>4282747</v>
      </c>
    </row>
    <row r="6" spans="1:10" ht="15.75">
      <c r="A6" s="243" t="s">
        <v>221</v>
      </c>
      <c r="B6" s="90" t="str">
        <f>CONCATENATE("Debt Service Levy in ",J1-1," Budget")</f>
        <v>Debt Service Levy in 2011 Budget</v>
      </c>
      <c r="C6" s="90"/>
      <c r="D6" s="90"/>
      <c r="E6" s="150"/>
      <c r="F6" s="150"/>
      <c r="G6" s="150"/>
      <c r="H6" s="244" t="s">
        <v>222</v>
      </c>
      <c r="I6" s="150" t="s">
        <v>220</v>
      </c>
      <c r="J6" s="156">
        <f>inputPrYr!E17</f>
        <v>161973</v>
      </c>
    </row>
    <row r="7" spans="1:10" ht="15.75">
      <c r="A7" s="243" t="s">
        <v>223</v>
      </c>
      <c r="B7" s="157" t="s">
        <v>242</v>
      </c>
      <c r="C7" s="90"/>
      <c r="D7" s="90"/>
      <c r="E7" s="150"/>
      <c r="F7" s="150"/>
      <c r="G7" s="150"/>
      <c r="H7" s="150"/>
      <c r="I7" s="150" t="s">
        <v>220</v>
      </c>
      <c r="J7" s="156">
        <f>J5-J6</f>
        <v>4120774</v>
      </c>
    </row>
    <row r="8" spans="1:10" ht="15.75">
      <c r="A8" s="90"/>
      <c r="B8" s="90"/>
      <c r="C8" s="90"/>
      <c r="D8" s="90"/>
      <c r="E8" s="150"/>
      <c r="F8" s="150"/>
      <c r="G8" s="150"/>
      <c r="H8" s="150"/>
      <c r="I8" s="150"/>
      <c r="J8" s="150"/>
    </row>
    <row r="9" spans="1:10" ht="15.75">
      <c r="A9" s="90"/>
      <c r="B9" s="157" t="str">
        <f>CONCATENATE("",J1-1," Valuation Information for Valuation Adjustments:")</f>
        <v>2011 Valuation Information for Valuation Adjustments:</v>
      </c>
      <c r="C9" s="90"/>
      <c r="D9" s="90"/>
      <c r="E9" s="150"/>
      <c r="F9" s="150"/>
      <c r="G9" s="150"/>
      <c r="H9" s="150"/>
      <c r="I9" s="150"/>
      <c r="J9" s="150"/>
    </row>
    <row r="10" spans="1:10" ht="15.75">
      <c r="A10" s="90"/>
      <c r="B10" s="90"/>
      <c r="C10" s="157"/>
      <c r="D10" s="90"/>
      <c r="E10" s="150"/>
      <c r="F10" s="150"/>
      <c r="G10" s="150"/>
      <c r="H10" s="150"/>
      <c r="I10" s="150"/>
      <c r="J10" s="150"/>
    </row>
    <row r="11" spans="1:10" ht="15.75">
      <c r="A11" s="243" t="s">
        <v>224</v>
      </c>
      <c r="B11" s="157" t="str">
        <f>CONCATENATE("New Improvements for ",J1-1,":")</f>
        <v>New Improvements for 2011:</v>
      </c>
      <c r="C11" s="90"/>
      <c r="D11" s="90"/>
      <c r="E11" s="244"/>
      <c r="F11" s="244" t="s">
        <v>219</v>
      </c>
      <c r="G11" s="245">
        <f>inputOth!E7</f>
        <v>1377522</v>
      </c>
      <c r="H11" s="128"/>
      <c r="I11" s="150"/>
      <c r="J11" s="150"/>
    </row>
    <row r="12" spans="1:10" ht="15.75">
      <c r="A12" s="243"/>
      <c r="B12" s="243"/>
      <c r="C12" s="90"/>
      <c r="D12" s="90"/>
      <c r="E12" s="244"/>
      <c r="F12" s="244"/>
      <c r="G12" s="128"/>
      <c r="H12" s="128"/>
      <c r="I12" s="150"/>
      <c r="J12" s="150"/>
    </row>
    <row r="13" spans="1:10" ht="15.75">
      <c r="A13" s="243" t="s">
        <v>225</v>
      </c>
      <c r="B13" s="157" t="str">
        <f>CONCATENATE("Increase in Personal Property for ",J1-1,":")</f>
        <v>Increase in Personal Property for 2011:</v>
      </c>
      <c r="C13" s="90"/>
      <c r="D13" s="90"/>
      <c r="E13" s="244"/>
      <c r="F13" s="244"/>
      <c r="G13" s="128"/>
      <c r="H13" s="128"/>
      <c r="I13" s="150"/>
      <c r="J13" s="150"/>
    </row>
    <row r="14" spans="1:10" ht="15.75">
      <c r="A14" s="90"/>
      <c r="B14" s="90" t="s">
        <v>226</v>
      </c>
      <c r="C14" s="90" t="str">
        <f>CONCATENATE("Personal Property ",J1-1,"")</f>
        <v>Personal Property 2011</v>
      </c>
      <c r="D14" s="243" t="s">
        <v>219</v>
      </c>
      <c r="E14" s="245">
        <f>inputOth!E8</f>
        <v>2510289</v>
      </c>
      <c r="F14" s="244"/>
      <c r="G14" s="150"/>
      <c r="H14" s="150"/>
      <c r="I14" s="128"/>
      <c r="J14" s="150"/>
    </row>
    <row r="15" spans="1:10" ht="15.75">
      <c r="A15" s="243"/>
      <c r="B15" s="90" t="s">
        <v>227</v>
      </c>
      <c r="C15" s="90" t="str">
        <f>CONCATENATE("Personal Property ",J1-2,"")</f>
        <v>Personal Property 2010</v>
      </c>
      <c r="D15" s="243" t="s">
        <v>222</v>
      </c>
      <c r="E15" s="156">
        <f>inputOth!E10</f>
        <v>2370722</v>
      </c>
      <c r="F15" s="244"/>
      <c r="G15" s="128"/>
      <c r="H15" s="128"/>
      <c r="I15" s="150"/>
      <c r="J15" s="150"/>
    </row>
    <row r="16" spans="1:10" ht="15.75">
      <c r="A16" s="243"/>
      <c r="B16" s="90" t="s">
        <v>228</v>
      </c>
      <c r="C16" s="90" t="s">
        <v>244</v>
      </c>
      <c r="D16" s="90"/>
      <c r="E16" s="150"/>
      <c r="F16" s="150" t="s">
        <v>219</v>
      </c>
      <c r="G16" s="245">
        <f>IF(E14&gt;E15,E14-E15,0)</f>
        <v>139567</v>
      </c>
      <c r="H16" s="128"/>
      <c r="I16" s="150"/>
      <c r="J16" s="150"/>
    </row>
    <row r="17" spans="1:10" ht="15.75">
      <c r="A17" s="243"/>
      <c r="B17" s="243"/>
      <c r="C17" s="90"/>
      <c r="D17" s="90"/>
      <c r="E17" s="150"/>
      <c r="F17" s="150"/>
      <c r="G17" s="128" t="s">
        <v>234</v>
      </c>
      <c r="H17" s="128"/>
      <c r="I17" s="150"/>
      <c r="J17" s="150"/>
    </row>
    <row r="18" spans="1:10" ht="15.75">
      <c r="A18" s="243"/>
      <c r="B18" s="243"/>
      <c r="C18" s="90"/>
      <c r="D18" s="243"/>
      <c r="E18" s="128"/>
      <c r="F18" s="150"/>
      <c r="G18" s="128"/>
      <c r="H18" s="128"/>
      <c r="I18" s="150"/>
      <c r="J18" s="150"/>
    </row>
    <row r="19" spans="1:10" ht="15.75">
      <c r="A19" s="243" t="s">
        <v>229</v>
      </c>
      <c r="B19" s="157" t="str">
        <f>CONCATENATE("Valuation of Property that has Changed in Use during ",J1-1,":")</f>
        <v>Valuation of Property that has Changed in Use during 2011:</v>
      </c>
      <c r="C19" s="90"/>
      <c r="D19" s="90"/>
      <c r="E19" s="150"/>
      <c r="F19" s="150"/>
      <c r="G19" s="150">
        <f>inputOth!E9</f>
        <v>529634</v>
      </c>
      <c r="H19" s="150"/>
      <c r="I19" s="150"/>
      <c r="J19" s="150"/>
    </row>
    <row r="20" spans="1:10" ht="15.75">
      <c r="A20" s="243"/>
      <c r="B20" s="90"/>
      <c r="C20" s="90"/>
      <c r="D20" s="243"/>
      <c r="E20" s="128"/>
      <c r="F20" s="150"/>
      <c r="G20" s="246"/>
      <c r="H20" s="128"/>
      <c r="I20" s="150"/>
      <c r="J20" s="150"/>
    </row>
    <row r="21" spans="1:10" ht="15.75">
      <c r="A21" s="243" t="s">
        <v>238</v>
      </c>
      <c r="B21" s="157" t="s">
        <v>243</v>
      </c>
      <c r="C21" s="90"/>
      <c r="D21" s="90"/>
      <c r="E21" s="150"/>
      <c r="F21" s="150"/>
      <c r="G21" s="245">
        <f>G11+G16+G19</f>
        <v>2046723</v>
      </c>
      <c r="H21" s="128"/>
      <c r="I21" s="150"/>
      <c r="J21" s="150"/>
    </row>
    <row r="22" spans="1:10" ht="15.75">
      <c r="A22" s="243"/>
      <c r="B22" s="243"/>
      <c r="C22" s="157"/>
      <c r="D22" s="90"/>
      <c r="E22" s="150"/>
      <c r="F22" s="150"/>
      <c r="G22" s="128"/>
      <c r="H22" s="128"/>
      <c r="I22" s="150"/>
      <c r="J22" s="150"/>
    </row>
    <row r="23" spans="1:10" ht="15.75">
      <c r="A23" s="243" t="s">
        <v>239</v>
      </c>
      <c r="B23" s="90" t="str">
        <f>CONCATENATE("Total Estimated Valuation July 1,",J1-1,"")</f>
        <v>Total Estimated Valuation July 1,2011</v>
      </c>
      <c r="C23" s="90"/>
      <c r="D23" s="90"/>
      <c r="E23" s="245">
        <f>inputOth!E6</f>
        <v>77067561</v>
      </c>
      <c r="F23" s="150"/>
      <c r="G23" s="150"/>
      <c r="H23" s="150"/>
      <c r="I23" s="244"/>
      <c r="J23" s="150"/>
    </row>
    <row r="24" spans="1:10" ht="15.75">
      <c r="A24" s="243"/>
      <c r="B24" s="243"/>
      <c r="C24" s="90"/>
      <c r="D24" s="90"/>
      <c r="E24" s="128"/>
      <c r="F24" s="150"/>
      <c r="G24" s="150"/>
      <c r="H24" s="150"/>
      <c r="I24" s="244"/>
      <c r="J24" s="150"/>
    </row>
    <row r="25" spans="1:10" ht="15.75">
      <c r="A25" s="243" t="s">
        <v>230</v>
      </c>
      <c r="B25" s="157" t="s">
        <v>247</v>
      </c>
      <c r="C25" s="90"/>
      <c r="D25" s="90"/>
      <c r="E25" s="150"/>
      <c r="F25" s="150"/>
      <c r="G25" s="245">
        <f>E23-G21</f>
        <v>75020838</v>
      </c>
      <c r="H25" s="128"/>
      <c r="I25" s="244"/>
      <c r="J25" s="150"/>
    </row>
    <row r="26" spans="1:10" ht="15.75">
      <c r="A26" s="243"/>
      <c r="B26" s="243"/>
      <c r="C26" s="157"/>
      <c r="D26" s="90"/>
      <c r="E26" s="90"/>
      <c r="F26" s="90"/>
      <c r="G26" s="247"/>
      <c r="H26" s="93"/>
      <c r="I26" s="243"/>
      <c r="J26" s="90"/>
    </row>
    <row r="27" spans="1:10" ht="15.75">
      <c r="A27" s="243" t="s">
        <v>231</v>
      </c>
      <c r="B27" s="90" t="s">
        <v>246</v>
      </c>
      <c r="C27" s="90"/>
      <c r="D27" s="90"/>
      <c r="E27" s="90"/>
      <c r="F27" s="90"/>
      <c r="G27" s="248">
        <f>IF(G21&gt;0,G21/G25,0)</f>
        <v>0.027282059952462807</v>
      </c>
      <c r="H27" s="93"/>
      <c r="I27" s="90"/>
      <c r="J27" s="90"/>
    </row>
    <row r="28" spans="1:10" ht="15.75">
      <c r="A28" s="243"/>
      <c r="B28" s="243"/>
      <c r="C28" s="90"/>
      <c r="D28" s="90"/>
      <c r="E28" s="90"/>
      <c r="F28" s="90"/>
      <c r="G28" s="93"/>
      <c r="H28" s="93"/>
      <c r="I28" s="90"/>
      <c r="J28" s="90"/>
    </row>
    <row r="29" spans="1:10" ht="15.75">
      <c r="A29" s="243" t="s">
        <v>232</v>
      </c>
      <c r="B29" s="90" t="s">
        <v>245</v>
      </c>
      <c r="C29" s="90"/>
      <c r="D29" s="90"/>
      <c r="E29" s="90"/>
      <c r="F29" s="90"/>
      <c r="G29" s="93"/>
      <c r="H29" s="249" t="s">
        <v>219</v>
      </c>
      <c r="I29" s="90" t="s">
        <v>220</v>
      </c>
      <c r="J29" s="245">
        <f>ROUND(G27*J7,0)</f>
        <v>112423</v>
      </c>
    </row>
    <row r="30" spans="1:10" ht="15.75">
      <c r="A30" s="243"/>
      <c r="B30" s="243"/>
      <c r="C30" s="90"/>
      <c r="D30" s="90"/>
      <c r="E30" s="90"/>
      <c r="F30" s="90"/>
      <c r="G30" s="93"/>
      <c r="H30" s="249"/>
      <c r="I30" s="90"/>
      <c r="J30" s="128"/>
    </row>
    <row r="31" spans="1:10" ht="16.5" thickBot="1">
      <c r="A31" s="243" t="s">
        <v>233</v>
      </c>
      <c r="B31" s="157" t="s">
        <v>251</v>
      </c>
      <c r="C31" s="90"/>
      <c r="D31" s="90"/>
      <c r="E31" s="90"/>
      <c r="F31" s="90"/>
      <c r="G31" s="90"/>
      <c r="H31" s="90"/>
      <c r="I31" s="90" t="s">
        <v>220</v>
      </c>
      <c r="J31" s="250">
        <f>J7+J29</f>
        <v>4233197</v>
      </c>
    </row>
    <row r="32" spans="1:10" ht="16.5" thickTop="1">
      <c r="A32" s="90"/>
      <c r="B32" s="90"/>
      <c r="C32" s="90"/>
      <c r="D32" s="90"/>
      <c r="E32" s="90"/>
      <c r="F32" s="90"/>
      <c r="G32" s="90"/>
      <c r="H32" s="90"/>
      <c r="I32" s="90"/>
      <c r="J32" s="90"/>
    </row>
    <row r="33" spans="1:10" ht="15.75">
      <c r="A33" s="243" t="s">
        <v>249</v>
      </c>
      <c r="B33" s="157" t="str">
        <f>CONCATENATE("Debt Service Levy in this ",J1," Budget")</f>
        <v>Debt Service Levy in this 2012 Budget</v>
      </c>
      <c r="C33" s="90"/>
      <c r="D33" s="90"/>
      <c r="E33" s="90"/>
      <c r="F33" s="90"/>
      <c r="G33" s="90"/>
      <c r="H33" s="90"/>
      <c r="I33" s="90"/>
      <c r="J33" s="245">
        <f>DebtService!E61</f>
        <v>172353.95</v>
      </c>
    </row>
    <row r="34" spans="1:10" ht="15.75">
      <c r="A34" s="243"/>
      <c r="B34" s="157"/>
      <c r="C34" s="90"/>
      <c r="D34" s="90"/>
      <c r="E34" s="90"/>
      <c r="F34" s="90"/>
      <c r="G34" s="90"/>
      <c r="H34" s="90"/>
      <c r="I34" s="90"/>
      <c r="J34" s="93"/>
    </row>
    <row r="35" spans="1:10" ht="16.5" thickBot="1">
      <c r="A35" s="243" t="s">
        <v>250</v>
      </c>
      <c r="B35" s="157" t="s">
        <v>252</v>
      </c>
      <c r="C35" s="90"/>
      <c r="D35" s="90"/>
      <c r="E35" s="90"/>
      <c r="F35" s="90"/>
      <c r="G35" s="90"/>
      <c r="H35" s="90"/>
      <c r="I35" s="90"/>
      <c r="J35" s="250">
        <f>J31+J33</f>
        <v>4405550.95</v>
      </c>
    </row>
    <row r="36" spans="1:10" ht="16.5" thickTop="1">
      <c r="A36" s="90"/>
      <c r="B36" s="90"/>
      <c r="C36" s="90"/>
      <c r="D36" s="90"/>
      <c r="E36" s="90"/>
      <c r="F36" s="90"/>
      <c r="G36" s="90"/>
      <c r="H36" s="90"/>
      <c r="I36" s="90"/>
      <c r="J36" s="90"/>
    </row>
    <row r="37" spans="1:10" s="251" customFormat="1" ht="18.75">
      <c r="A37" s="709" t="str">
        <f>CONCATENATE("If the ",J1," budget includes tax levies exceeding the total on line 14, you must")</f>
        <v>If the 2012 budget includes tax levies exceeding the total on line 14, you must</v>
      </c>
      <c r="B37" s="709"/>
      <c r="C37" s="709"/>
      <c r="D37" s="709"/>
      <c r="E37" s="709"/>
      <c r="F37" s="709"/>
      <c r="G37" s="709"/>
      <c r="H37" s="709"/>
      <c r="I37" s="709"/>
      <c r="J37" s="709"/>
    </row>
    <row r="38" spans="1:10" s="251" customFormat="1" ht="18.75">
      <c r="A38" s="709" t="s">
        <v>248</v>
      </c>
      <c r="B38" s="709"/>
      <c r="C38" s="709"/>
      <c r="D38" s="709"/>
      <c r="E38" s="709"/>
      <c r="F38" s="709"/>
      <c r="G38" s="709"/>
      <c r="H38" s="709"/>
      <c r="I38" s="709"/>
      <c r="J38" s="709"/>
    </row>
  </sheetData>
  <sheetProtection sheet="1"/>
  <mergeCells count="4">
    <mergeCell ref="A37:J37"/>
    <mergeCell ref="A38:J38"/>
    <mergeCell ref="A3:J3"/>
    <mergeCell ref="E4:G4"/>
  </mergeCells>
  <printOptions/>
  <pageMargins left="0.5" right="0.5" top="0.72" bottom="0.23" header="0.5" footer="0"/>
  <pageSetup blackAndWhite="1" fitToHeight="1" fitToWidth="1" horizontalDpi="600" verticalDpi="600" orientation="portrait" scale="80" r:id="rId1"/>
  <headerFooter alignWithMargins="0">
    <oddHeader>&amp;RState of Kansas
County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50"/>
  <sheetViews>
    <sheetView tabSelected="1" zoomScalePageLayoutView="0" workbookViewId="0" topLeftCell="A16">
      <selection activeCell="F49" sqref="F49"/>
    </sheetView>
  </sheetViews>
  <sheetFormatPr defaultColWidth="8.796875" defaultRowHeight="15"/>
  <cols>
    <col min="1" max="1" width="18.796875" style="2" customWidth="1"/>
    <col min="2" max="2" width="12.796875" style="2" customWidth="1"/>
    <col min="3" max="3" width="0.203125" style="2" customWidth="1"/>
    <col min="4" max="8" width="11.796875" style="2" customWidth="1"/>
    <col min="9" max="16384" width="8.8984375" style="2" customWidth="1"/>
  </cols>
  <sheetData>
    <row r="1" spans="1:8" ht="15.75">
      <c r="A1" s="28" t="str">
        <f>inputPrYr!C2</f>
        <v>Clay County</v>
      </c>
      <c r="B1" s="14"/>
      <c r="C1" s="14"/>
      <c r="D1" s="14"/>
      <c r="E1" s="14"/>
      <c r="F1" s="13"/>
      <c r="G1" s="13"/>
      <c r="H1" s="71">
        <f>inputPrYr!C4</f>
        <v>2012</v>
      </c>
    </row>
    <row r="2" spans="1:8" ht="15.75">
      <c r="A2" s="14"/>
      <c r="B2" s="14"/>
      <c r="C2" s="14"/>
      <c r="D2" s="14"/>
      <c r="E2" s="14"/>
      <c r="F2" s="13"/>
      <c r="G2" s="13"/>
      <c r="H2" s="29"/>
    </row>
    <row r="3" spans="1:8" ht="15.75">
      <c r="A3" s="713" t="s">
        <v>869</v>
      </c>
      <c r="B3" s="713"/>
      <c r="C3" s="713"/>
      <c r="D3" s="713"/>
      <c r="E3" s="713"/>
      <c r="F3" s="713"/>
      <c r="G3" s="713"/>
      <c r="H3" s="714"/>
    </row>
    <row r="4" spans="1:8" ht="15.75">
      <c r="A4" s="72"/>
      <c r="B4" s="72"/>
      <c r="C4" s="72"/>
      <c r="D4" s="72"/>
      <c r="E4" s="72"/>
      <c r="F4" s="72"/>
      <c r="G4" s="72"/>
      <c r="H4" s="74"/>
    </row>
    <row r="5" spans="1:8" ht="15.75">
      <c r="A5" s="16"/>
      <c r="B5" s="17"/>
      <c r="C5" s="17"/>
      <c r="D5" s="17"/>
      <c r="E5" s="17"/>
      <c r="F5" s="14"/>
      <c r="G5" s="14"/>
      <c r="H5" s="29"/>
    </row>
    <row r="6" spans="1:8" ht="21.75" customHeight="1">
      <c r="A6" s="37"/>
      <c r="B6" s="711" t="str">
        <f>CONCATENATE("Budget Tax Levy Amount for ",H1-2,"")</f>
        <v>Budget Tax Levy Amount for 2010</v>
      </c>
      <c r="C6" s="711" t="str">
        <f>CONCATENATE("Budget Tax Levy Rate for ",H1-1,"")</f>
        <v>Budget Tax Levy Rate for 2011</v>
      </c>
      <c r="D6" s="715" t="str">
        <f>CONCATENATE("Allocation for Year ",H1,"")</f>
        <v>Allocation for Year 2012</v>
      </c>
      <c r="E6" s="716"/>
      <c r="F6" s="716"/>
      <c r="G6" s="717"/>
      <c r="H6" s="73"/>
    </row>
    <row r="7" spans="1:8" ht="15.75">
      <c r="A7" s="12" t="str">
        <f>CONCATENATE("",H1-1," Budgeted Funds")</f>
        <v>2011 Budgeted Funds</v>
      </c>
      <c r="B7" s="712"/>
      <c r="C7" s="712"/>
      <c r="D7" s="23" t="s">
        <v>120</v>
      </c>
      <c r="E7" s="23" t="s">
        <v>214</v>
      </c>
      <c r="F7" s="23" t="s">
        <v>241</v>
      </c>
      <c r="G7" s="23" t="s">
        <v>304</v>
      </c>
      <c r="H7" s="73"/>
    </row>
    <row r="8" spans="1:8" ht="15.75">
      <c r="A8" s="26" t="str">
        <f>(inputPrYr!B16)</f>
        <v>General</v>
      </c>
      <c r="B8" s="674">
        <f>(inputPrYr!E16)</f>
        <v>1409173</v>
      </c>
      <c r="C8" s="675">
        <f>IF(inputPrYr!F16&gt;0,(inputPrYr!F16),"  ")</f>
        <v>18.876</v>
      </c>
      <c r="D8" s="674">
        <f>IF(inputPrYr!E16&gt;0,D35-SUM(D9:D32),0)</f>
        <v>164139</v>
      </c>
      <c r="E8" s="674">
        <f>IF(inputPrYr!E16=0,0,E37-SUM(E9:E32))</f>
        <v>2693</v>
      </c>
      <c r="F8" s="674">
        <f>IF(inputPrYr!E16=0,0,F39-SUM(F9:F32))</f>
        <v>14813</v>
      </c>
      <c r="G8" s="674">
        <f>IF(inputPrYr!E16=0,0,G41-SUM(G9:G32))</f>
        <v>0</v>
      </c>
      <c r="H8" s="73"/>
    </row>
    <row r="9" spans="1:8" ht="15.75">
      <c r="A9" s="26" t="str">
        <f>(inputPrYr!B17)</f>
        <v>County Bond &amp; Interest</v>
      </c>
      <c r="B9" s="674">
        <f>IF(inputPrYr!E17&gt;0,inputPrYr!E17," ")</f>
        <v>161973</v>
      </c>
      <c r="C9" s="675">
        <f>IF(inputPrYr!F17&gt;0,(inputPrYr!F17),"  ")</f>
        <v>2.17</v>
      </c>
      <c r="D9" s="674">
        <f>IF(inputPrYr!$E$17&gt;0,ROUND(+B9*D$43,0)," ")</f>
        <v>18866</v>
      </c>
      <c r="E9" s="674">
        <f>IF(inputPrYr!$E$17&gt;0,ROUND(+B9*E$45,0)," ")</f>
        <v>309</v>
      </c>
      <c r="F9" s="674">
        <f>IF(inputPrYr!$E$17&gt;0,ROUND(+B9*F$47,0)," ")</f>
        <v>1703</v>
      </c>
      <c r="G9" s="674">
        <f>IF(inputPrYr!$E$17&gt;0,ROUND(+B9*G$49,0)," ")</f>
        <v>0</v>
      </c>
      <c r="H9" s="73"/>
    </row>
    <row r="10" spans="1:8" ht="15.75">
      <c r="A10" s="26" t="str">
        <f>(inputPrYr!B18)</f>
        <v>Road &amp; Bridge</v>
      </c>
      <c r="B10" s="674">
        <f>IF(inputPrYr!E18&gt;0,inputPrYr!E18," ")</f>
        <v>1149335</v>
      </c>
      <c r="C10" s="675">
        <f>IF(inputPrYr!F18&gt;0,(inputPrYr!F18),"  ")</f>
        <v>15.396</v>
      </c>
      <c r="D10" s="674">
        <f>IF(inputPrYr!$E$18&gt;0,ROUND(+B10*D$43,0)," ")</f>
        <v>133874</v>
      </c>
      <c r="E10" s="674">
        <f>IF(inputPrYr!$E$18&gt;0,ROUND(+B10*E$45,0)," ")</f>
        <v>2195</v>
      </c>
      <c r="F10" s="674">
        <f>IF(inputPrYr!$E$18&gt;0,ROUND(+B10*F$47,0)," ")</f>
        <v>12081</v>
      </c>
      <c r="G10" s="674">
        <f>IF(inputPrYr!$E$18&gt;0,ROUND(+B10*G$49,0)," ")</f>
        <v>0</v>
      </c>
      <c r="H10" s="73"/>
    </row>
    <row r="11" spans="1:8" ht="15.75">
      <c r="A11" s="26" t="str">
        <f>IF((inputPrYr!$B19&gt;" "),(inputPrYr!$B19),"  ")</f>
        <v>Health</v>
      </c>
      <c r="B11" s="674">
        <f>IF(inputPrYr!E19&gt;0,inputPrYr!E19,"  ")</f>
        <v>70114</v>
      </c>
      <c r="C11" s="675">
        <f>IF(inputPrYr!F19&gt;0,(inputPrYr!F19),"  ")</f>
        <v>0.939</v>
      </c>
      <c r="D11" s="674">
        <f>IF(inputPrYr!$E$19&gt;0,ROUND(+B11*D$43,0)," ")</f>
        <v>8167</v>
      </c>
      <c r="E11" s="674">
        <f>IF(inputPrYr!$E$19&gt;0,ROUND(+B11*E$45,0)," ")</f>
        <v>134</v>
      </c>
      <c r="F11" s="674">
        <f>IF(inputPrYr!$E$19&gt;0,ROUND(+B11*F$47,0)," ")</f>
        <v>737</v>
      </c>
      <c r="G11" s="674">
        <f>IF(inputPrYr!$E$19&gt;0,ROUND(+B11*G$49,0)," ")</f>
        <v>0</v>
      </c>
      <c r="H11" s="73"/>
    </row>
    <row r="12" spans="1:8" ht="15.75">
      <c r="A12" s="26" t="str">
        <f>IF((inputPrYr!$B20&gt;" "),(inputPrYr!$B20),"  ")</f>
        <v>Noxious Weed</v>
      </c>
      <c r="B12" s="674">
        <f>IF(inputPrYr!E20&gt;0,inputPrYr!E20,"  ")</f>
        <v>111888</v>
      </c>
      <c r="C12" s="675">
        <f>IF(inputPrYr!F20&gt;0,(inputPrYr!F20),"  ")</f>
        <v>1.5</v>
      </c>
      <c r="D12" s="674">
        <f>IF(inputPrYr!E20&gt;0,ROUND(+B12*D$43,0),"  ")</f>
        <v>13033</v>
      </c>
      <c r="E12" s="674">
        <f>IF(inputPrYr!E20&gt;0,ROUND(+B12*E$45,0),"  ")</f>
        <v>214</v>
      </c>
      <c r="F12" s="674">
        <f>IF(inputPrYr!E20&gt;0,ROUND(+B12*F$47,0),"  ")</f>
        <v>1176</v>
      </c>
      <c r="G12" s="674">
        <f>IF(inputPrYr!$E$20&gt;0,ROUND(+B12*G$49,0)," ")</f>
        <v>0</v>
      </c>
      <c r="H12" s="73"/>
    </row>
    <row r="13" spans="1:8" ht="15.75">
      <c r="A13" s="26" t="str">
        <f>IF((inputPrYr!$B21&gt;" "),(inputPrYr!$B21),"  ")</f>
        <v>Courthouse Maintenance</v>
      </c>
      <c r="B13" s="674">
        <f>IF(inputPrYr!E21&gt;0,inputPrYr!E21,"  ")</f>
        <v>74592</v>
      </c>
      <c r="C13" s="675">
        <f>IF(inputPrYr!F21&gt;0,(inputPrYr!F21),"  ")</f>
        <v>1</v>
      </c>
      <c r="D13" s="674">
        <f>IF(inputPrYr!E21&gt;0,ROUND(+B13*D$43,0),"  ")</f>
        <v>8688</v>
      </c>
      <c r="E13" s="674">
        <f>IF(inputPrYr!E21&gt;0,ROUND(+B13*E$45,0),"  ")</f>
        <v>142</v>
      </c>
      <c r="F13" s="674">
        <f>IF(inputPrYr!E21&gt;0,ROUND(+B13*F$47,0),"  ")</f>
        <v>784</v>
      </c>
      <c r="G13" s="674">
        <f>IF(inputPrYr!$E$21&gt;0,ROUND(+B13*G$49,0)," ")</f>
        <v>0</v>
      </c>
      <c r="H13" s="73"/>
    </row>
    <row r="14" spans="1:8" ht="15.75">
      <c r="A14" s="26" t="str">
        <f>IF((inputPrYr!$B22&gt;" "),(inputPrYr!$B22),"  ")</f>
        <v>Historical</v>
      </c>
      <c r="B14" s="674">
        <f>IF(inputPrYr!E22&gt;0,inputPrYr!E22,"  ")</f>
        <v>37296</v>
      </c>
      <c r="C14" s="675">
        <f>IF(inputPrYr!F22&gt;0,(inputPrYr!F22),"  ")</f>
        <v>0.5</v>
      </c>
      <c r="D14" s="674">
        <f>IF(inputPrYr!E22&gt;0,ROUND(+B14*D$43,0),"  ")</f>
        <v>4344</v>
      </c>
      <c r="E14" s="674">
        <f>IF(inputPrYr!E22&gt;0,ROUND(+B14*E$45,0),"  ")</f>
        <v>71</v>
      </c>
      <c r="F14" s="674">
        <f>IF(inputPrYr!E22&gt;0,ROUND(+B14*F$47,0),"  ")</f>
        <v>392</v>
      </c>
      <c r="G14" s="674">
        <f>IF(inputPrYr!$E$22&gt;0,ROUND(+B14*G$49,0)," ")</f>
        <v>0</v>
      </c>
      <c r="H14" s="73"/>
    </row>
    <row r="15" spans="1:8" ht="15.75">
      <c r="A15" s="26" t="str">
        <f>IF((inputPrYr!$B23&gt;" "),(inputPrYr!$B23),"  ")</f>
        <v>Employee Benefits</v>
      </c>
      <c r="B15" s="674">
        <f>IF(inputPrYr!E23&gt;0,inputPrYr!E23,"  ")</f>
        <v>1149029</v>
      </c>
      <c r="C15" s="675">
        <f>IF(inputPrYr!F23&gt;0,(inputPrYr!F23),"  ")</f>
        <v>15.391</v>
      </c>
      <c r="D15" s="674">
        <f>IF(inputPrYr!E23&gt;0,ROUND(+B15*D$43,0),"  ")</f>
        <v>133838</v>
      </c>
      <c r="E15" s="674">
        <f>IF(inputPrYr!E23&gt;0,ROUND(+B15*E$45,0),"  ")</f>
        <v>2195</v>
      </c>
      <c r="F15" s="674">
        <f>IF(inputPrYr!E23&gt;0,ROUND(+B15*F$47,0),"  ")</f>
        <v>12078</v>
      </c>
      <c r="G15" s="674">
        <f>IF(inputPrYr!$E$23&gt;0,ROUND(+B15*G$49,0)," ")</f>
        <v>0</v>
      </c>
      <c r="H15" s="73"/>
    </row>
    <row r="16" spans="1:8" ht="15.75">
      <c r="A16" s="26" t="str">
        <f>IF((inputPrYr!$B24&gt;" "),(inputPrYr!$B24),"  ")</f>
        <v>Economic Development</v>
      </c>
      <c r="B16" s="674">
        <f>IF(inputPrYr!E24&gt;0,inputPrYr!E24,"  ")</f>
        <v>7459</v>
      </c>
      <c r="C16" s="675">
        <f>IF(inputPrYr!F24&gt;0,(inputPrYr!F24),"  ")</f>
        <v>0.1</v>
      </c>
      <c r="D16" s="674">
        <f>IF(inputPrYr!E24&gt;0,ROUND(+B16*D$43,0),"  ")</f>
        <v>869</v>
      </c>
      <c r="E16" s="674">
        <f>IF(inputPrYr!E24&gt;0,ROUND(+B16*E$45,0),"  ")</f>
        <v>14</v>
      </c>
      <c r="F16" s="674">
        <f>IF(inputPrYr!E24&gt;0,ROUND(+B16*F$47,0),"  ")</f>
        <v>78</v>
      </c>
      <c r="G16" s="674">
        <f>IF(inputPrYr!$E$24&gt;0,ROUND(+B16*G$49,0)," ")</f>
        <v>0</v>
      </c>
      <c r="H16" s="73"/>
    </row>
    <row r="17" spans="1:8" ht="15.75">
      <c r="A17" s="26" t="str">
        <f>IF((inputPrYr!$B25&gt;" "),(inputPrYr!$B25),"  ")</f>
        <v>Special Bridge</v>
      </c>
      <c r="B17" s="674">
        <f>IF(inputPrYr!E25&gt;0,inputPrYr!E25,"  ")</f>
        <v>111888</v>
      </c>
      <c r="C17" s="675">
        <f>IF(inputPrYr!F25&gt;0,(inputPrYr!F25),"  ")</f>
        <v>1.5</v>
      </c>
      <c r="D17" s="674">
        <f>IF(inputPrYr!E25&gt;0,ROUND(+B17*D$43,0),"  ")</f>
        <v>13033</v>
      </c>
      <c r="E17" s="674">
        <f>IF(inputPrYr!E25&gt;0,ROUND(+B17*E$45,0),"  ")</f>
        <v>214</v>
      </c>
      <c r="F17" s="674">
        <f>IF(inputPrYr!E25&gt;0,ROUND(+B17*F$47,0),"  ")</f>
        <v>1176</v>
      </c>
      <c r="G17" s="674">
        <f>IF(inputPrYr!$E$25&gt;0,ROUND(+B17*G$49,0)," ")</f>
        <v>0</v>
      </c>
      <c r="H17" s="73"/>
    </row>
    <row r="18" spans="1:8" ht="15.75">
      <c r="A18" s="26" t="str">
        <f>IF((inputPrYr!$B26&gt;" "),(inputPrYr!$B26),"  ")</f>
        <v>  </v>
      </c>
      <c r="B18" s="674" t="str">
        <f>IF(inputPrYr!E26&gt;0,inputPrYr!E26,"  ")</f>
        <v>  </v>
      </c>
      <c r="C18" s="675" t="str">
        <f>IF(inputPrYr!F26&gt;0,(inputPrYr!F26),"  ")</f>
        <v>  </v>
      </c>
      <c r="D18" s="674" t="str">
        <f>IF(inputPrYr!E26&gt;0,ROUND(+B18*D$43,0),"  ")</f>
        <v>  </v>
      </c>
      <c r="E18" s="674" t="str">
        <f>IF(inputPrYr!E26&gt;0,ROUND(+B18*E$45,0),"  ")</f>
        <v>  </v>
      </c>
      <c r="F18" s="674" t="str">
        <f>IF(inputPrYr!E26&gt;0,ROUND(+B18*F$47,0),"  ")</f>
        <v>  </v>
      </c>
      <c r="G18" s="674" t="str">
        <f>IF(inputPrYr!$E$26&gt;0,ROUND(+B18*G$49,0)," ")</f>
        <v> </v>
      </c>
      <c r="H18" s="73"/>
    </row>
    <row r="19" spans="1:8" ht="15.75">
      <c r="A19" s="26" t="str">
        <f>IF((inputPrYr!$B27&gt;" "),(inputPrYr!$B27),"  ")</f>
        <v>  </v>
      </c>
      <c r="B19" s="674" t="str">
        <f>IF(inputPrYr!E27&gt;0,inputPrYr!E27,"  ")</f>
        <v>  </v>
      </c>
      <c r="C19" s="675" t="str">
        <f>IF(inputPrYr!F27&gt;0,(inputPrYr!F27),"  ")</f>
        <v>  </v>
      </c>
      <c r="D19" s="674" t="str">
        <f>IF(inputPrYr!E27&gt;0,ROUND(+B19*D$43,0),"  ")</f>
        <v>  </v>
      </c>
      <c r="E19" s="674" t="str">
        <f>IF(inputPrYr!E27&gt;0,ROUND(+B19*E$45,0),"  ")</f>
        <v>  </v>
      </c>
      <c r="F19" s="674" t="str">
        <f>IF(inputPrYr!E27&gt;0,ROUND(+B19*F$47,0),"  ")</f>
        <v>  </v>
      </c>
      <c r="G19" s="674" t="str">
        <f>IF(inputPrYr!$E$27&gt;0,ROUND(+B19*G$49,0)," ")</f>
        <v> </v>
      </c>
      <c r="H19" s="73"/>
    </row>
    <row r="20" spans="1:8" ht="15.75">
      <c r="A20" s="26" t="str">
        <f>IF((inputPrYr!$B28&gt;" "),(inputPrYr!$B28),"  ")</f>
        <v>  </v>
      </c>
      <c r="B20" s="63" t="str">
        <f>IF(inputPrYr!E28&gt;0,inputPrYr!E28,"  ")</f>
        <v>  </v>
      </c>
      <c r="C20" s="64" t="str">
        <f>IF(inputPrYr!F28&gt;0,(inputPrYr!F28),"  ")</f>
        <v>  </v>
      </c>
      <c r="D20" s="63" t="str">
        <f>IF(inputPrYr!E28&gt;0,ROUND(+B20*D$43,0),"  ")</f>
        <v>  </v>
      </c>
      <c r="E20" s="63" t="str">
        <f>IF(inputPrYr!E28&gt;0,ROUND(+B20*E$45,0),"  ")</f>
        <v>  </v>
      </c>
      <c r="F20" s="63" t="str">
        <f>IF(inputPrYr!E28&gt;0,ROUND(+B20*F$47,0),"  ")</f>
        <v>  </v>
      </c>
      <c r="G20" s="63" t="str">
        <f>IF(inputPrYr!$E$28&gt;0,ROUND(+B20*G$49,0)," ")</f>
        <v> </v>
      </c>
      <c r="H20" s="73"/>
    </row>
    <row r="21" spans="1:8" ht="15.75">
      <c r="A21" s="26" t="str">
        <f>IF((inputPrYr!$B29&gt;" "),(inputPrYr!$B29),"  ")</f>
        <v>  </v>
      </c>
      <c r="B21" s="63" t="str">
        <f>IF(inputPrYr!E29&gt;0,inputPrYr!E29,"  ")</f>
        <v>  </v>
      </c>
      <c r="C21" s="64" t="str">
        <f>IF(inputPrYr!F29&gt;0,(inputPrYr!F29),"  ")</f>
        <v>  </v>
      </c>
      <c r="D21" s="63" t="str">
        <f>IF(inputPrYr!E29&gt;0,ROUND(+B21*D$43,0),"  ")</f>
        <v>  </v>
      </c>
      <c r="E21" s="63" t="str">
        <f>IF(inputPrYr!E29&gt;0,ROUND(+B21*E$45,0),"  ")</f>
        <v>  </v>
      </c>
      <c r="F21" s="63" t="str">
        <f>IF(inputPrYr!E29&gt;0,ROUND(+B21*F$47,0),"  ")</f>
        <v>  </v>
      </c>
      <c r="G21" s="63" t="str">
        <f>IF(inputPrYr!$E$29&gt;0,ROUND(+B21*G$49,0)," ")</f>
        <v> </v>
      </c>
      <c r="H21" s="73"/>
    </row>
    <row r="22" spans="1:8" ht="15.75">
      <c r="A22" s="26" t="str">
        <f>IF((inputPrYr!$B30&gt;" "),(inputPrYr!$B30),"  ")</f>
        <v>  </v>
      </c>
      <c r="B22" s="63" t="str">
        <f>IF(inputPrYr!E30&gt;0,inputPrYr!E30,"  ")</f>
        <v>  </v>
      </c>
      <c r="C22" s="64" t="str">
        <f>IF(inputPrYr!F30&gt;0,(inputPrYr!F30),"  ")</f>
        <v>  </v>
      </c>
      <c r="D22" s="63" t="str">
        <f>IF(inputPrYr!E30&gt;0,ROUND(+B22*D$43,0),"  ")</f>
        <v>  </v>
      </c>
      <c r="E22" s="63" t="str">
        <f>IF(inputPrYr!E30&gt;0,ROUND(+B22*E$45,0),"  ")</f>
        <v>  </v>
      </c>
      <c r="F22" s="63" t="str">
        <f>IF(inputPrYr!E30&gt;0,ROUND(+B22*F$47,0),"  ")</f>
        <v>  </v>
      </c>
      <c r="G22" s="63" t="str">
        <f>IF(inputPrYr!$E$30&gt;0,ROUND(+B22*G$49,0)," ")</f>
        <v> </v>
      </c>
      <c r="H22" s="73"/>
    </row>
    <row r="23" spans="1:8" ht="15.75">
      <c r="A23" s="26" t="str">
        <f>IF((inputPrYr!$B31&gt;" "),(inputPrYr!$B31),"  ")</f>
        <v>  </v>
      </c>
      <c r="B23" s="63" t="str">
        <f>IF(inputPrYr!E31&gt;0,inputPrYr!E31,"  ")</f>
        <v>  </v>
      </c>
      <c r="C23" s="64" t="str">
        <f>IF(inputPrYr!F31&gt;0,(inputPrYr!F31),"  ")</f>
        <v>  </v>
      </c>
      <c r="D23" s="63" t="str">
        <f>IF(inputPrYr!E31&gt;0,ROUND(+B23*D$43,0),"  ")</f>
        <v>  </v>
      </c>
      <c r="E23" s="63" t="str">
        <f>IF(inputPrYr!E31&gt;0,ROUND(+B23*E$45,0),"  ")</f>
        <v>  </v>
      </c>
      <c r="F23" s="63" t="str">
        <f>IF(inputPrYr!E31&gt;0,ROUND(+B23*F$47,0),"  ")</f>
        <v>  </v>
      </c>
      <c r="G23" s="63" t="str">
        <f>IF(inputPrYr!$E$31&gt;0,ROUND(+B23*G$49,0)," ")</f>
        <v> </v>
      </c>
      <c r="H23" s="73"/>
    </row>
    <row r="24" spans="1:8" ht="15.75">
      <c r="A24" s="26" t="str">
        <f>IF((inputPrYr!$B32&gt;" "),(inputPrYr!$B32),"  ")</f>
        <v>  </v>
      </c>
      <c r="B24" s="63" t="str">
        <f>IF(inputPrYr!E32&gt;0,inputPrYr!E32,"  ")</f>
        <v>  </v>
      </c>
      <c r="C24" s="64" t="str">
        <f>IF(inputPrYr!F32&gt;0,(inputPrYr!F32),"  ")</f>
        <v>  </v>
      </c>
      <c r="D24" s="63" t="str">
        <f>IF(inputPrYr!E32&gt;0,ROUND(+B24*D$43,0),"  ")</f>
        <v>  </v>
      </c>
      <c r="E24" s="63" t="str">
        <f>IF(inputPrYr!E32&gt;0,ROUND(+B24*E$45,0),"  ")</f>
        <v>  </v>
      </c>
      <c r="F24" s="63" t="str">
        <f>IF(inputPrYr!E32&gt;0,ROUND(+B24*F$47,0),"  ")</f>
        <v>  </v>
      </c>
      <c r="G24" s="63" t="str">
        <f>IF(inputPrYr!$E$32&gt;0,ROUND(+B24*G$49,0)," ")</f>
        <v> </v>
      </c>
      <c r="H24" s="73"/>
    </row>
    <row r="25" spans="1:8" ht="15.75">
      <c r="A25" s="26" t="str">
        <f>IF((inputPrYr!$B33&gt;" "),(inputPrYr!$B33),"  ")</f>
        <v>  </v>
      </c>
      <c r="B25" s="63" t="str">
        <f>IF(inputPrYr!E33&gt;0,inputPrYr!E33,"  ")</f>
        <v>  </v>
      </c>
      <c r="C25" s="64" t="str">
        <f>IF(inputPrYr!F33&gt;0,(inputPrYr!F33),"  ")</f>
        <v>  </v>
      </c>
      <c r="D25" s="63" t="str">
        <f>IF(inputPrYr!E33&gt;0,ROUND(+B25*D$43,0),"  ")</f>
        <v>  </v>
      </c>
      <c r="E25" s="63" t="str">
        <f>IF(inputPrYr!E33&gt;0,ROUND(+B25*E$45,0),"  ")</f>
        <v>  </v>
      </c>
      <c r="F25" s="63" t="str">
        <f>IF(inputPrYr!E33&gt;0,ROUND(+B25*F$47,0),"  ")</f>
        <v>  </v>
      </c>
      <c r="G25" s="63" t="str">
        <f>IF(inputPrYr!$E$33&gt;0,ROUND(+B25*G$49,0)," ")</f>
        <v> </v>
      </c>
      <c r="H25" s="73"/>
    </row>
    <row r="26" spans="1:8" ht="15.75">
      <c r="A26" s="26" t="str">
        <f>IF((inputPrYr!$B34&gt;" "),(inputPrYr!$B34),"  ")</f>
        <v>  </v>
      </c>
      <c r="B26" s="63" t="str">
        <f>IF(inputPrYr!E34&gt;0,inputPrYr!E34,"  ")</f>
        <v>  </v>
      </c>
      <c r="C26" s="64" t="str">
        <f>IF(inputPrYr!F34&gt;0,(inputPrYr!F34),"  ")</f>
        <v>  </v>
      </c>
      <c r="D26" s="63" t="str">
        <f>IF(inputPrYr!E34&gt;0,ROUND(+B26*D$43,0),"  ")</f>
        <v>  </v>
      </c>
      <c r="E26" s="63" t="str">
        <f>IF(inputPrYr!E34&gt;0,ROUND(+B26*E$45,0),"  ")</f>
        <v>  </v>
      </c>
      <c r="F26" s="63" t="str">
        <f>IF(inputPrYr!E34&gt;0,ROUND(+B26*F$47,0),"  ")</f>
        <v>  </v>
      </c>
      <c r="G26" s="63" t="str">
        <f>IF(inputPrYr!$E$34&gt;0,ROUND(+B26*G$49,0)," ")</f>
        <v> </v>
      </c>
      <c r="H26" s="73"/>
    </row>
    <row r="27" spans="1:8" ht="15.75">
      <c r="A27" s="26" t="str">
        <f>IF((inputPrYr!$B35&gt;" "),(inputPrYr!$B35),"  ")</f>
        <v>  </v>
      </c>
      <c r="B27" s="63" t="str">
        <f>IF(inputPrYr!E35&gt;0,inputPrYr!E35,"  ")</f>
        <v>  </v>
      </c>
      <c r="C27" s="64" t="str">
        <f>IF(inputPrYr!F35&gt;0,(inputPrYr!F35),"  ")</f>
        <v>  </v>
      </c>
      <c r="D27" s="63" t="str">
        <f>IF(inputPrYr!E35&gt;0,ROUND(+B27*D$43,0),"  ")</f>
        <v>  </v>
      </c>
      <c r="E27" s="63" t="str">
        <f>IF(inputPrYr!E35&gt;0,ROUND(+B27*E$45,0),"  ")</f>
        <v>  </v>
      </c>
      <c r="F27" s="63" t="str">
        <f>IF(inputPrYr!E35&gt;0,ROUND(+B27*F$47,0),"  ")</f>
        <v>  </v>
      </c>
      <c r="G27" s="63" t="str">
        <f>IF(inputPrYr!$E$35&gt;0,ROUND(+B27*G$49,0)," ")</f>
        <v> </v>
      </c>
      <c r="H27" s="73"/>
    </row>
    <row r="28" spans="1:8" ht="15.75">
      <c r="A28" s="26" t="str">
        <f>IF((inputPrYr!$B36&gt;" "),(inputPrYr!$B36),"  ")</f>
        <v>  </v>
      </c>
      <c r="B28" s="63" t="str">
        <f>IF(inputPrYr!E36&gt;0,inputPrYr!E36,"  ")</f>
        <v>  </v>
      </c>
      <c r="C28" s="64" t="str">
        <f>IF(inputPrYr!F36&gt;0,(inputPrYr!F36),"  ")</f>
        <v>  </v>
      </c>
      <c r="D28" s="63" t="str">
        <f>IF(inputPrYr!E36&gt;0,ROUND(+B28*D$43,0),"  ")</f>
        <v>  </v>
      </c>
      <c r="E28" s="63" t="str">
        <f>IF(inputPrYr!E36&gt;0,ROUND(+B28*E$45,0),"  ")</f>
        <v>  </v>
      </c>
      <c r="F28" s="63" t="str">
        <f>IF(inputPrYr!E36&gt;0,ROUND(+B28*F$47,0),"  ")</f>
        <v>  </v>
      </c>
      <c r="G28" s="63" t="str">
        <f>IF(inputPrYr!$E$36&gt;0,ROUND(+B28*G$49,0)," ")</f>
        <v> </v>
      </c>
      <c r="H28" s="73"/>
    </row>
    <row r="29" spans="1:8" ht="15.75">
      <c r="A29" s="26" t="str">
        <f>IF((inputPrYr!$B37&gt;" "),(inputPrYr!$B37),"  ")</f>
        <v>  </v>
      </c>
      <c r="B29" s="63" t="str">
        <f>IF(inputPrYr!E37&gt;0,inputPrYr!E37,"  ")</f>
        <v>  </v>
      </c>
      <c r="C29" s="64" t="str">
        <f>IF(inputPrYr!F37&gt;0,(inputPrYr!F37),"  ")</f>
        <v>  </v>
      </c>
      <c r="D29" s="63" t="str">
        <f>IF(inputPrYr!E37&gt;0,ROUND(+B29*D$43,0),"  ")</f>
        <v>  </v>
      </c>
      <c r="E29" s="63" t="str">
        <f>IF(inputPrYr!E37&gt;0,ROUND(+B29*E$45,0),"  ")</f>
        <v>  </v>
      </c>
      <c r="F29" s="63" t="str">
        <f>IF(inputPrYr!E37&gt;0,ROUND(+B29*F$47,0),"  ")</f>
        <v>  </v>
      </c>
      <c r="G29" s="63" t="str">
        <f>IF(inputPrYr!$E$37&gt;0,ROUND(+B29*G$49,0)," ")</f>
        <v> </v>
      </c>
      <c r="H29" s="73"/>
    </row>
    <row r="30" spans="1:8" ht="15.75">
      <c r="A30" s="26" t="str">
        <f>IF((inputPrYr!$B38&gt;" "),(inputPrYr!$B38),"  ")</f>
        <v>  </v>
      </c>
      <c r="B30" s="63" t="str">
        <f>IF(inputPrYr!E38&gt;0,inputPrYr!E38,"  ")</f>
        <v>  </v>
      </c>
      <c r="C30" s="64" t="str">
        <f>IF(inputPrYr!F38&gt;0,(inputPrYr!F38),"  ")</f>
        <v>  </v>
      </c>
      <c r="D30" s="63" t="str">
        <f>IF(inputPrYr!E38&gt;0,ROUND(+B30*D$43,0),"  ")</f>
        <v>  </v>
      </c>
      <c r="E30" s="63" t="str">
        <f>IF(inputPrYr!E38&gt;0,ROUND(+B30*E$45,0),"  ")</f>
        <v>  </v>
      </c>
      <c r="F30" s="63" t="str">
        <f>IF(inputPrYr!E38&gt;0,ROUND(+B30*F$47,0),"  ")</f>
        <v>  </v>
      </c>
      <c r="G30" s="63" t="str">
        <f>IF(inputPrYr!$E$38&gt;0,ROUND(+B30*G$49,0)," ")</f>
        <v> </v>
      </c>
      <c r="H30" s="73"/>
    </row>
    <row r="31" spans="1:8" ht="15.75">
      <c r="A31" s="26" t="str">
        <f>IF((inputPrYr!$B39&gt;" "),(inputPrYr!$B39),"  ")</f>
        <v>  </v>
      </c>
      <c r="B31" s="63" t="str">
        <f>IF(inputPrYr!E39&gt;0,inputPrYr!E39,"  ")</f>
        <v>  </v>
      </c>
      <c r="C31" s="64" t="str">
        <f>IF(inputPrYr!F39&gt;0,(inputPrYr!F39),"  ")</f>
        <v>  </v>
      </c>
      <c r="D31" s="63" t="str">
        <f>IF(inputPrYr!E39&gt;0,ROUND(+B31*D$43,0),"  ")</f>
        <v>  </v>
      </c>
      <c r="E31" s="63" t="str">
        <f>IF(inputPrYr!E39&gt;0,ROUND(+B31*E$45,0),"  ")</f>
        <v>  </v>
      </c>
      <c r="F31" s="63" t="str">
        <f>IF(inputPrYr!E39&gt;0,ROUND(+B31*F$47,0),"  ")</f>
        <v>  </v>
      </c>
      <c r="G31" s="63" t="str">
        <f>IF(inputPrYr!$E$39&gt;0,ROUND(+B31*G$49,0)," ")</f>
        <v> </v>
      </c>
      <c r="H31" s="73"/>
    </row>
    <row r="32" spans="1:8" ht="15.75">
      <c r="A32" s="26" t="str">
        <f>IF((inputPrYr!$B40&gt;" "),(inputPrYr!$B40),"  ")</f>
        <v>  </v>
      </c>
      <c r="B32" s="674" t="str">
        <f>IF(inputPrYr!E40&gt;0,inputPrYr!E40,"  ")</f>
        <v>  </v>
      </c>
      <c r="C32" s="675" t="str">
        <f>IF(inputPrYr!F40&gt;0,(inputPrYr!F40),"  ")</f>
        <v>  </v>
      </c>
      <c r="D32" s="674" t="str">
        <f>IF(inputPrYr!E40&gt;0,ROUND(+B32*D$43,0),"  ")</f>
        <v>  </v>
      </c>
      <c r="E32" s="674" t="str">
        <f>IF(inputPrYr!E40&gt;0,ROUND(+B32*E$45,0),"  ")</f>
        <v>  </v>
      </c>
      <c r="F32" s="674" t="str">
        <f>IF(inputPrYr!E40&gt;0,ROUND(+B32*F$47,0),"  ")</f>
        <v>  </v>
      </c>
      <c r="G32" s="674" t="str">
        <f>IF(inputPrYr!$E$40&gt;0,ROUND(+B32*G$49,0)," ")</f>
        <v> </v>
      </c>
      <c r="H32" s="73"/>
    </row>
    <row r="33" spans="1:8" ht="16.5" thickBot="1">
      <c r="A33" s="25" t="s">
        <v>116</v>
      </c>
      <c r="B33" s="676">
        <f aca="true" t="shared" si="0" ref="B33:G33">SUM(B8:B32)</f>
        <v>4282747</v>
      </c>
      <c r="C33" s="677">
        <f t="shared" si="0"/>
        <v>57.372</v>
      </c>
      <c r="D33" s="676">
        <f t="shared" si="0"/>
        <v>498851</v>
      </c>
      <c r="E33" s="676">
        <f t="shared" si="0"/>
        <v>8181</v>
      </c>
      <c r="F33" s="676">
        <f t="shared" si="0"/>
        <v>45018</v>
      </c>
      <c r="G33" s="676">
        <f t="shared" si="0"/>
        <v>0</v>
      </c>
      <c r="H33" s="73"/>
    </row>
    <row r="34" spans="1:8" ht="16.5" thickTop="1">
      <c r="A34" s="54"/>
      <c r="B34" s="67"/>
      <c r="C34" s="75"/>
      <c r="D34" s="67"/>
      <c r="E34" s="67"/>
      <c r="F34" s="67"/>
      <c r="G34" s="67"/>
      <c r="H34" s="73"/>
    </row>
    <row r="35" spans="1:8" ht="15.75">
      <c r="A35" s="15" t="s">
        <v>117</v>
      </c>
      <c r="B35" s="65"/>
      <c r="C35" s="65"/>
      <c r="D35" s="66">
        <f>(inputOth!E15)</f>
        <v>498851</v>
      </c>
      <c r="E35" s="65"/>
      <c r="F35" s="31"/>
      <c r="G35" s="31"/>
      <c r="H35" s="55"/>
    </row>
    <row r="36" spans="1:8" ht="15.75">
      <c r="A36" s="15"/>
      <c r="B36" s="65"/>
      <c r="C36" s="65"/>
      <c r="D36" s="67"/>
      <c r="E36" s="65"/>
      <c r="F36" s="31"/>
      <c r="G36" s="31"/>
      <c r="H36" s="55"/>
    </row>
    <row r="37" spans="1:8" ht="15.75">
      <c r="A37" s="15" t="s">
        <v>118</v>
      </c>
      <c r="B37" s="31"/>
      <c r="C37" s="31"/>
      <c r="D37" s="31"/>
      <c r="E37" s="66">
        <f>(inputOth!E16)</f>
        <v>8181</v>
      </c>
      <c r="F37" s="31"/>
      <c r="G37" s="31"/>
      <c r="H37" s="55"/>
    </row>
    <row r="38" spans="1:8" ht="15.75">
      <c r="A38" s="15"/>
      <c r="B38" s="31"/>
      <c r="C38" s="31"/>
      <c r="D38" s="31"/>
      <c r="E38" s="67"/>
      <c r="F38" s="31"/>
      <c r="G38" s="31"/>
      <c r="H38" s="55"/>
    </row>
    <row r="39" spans="1:8" ht="15.75">
      <c r="A39" s="15" t="s">
        <v>215</v>
      </c>
      <c r="B39" s="31"/>
      <c r="C39" s="31"/>
      <c r="D39" s="31"/>
      <c r="E39" s="31"/>
      <c r="F39" s="66">
        <f>inputOth!E17</f>
        <v>45018</v>
      </c>
      <c r="G39" s="67"/>
      <c r="H39" s="55"/>
    </row>
    <row r="40" spans="1:8" ht="15.75">
      <c r="A40" s="14"/>
      <c r="B40" s="31"/>
      <c r="C40" s="31"/>
      <c r="D40" s="31"/>
      <c r="E40" s="31"/>
      <c r="F40" s="31"/>
      <c r="G40" s="31"/>
      <c r="H40" s="55"/>
    </row>
    <row r="41" spans="1:8" ht="15.75">
      <c r="A41" s="14" t="s">
        <v>860</v>
      </c>
      <c r="B41" s="31"/>
      <c r="C41" s="31"/>
      <c r="D41" s="31"/>
      <c r="E41" s="31"/>
      <c r="F41" s="31"/>
      <c r="G41" s="70">
        <f>inputOth!E20</f>
        <v>0</v>
      </c>
      <c r="H41" s="55"/>
    </row>
    <row r="42" spans="1:8" ht="15.75">
      <c r="A42" s="14"/>
      <c r="B42" s="31"/>
      <c r="C42" s="31"/>
      <c r="D42" s="31"/>
      <c r="E42" s="31"/>
      <c r="F42" s="31"/>
      <c r="G42" s="31"/>
      <c r="H42" s="55"/>
    </row>
    <row r="43" spans="1:8" ht="15.75">
      <c r="A43" s="15" t="s">
        <v>119</v>
      </c>
      <c r="B43" s="31"/>
      <c r="C43" s="31"/>
      <c r="D43" s="68">
        <f>IF(B33=0,0,D35/B33)</f>
        <v>0.11647921299110127</v>
      </c>
      <c r="E43" s="31"/>
      <c r="F43" s="31"/>
      <c r="G43" s="31"/>
      <c r="H43" s="55"/>
    </row>
    <row r="44" spans="1:8" ht="15.75">
      <c r="A44" s="15"/>
      <c r="B44" s="31"/>
      <c r="C44" s="31"/>
      <c r="D44" s="69"/>
      <c r="E44" s="31"/>
      <c r="F44" s="31"/>
      <c r="G44" s="31"/>
      <c r="H44" s="55"/>
    </row>
    <row r="45" spans="1:8" ht="15.75">
      <c r="A45" s="15" t="s">
        <v>278</v>
      </c>
      <c r="B45" s="31"/>
      <c r="C45" s="31"/>
      <c r="D45" s="31"/>
      <c r="E45" s="68">
        <f>IF(B33=0,0,E37/B33)</f>
        <v>0.001910222574436454</v>
      </c>
      <c r="F45" s="31"/>
      <c r="G45" s="31"/>
      <c r="H45" s="55"/>
    </row>
    <row r="46" spans="1:8" ht="15.75">
      <c r="A46" s="15"/>
      <c r="B46" s="31"/>
      <c r="C46" s="31"/>
      <c r="D46" s="31"/>
      <c r="E46" s="69"/>
      <c r="F46" s="31"/>
      <c r="G46" s="31"/>
      <c r="H46" s="55"/>
    </row>
    <row r="47" spans="1:8" ht="15.75">
      <c r="A47" s="15" t="s">
        <v>277</v>
      </c>
      <c r="B47" s="31"/>
      <c r="C47" s="31"/>
      <c r="D47" s="31"/>
      <c r="E47" s="31"/>
      <c r="F47" s="68">
        <f>IF(B33=0,0,F39/B33)</f>
        <v>0.010511477796843941</v>
      </c>
      <c r="G47" s="69"/>
      <c r="H47" s="55"/>
    </row>
    <row r="48" spans="1:8" ht="15.75">
      <c r="A48" s="29"/>
      <c r="B48" s="55"/>
      <c r="C48" s="55"/>
      <c r="D48" s="55"/>
      <c r="E48" s="55"/>
      <c r="F48" s="55"/>
      <c r="G48" s="55"/>
      <c r="H48" s="55"/>
    </row>
    <row r="49" spans="1:8" ht="15.75">
      <c r="A49" s="29"/>
      <c r="B49" s="55"/>
      <c r="C49" s="55"/>
      <c r="D49" s="55"/>
      <c r="E49" s="55" t="s">
        <v>861</v>
      </c>
      <c r="F49" s="55"/>
      <c r="G49" s="68">
        <f>IF(B33=0,0,G41/B33)</f>
        <v>0</v>
      </c>
      <c r="H49" s="55"/>
    </row>
    <row r="50" spans="1:8" ht="15.75">
      <c r="A50" s="29"/>
      <c r="B50" s="55"/>
      <c r="C50" s="55"/>
      <c r="D50" s="55"/>
      <c r="E50" s="55"/>
      <c r="F50" s="55"/>
      <c r="G50" s="55"/>
      <c r="H50" s="55"/>
    </row>
  </sheetData>
  <sheetProtection/>
  <mergeCells count="4">
    <mergeCell ref="B6:B7"/>
    <mergeCell ref="C6:C7"/>
    <mergeCell ref="A3:H3"/>
    <mergeCell ref="D6:G6"/>
  </mergeCells>
  <printOptions/>
  <pageMargins left="1.5" right="0.75" top="0.25" bottom="0.18" header="0" footer="0"/>
  <pageSetup blackAndWhite="1" firstPageNumber="3" useFirstPageNumber="1" fitToHeight="1" fitToWidth="1" horizontalDpi="600" verticalDpi="600" orientation="landscape" scale="70" r:id="rId1"/>
  <headerFooter alignWithMargins="0">
    <oddHeader>&amp;RState of Kansas
County</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1">
      <selection activeCell="F49" sqref="F49"/>
    </sheetView>
  </sheetViews>
  <sheetFormatPr defaultColWidth="8.796875" defaultRowHeight="15"/>
  <cols>
    <col min="1" max="2" width="17.796875" style="148" customWidth="1"/>
    <col min="3" max="6" width="12.796875" style="148" customWidth="1"/>
    <col min="7" max="16384" width="8.8984375" style="148" customWidth="1"/>
  </cols>
  <sheetData>
    <row r="1" spans="1:6" ht="15.75">
      <c r="A1" s="240"/>
      <c r="B1" s="90"/>
      <c r="C1" s="90"/>
      <c r="D1" s="90"/>
      <c r="E1" s="252"/>
      <c r="F1" s="90"/>
    </row>
    <row r="2" spans="1:6" ht="15.75">
      <c r="A2" s="149" t="str">
        <f>inputPrYr!C2</f>
        <v>Clay County</v>
      </c>
      <c r="B2" s="149"/>
      <c r="C2" s="90"/>
      <c r="D2" s="90"/>
      <c r="E2" s="252"/>
      <c r="F2" s="90">
        <f>inputPrYr!C4</f>
        <v>2012</v>
      </c>
    </row>
    <row r="3" spans="1:6" ht="15.75">
      <c r="A3" s="240"/>
      <c r="B3" s="149"/>
      <c r="C3" s="90"/>
      <c r="D3" s="90"/>
      <c r="E3" s="252"/>
      <c r="F3" s="90"/>
    </row>
    <row r="4" spans="1:6" ht="15.75">
      <c r="A4" s="240"/>
      <c r="B4" s="90"/>
      <c r="C4" s="90"/>
      <c r="D4" s="90"/>
      <c r="E4" s="252"/>
      <c r="F4" s="90"/>
    </row>
    <row r="5" spans="1:6" ht="15" customHeight="1">
      <c r="A5" s="710" t="s">
        <v>258</v>
      </c>
      <c r="B5" s="710"/>
      <c r="C5" s="710"/>
      <c r="D5" s="710"/>
      <c r="E5" s="710"/>
      <c r="F5" s="710"/>
    </row>
    <row r="6" spans="1:6" ht="14.25" customHeight="1">
      <c r="A6" s="241"/>
      <c r="B6" s="253"/>
      <c r="C6" s="253"/>
      <c r="D6" s="253"/>
      <c r="E6" s="253"/>
      <c r="F6" s="253"/>
    </row>
    <row r="7" spans="1:6" ht="15" customHeight="1">
      <c r="A7" s="254" t="s">
        <v>654</v>
      </c>
      <c r="B7" s="254" t="s">
        <v>655</v>
      </c>
      <c r="C7" s="255" t="s">
        <v>163</v>
      </c>
      <c r="D7" s="255" t="s">
        <v>279</v>
      </c>
      <c r="E7" s="255" t="s">
        <v>280</v>
      </c>
      <c r="F7" s="255" t="s">
        <v>311</v>
      </c>
    </row>
    <row r="8" spans="1:6" ht="15" customHeight="1">
      <c r="A8" s="256" t="s">
        <v>656</v>
      </c>
      <c r="B8" s="256" t="s">
        <v>657</v>
      </c>
      <c r="C8" s="257" t="s">
        <v>310</v>
      </c>
      <c r="D8" s="257" t="s">
        <v>310</v>
      </c>
      <c r="E8" s="257" t="s">
        <v>310</v>
      </c>
      <c r="F8" s="257" t="s">
        <v>312</v>
      </c>
    </row>
    <row r="9" spans="1:6" s="238" customFormat="1" ht="15" customHeight="1" thickBot="1">
      <c r="A9" s="258" t="s">
        <v>308</v>
      </c>
      <c r="B9" s="259" t="s">
        <v>309</v>
      </c>
      <c r="C9" s="260">
        <f>F2-2</f>
        <v>2010</v>
      </c>
      <c r="D9" s="260">
        <f>F2-1</f>
        <v>2011</v>
      </c>
      <c r="E9" s="260">
        <f>F2</f>
        <v>2012</v>
      </c>
      <c r="F9" s="259" t="s">
        <v>439</v>
      </c>
    </row>
    <row r="10" spans="1:6" ht="15" customHeight="1" thickTop="1">
      <c r="A10" s="664" t="s">
        <v>959</v>
      </c>
      <c r="B10" s="664" t="s">
        <v>986</v>
      </c>
      <c r="C10" s="665">
        <v>12000</v>
      </c>
      <c r="D10" s="665">
        <v>12000</v>
      </c>
      <c r="E10" s="665">
        <v>12000</v>
      </c>
      <c r="F10" s="666" t="s">
        <v>962</v>
      </c>
    </row>
    <row r="11" spans="1:6" ht="15" customHeight="1">
      <c r="A11" s="662" t="s">
        <v>440</v>
      </c>
      <c r="B11" s="662" t="s">
        <v>977</v>
      </c>
      <c r="C11" s="667">
        <v>10422</v>
      </c>
      <c r="D11" s="667">
        <v>0</v>
      </c>
      <c r="E11" s="667">
        <v>0</v>
      </c>
      <c r="F11" s="668" t="s">
        <v>82</v>
      </c>
    </row>
    <row r="12" spans="1:6" ht="15" customHeight="1">
      <c r="A12" s="662" t="s">
        <v>157</v>
      </c>
      <c r="B12" s="662" t="s">
        <v>83</v>
      </c>
      <c r="C12" s="667">
        <v>207533</v>
      </c>
      <c r="D12" s="667">
        <v>0</v>
      </c>
      <c r="E12" s="667">
        <v>0</v>
      </c>
      <c r="F12" s="668" t="s">
        <v>84</v>
      </c>
    </row>
    <row r="13" spans="1:6" ht="15" customHeight="1">
      <c r="A13" s="662" t="s">
        <v>158</v>
      </c>
      <c r="B13" s="662" t="s">
        <v>85</v>
      </c>
      <c r="C13" s="667">
        <v>52500</v>
      </c>
      <c r="D13" s="667">
        <v>51000</v>
      </c>
      <c r="E13" s="667">
        <v>51000</v>
      </c>
      <c r="F13" s="668" t="s">
        <v>961</v>
      </c>
    </row>
    <row r="14" spans="1:6" ht="15" customHeight="1">
      <c r="A14" s="662" t="s">
        <v>158</v>
      </c>
      <c r="B14" s="662" t="s">
        <v>86</v>
      </c>
      <c r="C14" s="667">
        <v>46000</v>
      </c>
      <c r="D14" s="667">
        <v>50000</v>
      </c>
      <c r="E14" s="667">
        <v>50000</v>
      </c>
      <c r="F14" s="668" t="s">
        <v>961</v>
      </c>
    </row>
    <row r="15" spans="1:6" ht="15" customHeight="1">
      <c r="A15" s="662" t="s">
        <v>158</v>
      </c>
      <c r="B15" s="662" t="s">
        <v>87</v>
      </c>
      <c r="C15" s="667">
        <v>0</v>
      </c>
      <c r="D15" s="667">
        <v>48590</v>
      </c>
      <c r="E15" s="667">
        <v>48590</v>
      </c>
      <c r="F15" s="668" t="s">
        <v>961</v>
      </c>
    </row>
    <row r="16" spans="1:6" ht="15" customHeight="1">
      <c r="A16" s="116" t="s">
        <v>86</v>
      </c>
      <c r="B16" s="116" t="s">
        <v>85</v>
      </c>
      <c r="C16" s="261">
        <v>9930</v>
      </c>
      <c r="D16" s="261">
        <v>0</v>
      </c>
      <c r="E16" s="261">
        <v>0</v>
      </c>
      <c r="F16" s="678" t="s">
        <v>961</v>
      </c>
    </row>
    <row r="17" spans="1:6" ht="15" customHeight="1">
      <c r="A17" s="116"/>
      <c r="B17" s="116"/>
      <c r="C17" s="261"/>
      <c r="D17" s="261"/>
      <c r="E17" s="261"/>
      <c r="F17" s="116"/>
    </row>
    <row r="18" spans="1:6" ht="15" customHeight="1">
      <c r="A18" s="116"/>
      <c r="B18" s="116"/>
      <c r="C18" s="261"/>
      <c r="D18" s="261"/>
      <c r="E18" s="261"/>
      <c r="F18" s="116"/>
    </row>
    <row r="19" spans="1:6" ht="15" customHeight="1">
      <c r="A19" s="116"/>
      <c r="B19" s="262"/>
      <c r="C19" s="261"/>
      <c r="D19" s="261"/>
      <c r="E19" s="261"/>
      <c r="F19" s="116"/>
    </row>
    <row r="20" spans="1:6" ht="15" customHeight="1">
      <c r="A20" s="116"/>
      <c r="B20" s="116"/>
      <c r="C20" s="261"/>
      <c r="D20" s="261"/>
      <c r="E20" s="261"/>
      <c r="F20" s="116"/>
    </row>
    <row r="21" spans="1:6" ht="15" customHeight="1">
      <c r="A21" s="116"/>
      <c r="B21" s="116"/>
      <c r="C21" s="261"/>
      <c r="D21" s="261"/>
      <c r="E21" s="261"/>
      <c r="F21" s="116"/>
    </row>
    <row r="22" spans="1:6" ht="15" customHeight="1">
      <c r="A22" s="116"/>
      <c r="B22" s="116"/>
      <c r="C22" s="261"/>
      <c r="D22" s="261"/>
      <c r="E22" s="261"/>
      <c r="F22" s="116"/>
    </row>
    <row r="23" spans="1:6" ht="15" customHeight="1">
      <c r="A23" s="116"/>
      <c r="B23" s="116"/>
      <c r="C23" s="261"/>
      <c r="D23" s="261"/>
      <c r="E23" s="261"/>
      <c r="F23" s="116"/>
    </row>
    <row r="24" spans="1:6" ht="15" customHeight="1">
      <c r="A24" s="116"/>
      <c r="B24" s="116"/>
      <c r="C24" s="261"/>
      <c r="D24" s="261"/>
      <c r="E24" s="261"/>
      <c r="F24" s="116"/>
    </row>
    <row r="25" spans="1:6" ht="15" customHeight="1">
      <c r="A25" s="116"/>
      <c r="B25" s="116"/>
      <c r="C25" s="261"/>
      <c r="D25" s="261"/>
      <c r="E25" s="261"/>
      <c r="F25" s="116"/>
    </row>
    <row r="26" spans="1:6" ht="15" customHeight="1">
      <c r="A26" s="116"/>
      <c r="B26" s="116"/>
      <c r="C26" s="261"/>
      <c r="D26" s="261"/>
      <c r="E26" s="261"/>
      <c r="F26" s="116"/>
    </row>
    <row r="27" spans="1:6" ht="15.75">
      <c r="A27" s="142"/>
      <c r="B27" s="263" t="s">
        <v>441</v>
      </c>
      <c r="C27" s="125">
        <f>SUM(C10:C26)</f>
        <v>338385</v>
      </c>
      <c r="D27" s="125">
        <f>SUM(D10:D26)</f>
        <v>161590</v>
      </c>
      <c r="E27" s="125">
        <f>SUM(E10:E26)</f>
        <v>161590</v>
      </c>
      <c r="F27" s="142"/>
    </row>
    <row r="28" spans="1:6" ht="15.75">
      <c r="A28" s="142"/>
      <c r="B28" s="264" t="s">
        <v>652</v>
      </c>
      <c r="C28" s="109"/>
      <c r="D28" s="110"/>
      <c r="E28" s="110"/>
      <c r="F28" s="142"/>
    </row>
    <row r="29" spans="1:6" ht="15.75">
      <c r="A29" s="142"/>
      <c r="B29" s="263" t="s">
        <v>313</v>
      </c>
      <c r="C29" s="125">
        <f>C27</f>
        <v>338385</v>
      </c>
      <c r="D29" s="125">
        <f>SUM(D27-D28)</f>
        <v>161590</v>
      </c>
      <c r="E29" s="125">
        <f>SUM(E27-E28)</f>
        <v>161590</v>
      </c>
      <c r="F29" s="142"/>
    </row>
    <row r="30" spans="1:6" ht="15.75">
      <c r="A30" s="142"/>
      <c r="B30" s="142"/>
      <c r="C30" s="142"/>
      <c r="D30" s="142"/>
      <c r="E30" s="142"/>
      <c r="F30" s="142"/>
    </row>
    <row r="31" spans="1:6" ht="15.75">
      <c r="A31" s="142"/>
      <c r="B31" s="142"/>
      <c r="C31" s="142"/>
      <c r="D31" s="142"/>
      <c r="E31" s="142"/>
      <c r="F31" s="142"/>
    </row>
    <row r="32" spans="1:6" ht="15.75">
      <c r="A32" s="452" t="s">
        <v>653</v>
      </c>
      <c r="B32" s="453" t="str">
        <f>CONCATENATE("Adjustments are required only if the transfer is being made in ",D9," and/or ",E9," from a non-budgeted fund.")</f>
        <v>Adjustments are required only if the transfer is being made in 2011 and/or 2012 from a non-budgeted fund.</v>
      </c>
      <c r="C32" s="142"/>
      <c r="D32" s="142"/>
      <c r="E32" s="142"/>
      <c r="F32" s="142"/>
    </row>
  </sheetData>
  <sheetProtection/>
  <mergeCells count="1">
    <mergeCell ref="A5:F5"/>
  </mergeCells>
  <printOptions/>
  <pageMargins left="0.5" right="0.5" top="0.72" bottom="0.23" header="0.5" footer="0"/>
  <pageSetup blackAndWhite="1" fitToHeight="1" fitToWidth="1" horizontalDpi="120" verticalDpi="120" orientation="portrait" scale="86" r:id="rId1"/>
  <headerFooter alignWithMargins="0">
    <oddHeader>&amp;RState of Kansas
County
</oddHeader>
    <oddFooter>&amp;CPage No. 4</oddFooter>
  </headerFooter>
</worksheet>
</file>

<file path=xl/worksheets/sheet9.xml><?xml version="1.0" encoding="utf-8"?>
<worksheet xmlns="http://schemas.openxmlformats.org/spreadsheetml/2006/main" xmlns:r="http://schemas.openxmlformats.org/officeDocument/2006/relationships">
  <dimension ref="A1:G46"/>
  <sheetViews>
    <sheetView tabSelected="1" zoomScalePageLayoutView="0" workbookViewId="0" topLeftCell="A1">
      <selection activeCell="F49" sqref="F49"/>
    </sheetView>
  </sheetViews>
  <sheetFormatPr defaultColWidth="8.796875" defaultRowHeight="15"/>
  <cols>
    <col min="1" max="1" width="70.3984375" style="170" customWidth="1"/>
    <col min="2" max="16384" width="8.8984375" style="170" customWidth="1"/>
  </cols>
  <sheetData>
    <row r="1" spans="1:7" ht="30" customHeight="1">
      <c r="A1" s="524" t="s">
        <v>324</v>
      </c>
      <c r="B1" s="523"/>
      <c r="C1" s="523"/>
      <c r="D1" s="523"/>
      <c r="E1" s="523"/>
      <c r="F1" s="523"/>
      <c r="G1" s="523"/>
    </row>
    <row r="2" ht="15.75" customHeight="1">
      <c r="A2" s="2"/>
    </row>
    <row r="3" ht="54" customHeight="1">
      <c r="A3" s="522" t="s">
        <v>669</v>
      </c>
    </row>
    <row r="4" ht="15.75" customHeight="1">
      <c r="A4" s="2"/>
    </row>
    <row r="5" ht="52.5" customHeight="1">
      <c r="A5" s="522" t="s">
        <v>670</v>
      </c>
    </row>
    <row r="6" ht="15.75" customHeight="1">
      <c r="A6" s="2"/>
    </row>
    <row r="7" s="520" customFormat="1" ht="45.75" customHeight="1">
      <c r="A7" s="521" t="s">
        <v>631</v>
      </c>
    </row>
    <row r="8" ht="15.75" customHeight="1">
      <c r="A8" s="2"/>
    </row>
    <row r="9" ht="46.5" customHeight="1">
      <c r="A9" s="521" t="s">
        <v>632</v>
      </c>
    </row>
    <row r="10" ht="15.75" customHeight="1"/>
    <row r="11" ht="45.75" customHeight="1">
      <c r="A11" s="521" t="s">
        <v>633</v>
      </c>
    </row>
    <row r="12" ht="15.75" customHeight="1">
      <c r="A12" s="2"/>
    </row>
    <row r="13" ht="62.25" customHeight="1">
      <c r="A13" s="521" t="s">
        <v>634</v>
      </c>
    </row>
    <row r="14" ht="15.75" customHeight="1">
      <c r="A14" s="2"/>
    </row>
    <row r="15" ht="32.25" customHeight="1">
      <c r="A15" s="521" t="s">
        <v>635</v>
      </c>
    </row>
    <row r="16" ht="15.75" customHeight="1"/>
    <row r="17" ht="67.5" customHeight="1">
      <c r="A17" s="519" t="s">
        <v>717</v>
      </c>
    </row>
    <row r="18" ht="15.75" customHeight="1"/>
    <row r="19" ht="81" customHeight="1">
      <c r="A19" s="519" t="s">
        <v>636</v>
      </c>
    </row>
    <row r="20" ht="15.75" customHeight="1">
      <c r="A20" s="2"/>
    </row>
    <row r="21" ht="78" customHeight="1">
      <c r="A21" s="521" t="s">
        <v>637</v>
      </c>
    </row>
    <row r="22" ht="15.75" customHeight="1">
      <c r="A22" s="2"/>
    </row>
    <row r="23" ht="44.25" customHeight="1">
      <c r="A23" s="521" t="s">
        <v>638</v>
      </c>
    </row>
    <row r="24" ht="15.75" customHeight="1"/>
    <row r="25" ht="53.25" customHeight="1">
      <c r="A25" s="519" t="s">
        <v>639</v>
      </c>
    </row>
    <row r="26" ht="16.5" customHeight="1">
      <c r="A26" s="2"/>
    </row>
    <row r="27" ht="40.5" customHeight="1">
      <c r="A27" s="522" t="s">
        <v>718</v>
      </c>
    </row>
    <row r="28" ht="16.5" customHeight="1">
      <c r="A28" s="2"/>
    </row>
    <row r="29" ht="69.75" customHeight="1">
      <c r="A29" s="521" t="s">
        <v>640</v>
      </c>
    </row>
    <row r="30" ht="15.75" customHeight="1">
      <c r="A30" s="2"/>
    </row>
    <row r="31" ht="58.5" customHeight="1">
      <c r="A31" s="521" t="s">
        <v>641</v>
      </c>
    </row>
    <row r="33" ht="60.75" customHeight="1">
      <c r="A33" s="521" t="s">
        <v>642</v>
      </c>
    </row>
    <row r="34" ht="15.75">
      <c r="A34" s="2"/>
    </row>
    <row r="35" ht="82.5" customHeight="1">
      <c r="A35" s="521" t="s">
        <v>643</v>
      </c>
    </row>
    <row r="36" ht="15.75">
      <c r="A36" s="518"/>
    </row>
    <row r="37" ht="15.75">
      <c r="A37" s="518"/>
    </row>
    <row r="39" ht="15.75">
      <c r="A39" s="518"/>
    </row>
    <row r="40" ht="15.75">
      <c r="A40" s="518"/>
    </row>
    <row r="42" ht="15.75">
      <c r="A42" s="2"/>
    </row>
    <row r="43" ht="15.75">
      <c r="A43" s="518"/>
    </row>
    <row r="45" ht="15.75">
      <c r="A45" s="518"/>
    </row>
    <row r="46" ht="15.75">
      <c r="A46" s="5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2011-08-10T14:12:25Z</cp:lastPrinted>
  <dcterms:created xsi:type="dcterms:W3CDTF">1998-08-26T13:26:11Z</dcterms:created>
  <dcterms:modified xsi:type="dcterms:W3CDTF">2014-01-19T22:10:22Z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