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05" windowWidth="15480" windowHeight="4950" tabRatio="858" firstSheet="4" activeTab="4"/>
  </bookViews>
  <sheets>
    <sheet name="Instructions" sheetId="1" state="hidden"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state="hidden" r:id="rId9"/>
    <sheet name="debt" sheetId="10" r:id="rId10"/>
    <sheet name="lpform" sheetId="11" r:id="rId11"/>
    <sheet name="general" sheetId="12" r:id="rId12"/>
    <sheet name="SpecHwy-Park" sheetId="13" r:id="rId13"/>
    <sheet name="nonbud" sheetId="14" r:id="rId14"/>
    <sheet name="summ" sheetId="15" r:id="rId15"/>
    <sheet name="general-detail" sheetId="16" state="hidden" r:id="rId16"/>
    <sheet name="DebtService" sheetId="17" state="hidden" r:id="rId17"/>
    <sheet name="levy page9" sheetId="18" state="hidden" r:id="rId18"/>
    <sheet name="levy page10" sheetId="19" state="hidden" r:id="rId19"/>
    <sheet name="no levy page12" sheetId="20" state="hidden" r:id="rId20"/>
    <sheet name="no levy page13" sheetId="21" state="hidden" r:id="rId21"/>
    <sheet name="Sinnolevy14" sheetId="22" state="hidden" r:id="rId22"/>
    <sheet name="NonBudFunds" sheetId="23" state="hidden" r:id="rId23"/>
    <sheet name="nhood" sheetId="24" r:id="rId24"/>
    <sheet name="ordinance" sheetId="25" state="hidden" r:id="rId25"/>
    <sheet name="Tab A" sheetId="26" state="hidden" r:id="rId26"/>
    <sheet name="Tab B" sheetId="27" state="hidden" r:id="rId27"/>
    <sheet name="Tab C" sheetId="28" state="hidden" r:id="rId28"/>
    <sheet name="Tab D" sheetId="29" state="hidden" r:id="rId29"/>
    <sheet name="Tab E" sheetId="30" state="hidden" r:id="rId30"/>
    <sheet name="Mill Rate Computation" sheetId="31" state="hidden" r:id="rId31"/>
    <sheet name="Helpful Links" sheetId="32" state="hidden" r:id="rId32"/>
    <sheet name="Legend" sheetId="33" state="hidden" r:id="rId33"/>
  </sheets>
  <definedNames>
    <definedName name="_xlnm.Print_Area" localSheetId="16">'DebtService'!$B$1:$E$77</definedName>
    <definedName name="_xlnm.Print_Area" localSheetId="11">'general'!$B$1:$E$67</definedName>
    <definedName name="_xlnm.Print_Area" localSheetId="1">'inputPrYr'!$A$1:$E$63</definedName>
    <definedName name="_xlnm.Print_Area" localSheetId="10">'lpform'!$A$1:$H$34</definedName>
    <definedName name="_xlnm.Print_Area" localSheetId="30">'Mill Rate Computation'!$B$4:$K$142</definedName>
    <definedName name="_xlnm.Print_Area" localSheetId="14">'summ'!$A$1:$H$41</definedName>
  </definedNames>
  <calcPr fullCalcOnLoad="1"/>
</workbook>
</file>

<file path=xl/sharedStrings.xml><?xml version="1.0" encoding="utf-8"?>
<sst xmlns="http://schemas.openxmlformats.org/spreadsheetml/2006/main" count="1495" uniqueCount="881">
  <si>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</si>
  <si>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</si>
  <si>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</si>
  <si>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1b. First County block is for the Home County and the other three blocks are for counties that proves valuation and vehicle/slider information.</t>
  </si>
  <si>
    <t>1c. Dates for the entire budget workbook is controlled by the year entered into the "Enter year being budgeted (YYYY)" field.  If you find a date that is not correct for the budget being submitted, please contact us for assistance.</t>
  </si>
  <si>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</si>
  <si>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</si>
  <si>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</si>
  <si>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</si>
  <si>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</si>
  <si>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</si>
  <si>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</si>
  <si>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</si>
  <si>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</si>
  <si>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 xml:space="preserve">General Instructions </t>
  </si>
  <si>
    <t>Computer Spreadsheet Preparation</t>
  </si>
  <si>
    <t>Fund Names:</t>
  </si>
  <si>
    <t>Statute</t>
  </si>
  <si>
    <t>General</t>
  </si>
  <si>
    <t>Fund name for all funds with a tax levy:</t>
  </si>
  <si>
    <t>Other (non-tax levy) fund names:</t>
  </si>
  <si>
    <t>Special Highway</t>
  </si>
  <si>
    <t>Total</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</si>
  <si>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</si>
  <si>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</si>
  <si>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</si>
  <si>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</si>
  <si>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</si>
  <si>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</si>
  <si>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</si>
  <si>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</si>
  <si>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</si>
  <si>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</si>
  <si>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</si>
  <si>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</si>
  <si>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</si>
  <si>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</si>
  <si>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</si>
  <si>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</si>
  <si>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</si>
  <si>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</si>
  <si>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</si>
  <si>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</si>
  <si>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</si>
  <si>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</si>
  <si>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</si>
  <si>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</si>
  <si>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</si>
  <si>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</si>
  <si>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</si>
  <si>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</si>
  <si>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</si>
  <si>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</si>
  <si>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</si>
  <si>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</si>
  <si>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</si>
  <si>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</si>
  <si>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</si>
  <si>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</si>
  <si>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</si>
  <si>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</si>
  <si>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</si>
  <si>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</si>
  <si>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</si>
  <si>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</si>
  <si>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</si>
  <si>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</si>
  <si>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</si>
  <si>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</si>
  <si>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</si>
  <si>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</si>
  <si>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</si>
  <si>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</si>
  <si>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</si>
  <si>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</si>
  <si>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</si>
  <si>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</si>
  <si>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</si>
  <si>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</si>
  <si>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</si>
  <si>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</si>
  <si>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</si>
  <si>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</si>
  <si>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</si>
  <si>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</si>
  <si>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</si>
  <si>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</si>
  <si>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</si>
  <si>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</si>
  <si>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</si>
  <si>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</si>
  <si>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</si>
  <si>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</si>
  <si>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</si>
  <si>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</si>
  <si>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</si>
  <si>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</si>
  <si>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</si>
  <si>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</si>
  <si>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</si>
  <si>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</si>
  <si>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</si>
  <si>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</si>
  <si>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</si>
  <si>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</si>
  <si>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</si>
  <si>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</si>
  <si>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</si>
  <si>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</si>
  <si>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</si>
  <si>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</si>
  <si>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</si>
  <si>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</si>
  <si>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</si>
  <si>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</si>
  <si>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</si>
  <si>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</si>
  <si>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</si>
  <si>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</si>
  <si>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</si>
  <si>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</si>
  <si>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</si>
  <si>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</si>
  <si>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</si>
  <si>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</si>
  <si>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</si>
  <si>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</si>
  <si>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</si>
  <si>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</si>
  <si>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</si>
  <si>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</si>
  <si>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</si>
  <si>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</si>
  <si>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</si>
  <si>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</si>
  <si>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</si>
  <si>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</si>
  <si>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</si>
  <si>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</si>
  <si>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</si>
  <si>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</si>
  <si>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</si>
  <si>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</si>
  <si>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</si>
  <si>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</si>
  <si>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</si>
  <si>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</si>
  <si>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</si>
  <si>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</si>
  <si>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</si>
  <si>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</si>
  <si>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</si>
  <si>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</si>
  <si>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</si>
  <si>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</si>
  <si>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</si>
  <si>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</si>
  <si>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</si>
  <si>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</si>
  <si>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</si>
  <si>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</si>
  <si>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</si>
  <si>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</si>
  <si>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</si>
  <si>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</si>
  <si>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</si>
  <si>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</si>
  <si>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</si>
  <si>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</si>
  <si>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</si>
  <si>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</si>
  <si>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</si>
  <si>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</si>
  <si>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</si>
  <si>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</si>
  <si>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</si>
  <si>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</si>
  <si>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</si>
  <si>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</si>
  <si>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</si>
  <si>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</si>
  <si>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</si>
  <si>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</si>
  <si>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</si>
  <si>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</si>
  <si>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</si>
  <si>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</si>
  <si>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</si>
  <si>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</si>
  <si>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</si>
  <si>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</si>
  <si>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</si>
  <si>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</si>
  <si>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</si>
  <si>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</si>
  <si>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</si>
  <si>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</si>
  <si>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</si>
  <si>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</si>
  <si>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</si>
  <si>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</si>
  <si>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</si>
  <si>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</si>
  <si>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</si>
  <si>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</si>
  <si>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</si>
  <si>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</si>
  <si>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</si>
  <si>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</si>
  <si>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</si>
  <si>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</si>
  <si>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</si>
  <si>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</si>
  <si>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</si>
  <si>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</si>
  <si>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</si>
  <si>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</si>
  <si>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</si>
  <si>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</si>
  <si>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</si>
  <si>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</si>
  <si>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</si>
  <si>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</si>
  <si>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</si>
  <si>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</si>
  <si>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</si>
  <si>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</si>
  <si>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</si>
  <si>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</si>
  <si>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</si>
  <si>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</si>
  <si>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</si>
  <si>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</si>
  <si>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</si>
  <si>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</si>
  <si>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</si>
  <si>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</si>
  <si>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</si>
  <si>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</si>
  <si>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</si>
  <si>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</si>
  <si>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</si>
  <si>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</si>
  <si>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</si>
  <si>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</si>
  <si>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</si>
  <si>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</si>
  <si>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</si>
  <si>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</si>
  <si>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</si>
  <si>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</si>
  <si>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</si>
  <si>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</si>
  <si>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</si>
  <si>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</si>
  <si>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</si>
  <si>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</si>
  <si>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</si>
  <si>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</si>
  <si>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</si>
  <si>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</si>
  <si>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</si>
  <si>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Enter City Name (City of )</t>
  </si>
  <si>
    <t>Enter Other Counties' Name:</t>
  </si>
  <si>
    <t>1st</t>
  </si>
  <si>
    <t>2nd</t>
  </si>
  <si>
    <t>3rd</t>
  </si>
  <si>
    <t>Input sheet for City3.XLS budget form</t>
  </si>
  <si>
    <t>Total Assessed Valuation</t>
  </si>
  <si>
    <t xml:space="preserve">Motor              Vehicle </t>
  </si>
  <si>
    <t>Recreational Vehicle</t>
  </si>
  <si>
    <t xml:space="preserve">16\20 M Vehicle </t>
  </si>
  <si>
    <t>Total Vehicle Tax Estimates</t>
  </si>
  <si>
    <r>
      <t>***</t>
    </r>
    <r>
      <rPr>
        <b/>
        <u val="single"/>
        <sz val="12"/>
        <rFont val="Times New Roman"/>
        <family val="1"/>
      </rPr>
      <t>Note</t>
    </r>
    <r>
      <rPr>
        <sz val="12"/>
        <rFont val="Times New Roman"/>
        <family val="1"/>
      </rPr>
      <t xml:space="preserve">:  Only used when a portion of the County monies are distributed to the Cities under the provision of                                                                                                                 </t>
    </r>
  </si>
  <si>
    <t xml:space="preserve">        K.S.A. 79-3425c.</t>
  </si>
  <si>
    <t>Assessed Valuation:</t>
  </si>
  <si>
    <t>City3 Spreadsheet Instructions</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</si>
  <si>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</si>
  <si>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Allocation of MVT, RVT, 16/20M Veh &amp; Slider</t>
  </si>
  <si>
    <t>Allocation of Motor (MVT), Recreational (RVT), 16/20M  Vehicle Tax &amp; Slider</t>
  </si>
  <si>
    <t>County Treasurers Slider Estimate</t>
  </si>
  <si>
    <t>Slider Factor</t>
  </si>
  <si>
    <t>Funds</t>
  </si>
  <si>
    <t>Budget Authority</t>
  </si>
  <si>
    <t xml:space="preserve">expenditure amounts should reflect the amended </t>
  </si>
  <si>
    <t>expenditure amounts.</t>
  </si>
  <si>
    <t>Neighborhood Revitalization Rebate</t>
  </si>
  <si>
    <t>Does miscellaneous exceed 10% of Total Receipts</t>
  </si>
  <si>
    <t>Does miscellaneous exceed 10% of Total Expenditure</t>
  </si>
  <si>
    <t>11. Added Neighborhood Revitalization, LAVTR, City and County Revenue Sharing, and Slider to the input page and to the General Fund page. Also added NR to all tax levy fund pages.</t>
  </si>
  <si>
    <t>(1st County)</t>
  </si>
  <si>
    <t>(2nd County)</t>
  </si>
  <si>
    <t>(3rd County)</t>
  </si>
  <si>
    <t>(4th County)</t>
  </si>
  <si>
    <t>(Total Slider)</t>
  </si>
  <si>
    <t>Slider - 4 Counties</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</si>
  <si>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</si>
  <si>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</si>
  <si>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</si>
  <si>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</si>
  <si>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</si>
  <si>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</si>
  <si>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</si>
  <si>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</si>
  <si>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</si>
  <si>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</si>
  <si>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</si>
  <si>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</si>
  <si>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Home County Name followed by "County"</t>
  </si>
  <si>
    <t xml:space="preserve"> Real                                       Estate</t>
  </si>
  <si>
    <t xml:space="preserve">Ad Valorem Tax </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</si>
  <si>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</si>
  <si>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</si>
  <si>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</si>
  <si>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</si>
  <si>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and block turns red on all fund pages for the non-appropirated balance.</t>
  </si>
  <si>
    <t>24. Added to the Certificate page three additional spaces for Counties assessed valuation.</t>
  </si>
  <si>
    <t>25. Added to the instruction page concerning the three additional spaces for Counties budget information.</t>
  </si>
  <si>
    <t>26. Made the Schedule of Transfers it's own worksheet.</t>
  </si>
  <si>
    <t>27. Added Neighborhood Revitalization table and added links to all tax levy fund pages.</t>
  </si>
  <si>
    <t>28. Added to the instructions about neighborhood revitalization.</t>
  </si>
  <si>
    <t>29. Added Slider to Vehicle Allocation table and linked to fund pages.</t>
  </si>
  <si>
    <t>30. Added to all budgeted fund pages the budget authority for the actual year, budget violation, and cash violation.</t>
  </si>
  <si>
    <t>31. Added instruction on the addition for item 31.</t>
  </si>
  <si>
    <t>32.  Added miscellanous category to both receipt and expenditure and set warning on fund pages.</t>
  </si>
  <si>
    <t>33. Added instruction concerning the miscellaneous category and how to fix warning.</t>
  </si>
  <si>
    <t xml:space="preserve">34. Added page number for neighborhood revit on the Certificate page. </t>
  </si>
  <si>
    <t>35. Added three spaces for additional counties on the inputpryr, clerk's info, and certificate page.</t>
  </si>
  <si>
    <t>36. Change Certificate page total mil rate from 0 to blank.</t>
  </si>
  <si>
    <t>38. Added 'excluding oil, gas, and mobile homes' on Clerks budget info on tab inputoth.</t>
  </si>
  <si>
    <t>37. Expanded on the preparation of budget note 11 for instructions for the Notice of Budget Hearing.</t>
  </si>
  <si>
    <t>The following were changed to this spreadsheet on 5/08/2008</t>
  </si>
  <si>
    <t>1. Instruction page #9a change from 'shown be shown' to read 'should be shown'.</t>
  </si>
  <si>
    <t>2. Legend #37 change from 'note 10' to 'note 11'.</t>
  </si>
  <si>
    <r>
      <t>3. Change the Non-Budgeted Funds form from 'Only the actual budget year shown' to read '</t>
    </r>
    <r>
      <rPr>
        <i/>
        <sz val="12"/>
        <rFont val="Times New Roman"/>
        <family val="1"/>
      </rPr>
      <t>Only the actual budget year for YYYY is to be shown</t>
    </r>
    <r>
      <rPr>
        <sz val="12"/>
        <rFont val="Times New Roman"/>
        <family val="1"/>
      </rPr>
      <t>'.</t>
    </r>
  </si>
  <si>
    <t>4. The revision date was changed.</t>
  </si>
  <si>
    <t>The following were changed to this spreadsheet on 7/01/08</t>
  </si>
  <si>
    <t>4. Changed foot note to reflect the changes maded on 7/1/08 to the above tabs.</t>
  </si>
  <si>
    <t>Single No Tax Levy Page:</t>
  </si>
  <si>
    <t>Debt Service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</si>
  <si>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</si>
  <si>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</si>
  <si>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</si>
  <si>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</si>
  <si>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</si>
  <si>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</si>
  <si>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</si>
  <si>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</si>
  <si>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</si>
  <si>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</si>
  <si>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</si>
  <si>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</si>
  <si>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</si>
  <si>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</si>
  <si>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</si>
  <si>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</si>
  <si>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Changed 9a to reflect General Fund Detail (GenDetail) is linked to the General Fund (general) and that detail 'Page Total' amounts should agree to 'Sub-Total' on the General Fund page.</t>
  </si>
  <si>
    <t>13. Added 9j to 9l for additional edits for budget authority.</t>
  </si>
  <si>
    <t>The following were changed to this spreadsheet on 8/25/08</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</si>
  <si>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</si>
  <si>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</si>
  <si>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</si>
  <si>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</si>
  <si>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72 change from Budget Summary to Budget Certificate.</t>
  </si>
  <si>
    <t>The following were changed to this spreadsheet on 6/16/09</t>
  </si>
  <si>
    <t>1. Mvalloc tab, 'Budget Tax Levy Amount for -1' links for amounts from 'inputPrYr' were changed to reflect column 'D' to column 'E'.</t>
  </si>
  <si>
    <t>forms in the appropriate locations. If any of the numbers are wrong, change them on this  input sheet.</t>
  </si>
  <si>
    <t xml:space="preserve">Enter the following information from the sources shown.  This information will be entered on the budget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</si>
  <si>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</si>
  <si>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</si>
  <si>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Budget Tax Levy </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</si>
  <si>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</si>
  <si>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</si>
  <si>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</si>
  <si>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</si>
  <si>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</si>
  <si>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</si>
  <si>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</si>
  <si>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</si>
  <si>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</si>
  <si>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</si>
  <si>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</si>
  <si>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</si>
  <si>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</si>
  <si>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</si>
  <si>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</si>
  <si>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</si>
  <si>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</si>
  <si>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The following were changed to this spreadsheet on 10/5/09</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</si>
  <si>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</si>
  <si>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</si>
  <si>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</si>
  <si>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</si>
  <si>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</si>
  <si>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</si>
  <si>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</si>
  <si>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</si>
  <si>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</si>
  <si>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</si>
  <si>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</si>
  <si>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</si>
  <si>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</si>
  <si>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</si>
  <si>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</si>
  <si>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</si>
  <si>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</si>
  <si>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</si>
  <si>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</si>
  <si>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</si>
  <si>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</si>
  <si>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</si>
  <si>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</si>
  <si>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</si>
  <si>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</si>
  <si>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</si>
  <si>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</si>
  <si>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</si>
  <si>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</si>
  <si>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</si>
  <si>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</si>
  <si>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</si>
  <si>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</si>
  <si>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</si>
  <si>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</si>
  <si>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InputPrYr tab changed line A51 from Bond &amp; Interest to Debt Service</t>
  </si>
  <si>
    <t>10. InputOth tab changed line A30 from Bonda &amp; Interest to Debt Service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</si>
  <si>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</si>
  <si>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</si>
  <si>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</si>
  <si>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</si>
  <si>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</si>
  <si>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</si>
  <si>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</si>
  <si>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</si>
  <si>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</si>
  <si>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</si>
  <si>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</si>
  <si>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</si>
  <si>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</si>
  <si>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</si>
  <si>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</si>
  <si>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</si>
  <si>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</si>
  <si>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</si>
  <si>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</si>
  <si>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</si>
  <si>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</si>
  <si>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</si>
  <si>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</si>
  <si>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</si>
  <si>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</si>
  <si>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</si>
  <si>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</si>
  <si>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</si>
  <si>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</si>
  <si>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</si>
  <si>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</si>
  <si>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</si>
  <si>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</si>
  <si>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</si>
  <si>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</si>
  <si>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</si>
  <si>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</si>
  <si>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</si>
  <si>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</si>
  <si>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</si>
  <si>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</si>
  <si>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</si>
  <si>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</si>
  <si>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</si>
  <si>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</si>
  <si>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</si>
  <si>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</si>
  <si>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</si>
  <si>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</si>
  <si>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</si>
  <si>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</si>
  <si>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</si>
  <si>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</si>
  <si>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</si>
  <si>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</si>
  <si>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</si>
  <si>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</si>
  <si>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</si>
  <si>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</si>
  <si>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</si>
  <si>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</si>
  <si>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</si>
  <si>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</si>
  <si>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</si>
  <si>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</si>
  <si>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</si>
  <si>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</si>
  <si>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</si>
  <si>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</si>
  <si>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</si>
  <si>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</si>
  <si>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</si>
  <si>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</si>
  <si>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</si>
  <si>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</si>
  <si>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</si>
  <si>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</si>
  <si>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</si>
  <si>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</si>
  <si>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</si>
  <si>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</si>
  <si>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</si>
  <si>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</si>
  <si>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</si>
  <si>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</si>
  <si>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</si>
  <si>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</si>
  <si>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</si>
  <si>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</si>
  <si>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</si>
  <si>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</si>
  <si>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</si>
  <si>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</si>
  <si>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</si>
  <si>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</si>
  <si>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</si>
  <si>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</si>
  <si>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</si>
  <si>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</si>
  <si>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</si>
  <si>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</si>
  <si>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</si>
  <si>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</si>
  <si>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</si>
  <si>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</si>
  <si>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</si>
  <si>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</si>
  <si>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</si>
  <si>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</si>
  <si>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</si>
  <si>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</si>
  <si>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</si>
  <si>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</si>
  <si>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</si>
  <si>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</si>
  <si>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</si>
  <si>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</si>
  <si>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</si>
  <si>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</si>
  <si>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</si>
  <si>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</si>
  <si>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</si>
  <si>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</si>
  <si>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</si>
  <si>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</si>
  <si>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</si>
  <si>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</si>
  <si>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</si>
  <si>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</si>
  <si>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</si>
  <si>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</si>
  <si>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</si>
  <si>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</si>
  <si>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</si>
  <si>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</si>
  <si>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</si>
  <si>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</si>
  <si>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</si>
  <si>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</si>
  <si>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</si>
  <si>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</si>
  <si>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</si>
  <si>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</si>
  <si>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</si>
  <si>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</si>
  <si>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</si>
  <si>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</si>
  <si>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</si>
  <si>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</si>
  <si>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</si>
  <si>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</si>
  <si>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</si>
  <si>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</si>
  <si>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</si>
  <si>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</si>
  <si>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</si>
  <si>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</si>
  <si>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</si>
  <si>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</si>
  <si>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</si>
  <si>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</si>
  <si>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</si>
  <si>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</si>
  <si>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</si>
  <si>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</si>
  <si>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</si>
  <si>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</si>
  <si>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</si>
  <si>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</si>
  <si>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</si>
  <si>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</si>
  <si>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</si>
  <si>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</si>
  <si>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</si>
  <si>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</si>
  <si>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</si>
  <si>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</si>
  <si>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</si>
  <si>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</si>
  <si>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</si>
  <si>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</si>
  <si>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</si>
  <si>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</si>
  <si>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</si>
  <si>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</si>
  <si>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</si>
  <si>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</si>
  <si>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</si>
  <si>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</si>
  <si>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</si>
  <si>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</si>
  <si>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</si>
  <si>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</si>
  <si>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</si>
  <si>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</si>
  <si>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</si>
  <si>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</si>
  <si>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</si>
  <si>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</si>
  <si>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</si>
  <si>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</si>
  <si>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</si>
  <si>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</si>
  <si>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</si>
  <si>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</si>
  <si>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</si>
  <si>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</si>
  <si>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</si>
  <si>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</si>
  <si>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</si>
  <si>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</si>
  <si>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</si>
  <si>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</si>
  <si>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</si>
  <si>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</si>
  <si>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</si>
  <si>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</si>
  <si>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</si>
  <si>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</si>
  <si>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</si>
  <si>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</si>
  <si>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</si>
  <si>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</si>
  <si>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</si>
  <si>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</si>
  <si>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t>4c. The Certificate page allows for up to four counties assessed valuation.</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</si>
  <si>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</si>
  <si>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</si>
  <si>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is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</si>
  <si>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</si>
  <si>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</si>
  <si>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</si>
  <si>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</si>
  <si>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</si>
  <si>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</si>
  <si>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</si>
  <si>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</si>
  <si>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</si>
  <si>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</si>
  <si>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</si>
  <si>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</si>
  <si>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</si>
  <si>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</si>
  <si>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</si>
  <si>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</si>
  <si>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</si>
  <si>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Expenditure</t>
  </si>
  <si>
    <t>Receipt</t>
  </si>
  <si>
    <t xml:space="preserve">Fund Transferred </t>
  </si>
  <si>
    <t>Fund Transferred</t>
  </si>
  <si>
    <t>*Note:</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</si>
  <si>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</si>
  <si>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</si>
  <si>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</si>
  <si>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</si>
  <si>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</si>
  <si>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</si>
  <si>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</si>
  <si>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Does miscellaneous exceed 10% of Total Rec</t>
  </si>
  <si>
    <t>Does miscellaneous exceed 10% of Total Exp</t>
  </si>
  <si>
    <t>Official Title:</t>
  </si>
  <si>
    <t>City Clerk, City Treasurer, Mayor</t>
  </si>
  <si>
    <t>City Official Title:</t>
  </si>
  <si>
    <t>(Includes Carryover)</t>
  </si>
  <si>
    <t>Beginning Amt.</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</si>
  <si>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</si>
  <si>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</si>
  <si>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</si>
  <si>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</si>
  <si>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</si>
  <si>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</si>
  <si>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</si>
  <si>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</si>
  <si>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</si>
  <si>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</si>
  <si>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</si>
  <si>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</si>
  <si>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</si>
  <si>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</si>
  <si>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</si>
  <si>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</si>
  <si>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</si>
  <si>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</si>
  <si>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</si>
  <si>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</si>
  <si>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</si>
  <si>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</si>
  <si>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</si>
  <si>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</si>
  <si>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</si>
  <si>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</si>
  <si>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</si>
  <si>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</si>
  <si>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</si>
  <si>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</si>
  <si>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</si>
  <si>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</si>
  <si>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</si>
  <si>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</si>
  <si>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</si>
  <si>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</si>
  <si>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</si>
  <si>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</si>
  <si>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</si>
  <si>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</si>
  <si>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</si>
  <si>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</si>
  <si>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</si>
  <si>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</si>
  <si>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</si>
  <si>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</si>
  <si>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</si>
  <si>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</si>
  <si>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</si>
  <si>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</si>
  <si>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</si>
  <si>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</si>
  <si>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</si>
  <si>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</si>
  <si>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</si>
  <si>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</si>
  <si>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</si>
  <si>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</si>
  <si>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</si>
  <si>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</si>
  <si>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</si>
  <si>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</si>
  <si>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</si>
  <si>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</si>
  <si>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</si>
  <si>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</si>
  <si>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</si>
  <si>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</si>
  <si>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</si>
  <si>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</si>
  <si>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</si>
  <si>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</si>
  <si>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</si>
  <si>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</si>
  <si>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</si>
  <si>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</si>
  <si>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</si>
  <si>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</si>
  <si>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</si>
  <si>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</si>
  <si>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</si>
  <si>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Non-Appropriated Balance</t>
  </si>
  <si>
    <t>Total Expenditure/Non-Appr Balance</t>
  </si>
  <si>
    <t>Delinquent Comp Rate:</t>
  </si>
  <si>
    <t>The estimated value of one mill would be:</t>
  </si>
  <si>
    <t>Change in Ad Valorem Tax Revenue:</t>
  </si>
  <si>
    <t>What Mill Rate Would Be Desired?</t>
  </si>
  <si>
    <t>The following were changed to this spreadsheet on 9/1/10</t>
  </si>
  <si>
    <t>1. All pages removed the revision date</t>
  </si>
  <si>
    <t>2. All tax levy fund pages reduced the columns and revised the bottom of pages for see tabs</t>
  </si>
  <si>
    <t>for Expenditures</t>
  </si>
  <si>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</si>
  <si>
    <t xml:space="preserve">2. The information entered into the Input Other (inputOth) worksheet is obtained from the County Clerk, County Treasurer, League of Municipalities "Budget Tips", and the budget from two years ago (the year for actual year column of the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</si>
  <si>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</si>
  <si>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</si>
  <si>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</si>
  <si>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</si>
  <si>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</si>
  <si>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xml:space="preserve"> the proposed column miscellaneous receipt also takes into consideration the amount of ad valorem taxes in determining the 10% Rule.</t>
    </r>
  </si>
  <si>
    <t xml:space="preserve">10g. The Large No Levy page (Sinnolevy14) is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</si>
  <si>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</si>
  <si>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</si>
  <si>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block turns to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</si>
  <si>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</si>
  <si>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</si>
  <si>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</si>
  <si>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</si>
  <si>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</si>
  <si>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</si>
  <si>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Compensating Use Tax</t>
  </si>
  <si>
    <t>Desired Carryover Amount:</t>
  </si>
  <si>
    <t>Estimated Mill Rate Impact:</t>
  </si>
  <si>
    <t xml:space="preserve">This spreadsheet was designed for a City having up to four counties providing budget information.  Additionally, the spreadsheet has General, Debt Service, 5 tax levy fund pages, Special Highway, five no tax levy fund pages, one full page no tax levy fund page, and a non-budgeted fund page holding up to five funds.  </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</si>
  <si>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</si>
  <si>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10.  The spreadsheet has individual fund sheets for General Fund (general), Debt Service with one tax levy fund (DebtService), four levy pages (levy page8 and levy page9), Special Highway Fund (SpecHwy), five no levy fund pages (no levy page11, no levy page12, and one fund below on Special Highway), and one large no levy fund page (LG no levy page13).  Only complete the fund pages needed.  When the fund pages are completed, the totals will be shown on the Certificate and Budget Summary pages.</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</si>
  <si>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</si>
  <si>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</si>
  <si>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</si>
  <si>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</si>
  <si>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</si>
  <si>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</si>
  <si>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</si>
  <si>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3. Instruction tab added lines 4d (cert-rec), 14(project carryover), 14a (Desired Carryover), and 15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</si>
  <si>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</si>
  <si>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</si>
  <si>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</si>
  <si>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</si>
  <si>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</si>
  <si>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</si>
  <si>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</si>
  <si>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</si>
  <si>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</si>
  <si>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</si>
  <si>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 tax levy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</si>
  <si>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</si>
  <si>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</si>
  <si>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</si>
  <si>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</si>
  <si>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</si>
  <si>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</si>
  <si>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</si>
  <si>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</si>
  <si>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</si>
  <si>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</si>
  <si>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</si>
  <si>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</si>
  <si>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</si>
  <si>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</si>
  <si>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</si>
  <si>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</si>
  <si>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</si>
  <si>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</si>
  <si>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</si>
  <si>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</si>
  <si>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</si>
  <si>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</si>
  <si>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</si>
  <si>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</si>
  <si>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</si>
  <si>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City of Vining</t>
  </si>
  <si>
    <t>Clay County</t>
  </si>
  <si>
    <t>Washington</t>
  </si>
  <si>
    <t>Parks &amp; Recreation</t>
  </si>
  <si>
    <t>Capital Outlay</t>
  </si>
  <si>
    <t>Insurance Dividends</t>
  </si>
  <si>
    <t>Utilities</t>
  </si>
  <si>
    <t>Postage &amp; Publication</t>
  </si>
  <si>
    <t>Mowing</t>
  </si>
  <si>
    <t>Insurance</t>
  </si>
  <si>
    <t>Donations</t>
  </si>
  <si>
    <t>Fire Protection</t>
  </si>
  <si>
    <t>License Fees</t>
  </si>
  <si>
    <t>Park Improv (General Fund)</t>
  </si>
  <si>
    <t>Payroll Taxes</t>
  </si>
  <si>
    <t>Operating Expenses</t>
  </si>
  <si>
    <t>NONE</t>
  </si>
  <si>
    <t>Other Operating</t>
  </si>
  <si>
    <t>Local Alcholic Liquor Tax</t>
  </si>
  <si>
    <t>Equipment</t>
  </si>
  <si>
    <t>None</t>
  </si>
  <si>
    <t>12-1,118</t>
  </si>
  <si>
    <t>8:00 p.m.</t>
  </si>
  <si>
    <t>Vining City Hall</t>
  </si>
  <si>
    <t>109 Scribner St, Vining, KS</t>
  </si>
  <si>
    <t>Transfers to Capital Outlay</t>
  </si>
  <si>
    <t>Tran fm General</t>
  </si>
  <si>
    <t>Mark Handshy</t>
  </si>
  <si>
    <t>Municipal Services</t>
  </si>
  <si>
    <t>23rd day of August, 2011</t>
  </si>
  <si>
    <t>Jacqueline Koch</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</si>
</sst>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409]dddd\,\ mmmm\ dd\,\ yyyy"/>
    <numFmt numFmtId="192" formatCode="&quot;$&quot;#,##0"/>
    <numFmt numFmtId="193" formatCode="&quot;$&quot;#,##0.00"/>
    <numFmt numFmtId="194" formatCode="\1\1\-\1\2\2\2"/>
    <numFmt numFmtId="195" formatCode="m/d/yy;@"/>
    <numFmt numFmtId="196" formatCode="#,###"/>
  </numFmts>
  <fonts count="81">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8"/>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color indexed="63"/>
      </left>
      <right>
        <color indexed="63"/>
      </right>
      <top>
        <color indexed="63"/>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double"/>
      <bottom style="thin"/>
    </border>
    <border>
      <left style="thin"/>
      <right style="thin"/>
      <top>
        <color indexed="63"/>
      </top>
      <bottom style="double"/>
    </border>
    <border>
      <left style="thin"/>
      <right style="thin"/>
      <top style="medium"/>
      <bottom style="double"/>
    </border>
    <border>
      <left style="thin"/>
      <right style="thin"/>
      <top style="medium"/>
      <bottom style="thin"/>
    </border>
  </borders>
  <cellStyleXfs count="3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37">
    <xf numFmtId="0" fontId="0" fillId="0" borderId="0" xfId="0" applyAlignment="1">
      <alignment/>
    </xf>
    <xf numFmtId="0" fontId="6" fillId="0" borderId="0" xfId="0" applyFont="1" applyAlignment="1">
      <alignment/>
    </xf>
    <xf numFmtId="0" fontId="13" fillId="0" borderId="0" xfId="0" applyFont="1" applyAlignment="1">
      <alignment vertical="justify" wrapText="1"/>
    </xf>
    <xf numFmtId="0" fontId="0" fillId="0" borderId="0" xfId="0" applyAlignment="1">
      <alignment vertical="justify" wrapText="1"/>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33" borderId="0" xfId="0" applyFont="1" applyFill="1" applyAlignment="1">
      <alignment vertical="center"/>
    </xf>
    <xf numFmtId="0" fontId="6" fillId="0" borderId="0" xfId="0" applyFont="1" applyFill="1" applyAlignment="1">
      <alignment vertical="center"/>
    </xf>
    <xf numFmtId="0" fontId="6" fillId="34" borderId="0" xfId="0" applyFont="1" applyFill="1" applyAlignment="1">
      <alignment vertical="center" wrapText="1"/>
    </xf>
    <xf numFmtId="0" fontId="6" fillId="35" borderId="0" xfId="0" applyFont="1" applyFill="1" applyAlignment="1">
      <alignment vertical="center" wrapText="1"/>
    </xf>
    <xf numFmtId="0" fontId="6" fillId="3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center" vertical="center"/>
      <protection/>
    </xf>
    <xf numFmtId="0" fontId="6" fillId="0" borderId="0" xfId="0" applyFont="1" applyAlignment="1" applyProtection="1">
      <alignment vertical="center"/>
      <protection locked="0"/>
    </xf>
    <xf numFmtId="0" fontId="6" fillId="34" borderId="0" xfId="0" applyFont="1" applyFill="1" applyAlignment="1" applyProtection="1">
      <alignment vertical="center"/>
      <protection locked="0"/>
    </xf>
    <xf numFmtId="0" fontId="0" fillId="34" borderId="0" xfId="0" applyFill="1" applyAlignment="1">
      <alignment horizontal="center" vertical="center"/>
    </xf>
    <xf numFmtId="37" fontId="5" fillId="34" borderId="0" xfId="0" applyNumberFormat="1" applyFont="1" applyFill="1" applyAlignment="1" applyProtection="1">
      <alignment horizontal="left" vertical="center"/>
      <protection/>
    </xf>
    <xf numFmtId="0" fontId="6" fillId="34" borderId="0" xfId="0" applyFont="1" applyFill="1" applyAlignment="1" applyProtection="1">
      <alignment vertical="center"/>
      <protection/>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xf>
    <xf numFmtId="37" fontId="6" fillId="33" borderId="11" xfId="0" applyNumberFormat="1" applyFont="1" applyFill="1" applyBorder="1" applyAlignment="1" applyProtection="1">
      <alignment horizontal="left" vertical="center"/>
      <protection locked="0"/>
    </xf>
    <xf numFmtId="0" fontId="6" fillId="33" borderId="11"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7" fontId="6" fillId="34" borderId="0" xfId="0" applyNumberFormat="1" applyFont="1" applyFill="1" applyAlignment="1" applyProtection="1">
      <alignment horizontal="left" vertical="center"/>
      <protection/>
    </xf>
    <xf numFmtId="0" fontId="5" fillId="33" borderId="12" xfId="0" applyFont="1" applyFill="1" applyBorder="1" applyAlignment="1" applyProtection="1">
      <alignment horizontal="center" vertical="center"/>
      <protection locked="0"/>
    </xf>
    <xf numFmtId="0" fontId="6" fillId="34" borderId="0" xfId="0"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5" fillId="37" borderId="0" xfId="0" applyFont="1" applyFill="1" applyAlignment="1" applyProtection="1">
      <alignment vertical="center"/>
      <protection/>
    </xf>
    <xf numFmtId="0" fontId="6" fillId="37" borderId="0" xfId="0" applyFont="1" applyFill="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vertical="center"/>
      <protection/>
    </xf>
    <xf numFmtId="0" fontId="7" fillId="37" borderId="13" xfId="0" applyFont="1" applyFill="1" applyBorder="1" applyAlignment="1" applyProtection="1">
      <alignment horizontal="center" vertical="center"/>
      <protection/>
    </xf>
    <xf numFmtId="37" fontId="6" fillId="34" borderId="0" xfId="0" applyNumberFormat="1" applyFont="1" applyFill="1" applyAlignment="1" applyProtection="1">
      <alignment horizontal="center" vertical="center"/>
      <protection/>
    </xf>
    <xf numFmtId="37" fontId="6" fillId="37" borderId="14" xfId="0" applyNumberFormat="1" applyFont="1" applyFill="1" applyBorder="1" applyAlignment="1" applyProtection="1">
      <alignment horizontal="center" vertical="center" wrapText="1"/>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3" borderId="12" xfId="0"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37"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9" borderId="12" xfId="0" applyNumberFormat="1" applyFont="1" applyFill="1" applyBorder="1" applyAlignment="1" applyProtection="1">
      <alignment vertical="center"/>
      <protection/>
    </xf>
    <xf numFmtId="164" fontId="6" fillId="34" borderId="12" xfId="0" applyNumberFormat="1" applyFont="1" applyFill="1" applyBorder="1" applyAlignment="1" applyProtection="1">
      <alignment vertical="center"/>
      <protection/>
    </xf>
    <xf numFmtId="3" fontId="6" fillId="33" borderId="12" xfId="0" applyNumberFormat="1" applyFont="1" applyFill="1" applyBorder="1" applyAlignment="1" applyProtection="1">
      <alignment vertical="center"/>
      <protection locked="0"/>
    </xf>
    <xf numFmtId="164" fontId="6" fillId="33" borderId="12" xfId="0" applyNumberFormat="1" applyFont="1" applyFill="1" applyBorder="1" applyAlignment="1" applyProtection="1">
      <alignment vertical="center"/>
      <protection locked="0"/>
    </xf>
    <xf numFmtId="164" fontId="6" fillId="34" borderId="0"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4" borderId="0" xfId="0" applyNumberFormat="1"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37" fontId="5" fillId="34" borderId="0" xfId="0" applyNumberFormat="1" applyFont="1" applyFill="1" applyBorder="1" applyAlignment="1" applyProtection="1">
      <alignment horizontal="left" vertical="center"/>
      <protection/>
    </xf>
    <xf numFmtId="37" fontId="6" fillId="37" borderId="0" xfId="0" applyNumberFormat="1" applyFont="1" applyFill="1" applyAlignment="1" applyProtection="1">
      <alignment horizontal="center" vertical="center"/>
      <protection/>
    </xf>
    <xf numFmtId="0" fontId="6" fillId="37" borderId="10" xfId="0" applyFont="1" applyFill="1" applyBorder="1" applyAlignment="1">
      <alignment horizontal="center" vertical="center"/>
    </xf>
    <xf numFmtId="37" fontId="6" fillId="34" borderId="12" xfId="0" applyNumberFormat="1" applyFont="1" applyFill="1" applyBorder="1" applyAlignment="1" applyProtection="1">
      <alignment vertical="center"/>
      <protection/>
    </xf>
    <xf numFmtId="169" fontId="6" fillId="33" borderId="12" xfId="0" applyNumberFormat="1" applyFont="1" applyFill="1" applyBorder="1" applyAlignment="1" applyProtection="1">
      <alignment vertical="center"/>
      <protection locked="0"/>
    </xf>
    <xf numFmtId="0" fontId="6" fillId="34" borderId="16" xfId="0" applyFont="1" applyFill="1" applyBorder="1" applyAlignment="1" applyProtection="1">
      <alignment vertical="center"/>
      <protection/>
    </xf>
    <xf numFmtId="169" fontId="6" fillId="39" borderId="12" xfId="0" applyNumberFormat="1" applyFont="1" applyFill="1" applyBorder="1" applyAlignment="1" applyProtection="1">
      <alignment vertical="center"/>
      <protection/>
    </xf>
    <xf numFmtId="37" fontId="6" fillId="37" borderId="10" xfId="0" applyNumberFormat="1" applyFont="1" applyFill="1" applyBorder="1" applyAlignment="1" applyProtection="1">
      <alignment horizontal="left" vertical="center"/>
      <protection/>
    </xf>
    <xf numFmtId="0" fontId="6" fillId="37" borderId="10" xfId="0" applyFont="1" applyFill="1" applyBorder="1" applyAlignment="1" applyProtection="1">
      <alignment vertical="center"/>
      <protection/>
    </xf>
    <xf numFmtId="0" fontId="6" fillId="37" borderId="11" xfId="0" applyFont="1" applyFill="1" applyBorder="1" applyAlignment="1" applyProtection="1">
      <alignment vertical="center"/>
      <protection/>
    </xf>
    <xf numFmtId="0" fontId="6" fillId="34" borderId="11" xfId="0" applyFont="1" applyFill="1" applyBorder="1" applyAlignment="1" applyProtection="1">
      <alignment vertical="center"/>
      <protection/>
    </xf>
    <xf numFmtId="0" fontId="6" fillId="34" borderId="17" xfId="0" applyFont="1" applyFill="1" applyBorder="1" applyAlignment="1" applyProtection="1">
      <alignment vertical="center"/>
      <protection/>
    </xf>
    <xf numFmtId="0" fontId="6" fillId="37"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locked="0"/>
    </xf>
    <xf numFmtId="0" fontId="6" fillId="37" borderId="10" xfId="0" applyFont="1" applyFill="1" applyBorder="1" applyAlignment="1" applyProtection="1">
      <alignment vertical="center"/>
      <protection locked="0"/>
    </xf>
    <xf numFmtId="0" fontId="6" fillId="34" borderId="16" xfId="0" applyFont="1" applyFill="1" applyBorder="1" applyAlignment="1" applyProtection="1">
      <alignment vertical="center"/>
      <protection locked="0"/>
    </xf>
    <xf numFmtId="0" fontId="6" fillId="37" borderId="11" xfId="0" applyFont="1" applyFill="1" applyBorder="1" applyAlignment="1" applyProtection="1">
      <alignment vertical="center"/>
      <protection locked="0"/>
    </xf>
    <xf numFmtId="0" fontId="6" fillId="34" borderId="17" xfId="0" applyFont="1" applyFill="1" applyBorder="1" applyAlignment="1" applyProtection="1">
      <alignment vertical="center"/>
      <protection locked="0"/>
    </xf>
    <xf numFmtId="0" fontId="0" fillId="0" borderId="0" xfId="0" applyAlignment="1">
      <alignment vertical="center"/>
    </xf>
    <xf numFmtId="37" fontId="6" fillId="34" borderId="0" xfId="0" applyNumberFormat="1" applyFont="1" applyFill="1" applyAlignment="1">
      <alignment vertical="center"/>
    </xf>
    <xf numFmtId="0" fontId="0" fillId="34" borderId="0" xfId="0" applyFill="1" applyAlignment="1">
      <alignment vertical="center"/>
    </xf>
    <xf numFmtId="37" fontId="6" fillId="34" borderId="16"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left" vertical="center"/>
      <protection/>
    </xf>
    <xf numFmtId="3" fontId="6" fillId="33" borderId="1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6" fillId="34" borderId="12" xfId="0" applyNumberFormat="1" applyFont="1" applyFill="1" applyBorder="1" applyAlignment="1" applyProtection="1">
      <alignment horizontal="center" vertical="center" wrapText="1"/>
      <protection/>
    </xf>
    <xf numFmtId="37" fontId="6" fillId="33" borderId="12" xfId="0" applyNumberFormat="1" applyFont="1" applyFill="1" applyBorder="1" applyAlignment="1" applyProtection="1">
      <alignment horizontal="right" vertical="center" wrapText="1"/>
      <protection locked="0"/>
    </xf>
    <xf numFmtId="37" fontId="6" fillId="39" borderId="12" xfId="0" applyNumberFormat="1" applyFont="1" applyFill="1" applyBorder="1" applyAlignment="1" applyProtection="1">
      <alignment horizontal="right" vertical="center" wrapText="1"/>
      <protection/>
    </xf>
    <xf numFmtId="0" fontId="5" fillId="34" borderId="18" xfId="0" applyFont="1" applyFill="1" applyBorder="1" applyAlignment="1" applyProtection="1">
      <alignment horizontal="center" vertical="center"/>
      <protection/>
    </xf>
    <xf numFmtId="169" fontId="6" fillId="33" borderId="10" xfId="0" applyNumberFormat="1" applyFont="1" applyFill="1" applyBorder="1" applyAlignment="1" applyProtection="1">
      <alignment vertical="center"/>
      <protection locked="0"/>
    </xf>
    <xf numFmtId="169" fontId="6" fillId="33" borderId="11" xfId="0" applyNumberFormat="1" applyFont="1" applyFill="1" applyBorder="1" applyAlignment="1" applyProtection="1">
      <alignment vertical="center"/>
      <protection locked="0"/>
    </xf>
    <xf numFmtId="0" fontId="6" fillId="34" borderId="19" xfId="0" applyFont="1" applyFill="1" applyBorder="1" applyAlignment="1" applyProtection="1">
      <alignment vertical="center"/>
      <protection/>
    </xf>
    <xf numFmtId="169" fontId="6"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3" fontId="0" fillId="34" borderId="0" xfId="0" applyNumberFormat="1" applyFill="1" applyBorder="1" applyAlignment="1" applyProtection="1">
      <alignment vertical="center"/>
      <protection locked="0"/>
    </xf>
    <xf numFmtId="0" fontId="14" fillId="34" borderId="0" xfId="0" applyFont="1" applyFill="1" applyBorder="1" applyAlignment="1" applyProtection="1">
      <alignment horizontal="center" vertical="center"/>
      <protection/>
    </xf>
    <xf numFmtId="37" fontId="14" fillId="37" borderId="0" xfId="0" applyNumberFormat="1" applyFont="1" applyFill="1" applyAlignment="1" applyProtection="1">
      <alignment horizontal="left" vertical="center"/>
      <protection/>
    </xf>
    <xf numFmtId="3" fontId="6" fillId="37" borderId="0" xfId="0" applyNumberFormat="1" applyFont="1" applyFill="1" applyAlignment="1" applyProtection="1">
      <alignment vertical="center"/>
      <protection/>
    </xf>
    <xf numFmtId="3" fontId="6" fillId="35" borderId="0" xfId="0" applyNumberFormat="1" applyFont="1" applyFill="1" applyAlignment="1" applyProtection="1">
      <alignment vertical="center"/>
      <protection/>
    </xf>
    <xf numFmtId="37" fontId="5" fillId="34" borderId="20"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lignment horizontal="left" vertical="center"/>
    </xf>
    <xf numFmtId="37" fontId="6" fillId="34" borderId="22" xfId="0" applyNumberFormat="1" applyFont="1" applyFill="1" applyBorder="1" applyAlignment="1" applyProtection="1">
      <alignment horizontal="left" vertical="center"/>
      <protection/>
    </xf>
    <xf numFmtId="3" fontId="6" fillId="33" borderId="17" xfId="0" applyNumberFormat="1" applyFont="1" applyFill="1" applyBorder="1" applyAlignment="1" applyProtection="1">
      <alignment vertical="center"/>
      <protection locked="0"/>
    </xf>
    <xf numFmtId="3" fontId="6" fillId="39" borderId="17" xfId="0" applyNumberFormat="1" applyFont="1" applyFill="1" applyBorder="1" applyAlignment="1" applyProtection="1">
      <alignment vertical="center"/>
      <protection/>
    </xf>
    <xf numFmtId="3" fontId="6" fillId="34" borderId="17" xfId="0" applyNumberFormat="1" applyFont="1" applyFill="1" applyBorder="1" applyAlignment="1" applyProtection="1">
      <alignment vertical="center"/>
      <protection/>
    </xf>
    <xf numFmtId="3" fontId="6" fillId="40" borderId="12" xfId="0" applyNumberFormat="1" applyFont="1" applyFill="1" applyBorder="1" applyAlignment="1">
      <alignment vertical="center"/>
    </xf>
    <xf numFmtId="0" fontId="6" fillId="34" borderId="0" xfId="0" applyFont="1" applyFill="1" applyAlignment="1" applyProtection="1">
      <alignment horizontal="center" vertical="center"/>
      <protection/>
    </xf>
    <xf numFmtId="0" fontId="6" fillId="34" borderId="0" xfId="0" applyFont="1" applyFill="1" applyAlignment="1">
      <alignment horizontal="center" vertical="center"/>
    </xf>
    <xf numFmtId="169" fontId="6" fillId="33" borderId="12" xfId="0" applyNumberFormat="1" applyFont="1" applyFill="1" applyBorder="1" applyAlignment="1" applyProtection="1">
      <alignment vertical="center"/>
      <protection locked="0"/>
    </xf>
    <xf numFmtId="37" fontId="6" fillId="36" borderId="0" xfId="0" applyNumberFormat="1" applyFont="1" applyFill="1" applyBorder="1" applyAlignment="1" applyProtection="1">
      <alignment horizontal="left" vertical="center"/>
      <protection/>
    </xf>
    <xf numFmtId="0" fontId="6" fillId="36" borderId="0" xfId="0" applyFont="1" applyFill="1" applyBorder="1" applyAlignment="1" applyProtection="1">
      <alignment vertical="center"/>
      <protection/>
    </xf>
    <xf numFmtId="188" fontId="6" fillId="36" borderId="0" xfId="0" applyNumberFormat="1" applyFont="1" applyFill="1" applyBorder="1" applyAlignment="1" applyProtection="1">
      <alignment vertical="center"/>
      <protection locked="0"/>
    </xf>
    <xf numFmtId="0" fontId="0" fillId="36" borderId="0" xfId="0" applyFill="1" applyAlignment="1">
      <alignment vertical="center"/>
    </xf>
    <xf numFmtId="0" fontId="5"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0" fillId="38" borderId="0" xfId="0" applyFill="1" applyAlignment="1">
      <alignment vertical="center"/>
    </xf>
    <xf numFmtId="0" fontId="6"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6"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xf>
    <xf numFmtId="0" fontId="18" fillId="34" borderId="0" xfId="0" applyFont="1" applyFill="1" applyAlignment="1">
      <alignment vertical="center"/>
    </xf>
    <xf numFmtId="0" fontId="20" fillId="34" borderId="0" xfId="0" applyFont="1" applyFill="1" applyAlignment="1">
      <alignment vertical="center"/>
    </xf>
    <xf numFmtId="37" fontId="6" fillId="34" borderId="12" xfId="0" applyNumberFormat="1" applyFont="1" applyFill="1" applyBorder="1" applyAlignment="1">
      <alignment vertical="center"/>
    </xf>
    <xf numFmtId="0" fontId="4" fillId="34" borderId="0" xfId="0" applyFont="1" applyFill="1" applyAlignment="1" applyProtection="1">
      <alignment vertical="center"/>
      <protection locked="0"/>
    </xf>
    <xf numFmtId="1" fontId="6" fillId="3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3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10" xfId="0" applyFont="1" applyFill="1" applyBorder="1" applyAlignment="1" applyProtection="1">
      <alignment vertical="center"/>
      <protection/>
    </xf>
    <xf numFmtId="0" fontId="6" fillId="34" borderId="23" xfId="0" applyFont="1" applyFill="1" applyBorder="1" applyAlignment="1" applyProtection="1">
      <alignment vertical="center"/>
      <protection/>
    </xf>
    <xf numFmtId="1" fontId="6" fillId="34" borderId="22" xfId="0" applyNumberFormat="1" applyFont="1" applyFill="1" applyBorder="1" applyAlignment="1" applyProtection="1">
      <alignment horizontal="right" vertical="center"/>
      <protection/>
    </xf>
    <xf numFmtId="0" fontId="6" fillId="34" borderId="11" xfId="0" applyFont="1" applyFill="1" applyBorder="1" applyAlignment="1" applyProtection="1">
      <alignment horizontal="left" vertical="center"/>
      <protection/>
    </xf>
    <xf numFmtId="0" fontId="6" fillId="34" borderId="17" xfId="0" applyFont="1" applyFill="1" applyBorder="1" applyAlignment="1" applyProtection="1">
      <alignment horizontal="centerContinuous"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37" fontId="6" fillId="34"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24"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34" borderId="14" xfId="0" applyNumberFormat="1" applyFont="1" applyFill="1" applyBorder="1" applyAlignment="1" applyProtection="1">
      <alignment horizontal="left" vertical="center"/>
      <protection/>
    </xf>
    <xf numFmtId="37" fontId="14" fillId="34" borderId="14" xfId="0" applyNumberFormat="1"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37" fontId="6" fillId="39" borderId="12"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6" fillId="34" borderId="13" xfId="0" applyFont="1" applyFill="1" applyBorder="1" applyAlignment="1" applyProtection="1">
      <alignment vertical="center"/>
      <protection/>
    </xf>
    <xf numFmtId="37" fontId="5" fillId="34" borderId="25" xfId="0" applyNumberFormat="1" applyFont="1" applyFill="1" applyBorder="1" applyAlignment="1" applyProtection="1">
      <alignment horizontal="left" vertical="center"/>
      <protection/>
    </xf>
    <xf numFmtId="37" fontId="6" fillId="34" borderId="17" xfId="0" applyNumberFormat="1" applyFont="1" applyFill="1" applyBorder="1" applyAlignment="1" applyProtection="1">
      <alignment horizontal="fill" vertical="center"/>
      <protection/>
    </xf>
    <xf numFmtId="0" fontId="6" fillId="34" borderId="15" xfId="0" applyFont="1" applyFill="1" applyBorder="1" applyAlignment="1">
      <alignment horizontal="center" vertical="center"/>
    </xf>
    <xf numFmtId="37" fontId="6" fillId="40" borderId="14" xfId="0" applyNumberFormat="1" applyFont="1" applyFill="1" applyBorder="1" applyAlignment="1" applyProtection="1">
      <alignment horizontal="left" vertical="center"/>
      <protection/>
    </xf>
    <xf numFmtId="0" fontId="6" fillId="40" borderId="14" xfId="0" applyFont="1" applyFill="1" applyBorder="1" applyAlignment="1" applyProtection="1">
      <alignment vertical="center"/>
      <protection/>
    </xf>
    <xf numFmtId="37" fontId="7" fillId="34" borderId="24" xfId="0" applyNumberFormat="1" applyFont="1" applyFill="1" applyBorder="1" applyAlignment="1" applyProtection="1">
      <alignment horizontal="left" vertical="center"/>
      <protection/>
    </xf>
    <xf numFmtId="37" fontId="6" fillId="34" borderId="14" xfId="0" applyNumberFormat="1"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locked="0"/>
    </xf>
    <xf numFmtId="0" fontId="6" fillId="34" borderId="0" xfId="0" applyNumberFormat="1" applyFont="1" applyFill="1" applyBorder="1" applyAlignment="1" applyProtection="1">
      <alignment horizontal="left" vertical="center"/>
      <protection/>
    </xf>
    <xf numFmtId="37" fontId="6" fillId="34" borderId="0" xfId="0" applyNumberFormat="1" applyFont="1" applyFill="1" applyAlignment="1" applyProtection="1">
      <alignment horizontal="centerContinuous" vertical="center"/>
      <protection locked="0"/>
    </xf>
    <xf numFmtId="0" fontId="6" fillId="34" borderId="0" xfId="0" applyFont="1" applyFill="1" applyAlignment="1" applyProtection="1">
      <alignment horizontal="centerContinuous" vertical="center"/>
      <protection locked="0"/>
    </xf>
    <xf numFmtId="0" fontId="6" fillId="3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horizontal="righ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locked="0"/>
    </xf>
    <xf numFmtId="3" fontId="6" fillId="34" borderId="0" xfId="0" applyNumberFormat="1" applyFont="1" applyFill="1" applyBorder="1" applyAlignment="1" applyProtection="1">
      <alignment vertical="center"/>
      <protection/>
    </xf>
    <xf numFmtId="0" fontId="6" fillId="34" borderId="0" xfId="0" applyFont="1" applyFill="1" applyAlignment="1" applyProtection="1" quotePrefix="1">
      <alignment vertical="center"/>
      <protection/>
    </xf>
    <xf numFmtId="0" fontId="6" fillId="34" borderId="0" xfId="0" applyFont="1" applyFill="1" applyAlignment="1" applyProtection="1">
      <alignment horizontal="right" vertical="center"/>
      <protection/>
    </xf>
    <xf numFmtId="3" fontId="6" fillId="34" borderId="19"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locked="0"/>
    </xf>
    <xf numFmtId="0" fontId="8" fillId="0" borderId="0" xfId="0" applyFont="1" applyAlignment="1">
      <alignment vertical="center"/>
    </xf>
    <xf numFmtId="37" fontId="6" fillId="34" borderId="0" xfId="0" applyNumberFormat="1" applyFont="1" applyFill="1" applyAlignment="1" applyProtection="1">
      <alignment horizontal="right" vertical="center"/>
      <protection/>
    </xf>
    <xf numFmtId="0" fontId="6" fillId="34" borderId="13" xfId="0" applyFont="1" applyFill="1" applyBorder="1" applyAlignment="1" applyProtection="1">
      <alignment horizontal="center" vertical="center"/>
      <protection/>
    </xf>
    <xf numFmtId="0" fontId="6" fillId="34" borderId="24" xfId="0" applyNumberFormat="1" applyFont="1" applyFill="1" applyBorder="1" applyAlignment="1" applyProtection="1">
      <alignment horizontal="center" vertical="center"/>
      <protection/>
    </xf>
    <xf numFmtId="1" fontId="6" fillId="34" borderId="24"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3" fontId="6" fillId="39" borderId="27" xfId="0" applyNumberFormat="1" applyFont="1" applyFill="1" applyBorder="1" applyAlignment="1" applyProtection="1">
      <alignment horizontal="center" vertical="center"/>
      <protection/>
    </xf>
    <xf numFmtId="3" fontId="6" fillId="39" borderId="28" xfId="0" applyNumberFormat="1" applyFont="1" applyFill="1" applyBorder="1" applyAlignment="1" applyProtection="1">
      <alignment horizontal="center" vertical="center"/>
      <protection/>
    </xf>
    <xf numFmtId="166" fontId="6" fillId="34" borderId="0" xfId="0" applyNumberFormat="1" applyFont="1" applyFill="1" applyAlignment="1" applyProtection="1">
      <alignment vertical="center"/>
      <protection/>
    </xf>
    <xf numFmtId="171" fontId="6" fillId="39" borderId="10" xfId="0" applyNumberFormat="1" applyFont="1" applyFill="1" applyBorder="1" applyAlignment="1" applyProtection="1">
      <alignment vertical="center"/>
      <protection/>
    </xf>
    <xf numFmtId="0" fontId="6" fillId="34" borderId="0" xfId="0"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6" fillId="34" borderId="14" xfId="0" applyNumberFormat="1"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34" borderId="0" xfId="305" applyFont="1" applyFill="1" applyAlignment="1" applyProtection="1">
      <alignment horizontal="centerContinuous" vertical="center"/>
      <protection/>
    </xf>
    <xf numFmtId="0" fontId="6" fillId="34" borderId="10" xfId="0" applyFont="1" applyFill="1" applyBorder="1" applyAlignment="1" applyProtection="1">
      <alignment horizontal="fill" vertical="center"/>
      <protection/>
    </xf>
    <xf numFmtId="0" fontId="6" fillId="34" borderId="20" xfId="0"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24" xfId="0" applyFont="1" applyFill="1" applyBorder="1" applyAlignment="1" applyProtection="1">
      <alignment horizontal="center" vertical="center"/>
      <protection/>
    </xf>
    <xf numFmtId="0" fontId="6" fillId="34" borderId="25" xfId="0" applyFont="1" applyFill="1" applyBorder="1" applyAlignment="1" applyProtection="1">
      <alignment horizontal="center" vertical="center"/>
      <protection/>
    </xf>
    <xf numFmtId="0" fontId="6" fillId="34" borderId="12" xfId="0" applyFont="1" applyFill="1" applyBorder="1" applyAlignment="1" applyProtection="1">
      <alignment horizontal="left" vertical="center"/>
      <protection/>
    </xf>
    <xf numFmtId="0" fontId="6" fillId="34" borderId="14" xfId="0" applyFont="1" applyFill="1" applyBorder="1" applyAlignment="1" applyProtection="1">
      <alignment horizontal="center" vertical="center"/>
      <protection/>
    </xf>
    <xf numFmtId="2" fontId="6" fillId="34" borderId="12" xfId="0" applyNumberFormat="1" applyFont="1" applyFill="1" applyBorder="1" applyAlignment="1" applyProtection="1">
      <alignment vertical="center"/>
      <protection/>
    </xf>
    <xf numFmtId="0" fontId="6" fillId="33" borderId="12" xfId="0" applyFont="1" applyFill="1" applyBorder="1" applyAlignment="1" applyProtection="1">
      <alignment horizontal="center" vertical="center"/>
      <protection locked="0"/>
    </xf>
    <xf numFmtId="2" fontId="6" fillId="33" borderId="12" xfId="0" applyNumberFormat="1" applyFont="1" applyFill="1" applyBorder="1" applyAlignment="1" applyProtection="1">
      <alignment horizontal="center" vertical="center"/>
      <protection locked="0"/>
    </xf>
    <xf numFmtId="3" fontId="6" fillId="33" borderId="12" xfId="0" applyNumberFormat="1" applyFont="1" applyFill="1" applyBorder="1" applyAlignment="1" applyProtection="1">
      <alignment horizontal="center" vertical="center"/>
      <protection locked="0"/>
    </xf>
    <xf numFmtId="37" fontId="6" fillId="33" borderId="12" xfId="0" applyNumberFormat="1" applyFont="1" applyFill="1" applyBorder="1" applyAlignment="1" applyProtection="1">
      <alignment horizontal="center" vertical="center"/>
      <protection locked="0"/>
    </xf>
    <xf numFmtId="175" fontId="6" fillId="33" borderId="12" xfId="0" applyNumberFormat="1" applyFont="1" applyFill="1" applyBorder="1" applyAlignment="1" applyProtection="1">
      <alignment horizontal="center" vertical="center"/>
      <protection locked="0"/>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74" fontId="6" fillId="34" borderId="12" xfId="0" applyNumberFormat="1" applyFont="1" applyFill="1" applyBorder="1" applyAlignment="1" applyProtection="1">
      <alignment horizontal="center" vertical="center"/>
      <protection/>
    </xf>
    <xf numFmtId="2" fontId="6" fillId="34" borderId="12" xfId="0" applyNumberFormat="1" applyFont="1" applyFill="1" applyBorder="1" applyAlignment="1" applyProtection="1">
      <alignment horizontal="center" vertical="center"/>
      <protection/>
    </xf>
    <xf numFmtId="175" fontId="6" fillId="34"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 fontId="5" fillId="39" borderId="12" xfId="0" applyNumberFormat="1" applyFont="1" applyFill="1" applyBorder="1" applyAlignment="1" applyProtection="1">
      <alignment horizontal="center" vertical="center"/>
      <protection/>
    </xf>
    <xf numFmtId="1" fontId="6" fillId="34" borderId="12"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5" xfId="0" applyFont="1" applyBorder="1" applyAlignment="1" applyProtection="1">
      <alignment vertical="center"/>
      <protection locked="0"/>
    </xf>
    <xf numFmtId="0" fontId="6" fillId="34" borderId="10" xfId="0" applyFont="1" applyFill="1" applyBorder="1" applyAlignment="1" applyProtection="1">
      <alignment horizontal="left" vertical="center"/>
      <protection/>
    </xf>
    <xf numFmtId="0" fontId="9" fillId="34" borderId="14" xfId="0" applyFont="1" applyFill="1" applyBorder="1" applyAlignment="1" applyProtection="1">
      <alignment horizontal="center" vertical="center"/>
      <protection/>
    </xf>
    <xf numFmtId="14" fontId="6" fillId="33" borderId="12" xfId="0" applyNumberFormat="1" applyFont="1" applyFill="1" applyBorder="1" applyAlignment="1" applyProtection="1">
      <alignment horizontal="center" vertical="center"/>
      <protection locked="0"/>
    </xf>
    <xf numFmtId="1" fontId="6" fillId="33" borderId="12" xfId="0" applyNumberFormat="1" applyFont="1" applyFill="1" applyBorder="1" applyAlignment="1" applyProtection="1">
      <alignment horizontal="center" vertical="center"/>
      <protection locked="0"/>
    </xf>
    <xf numFmtId="0" fontId="5" fillId="34" borderId="21" xfId="0" applyFont="1" applyFill="1" applyBorder="1" applyAlignment="1" applyProtection="1">
      <alignment horizontal="center" vertical="center"/>
      <protection/>
    </xf>
    <xf numFmtId="3" fontId="5" fillId="39" borderId="27" xfId="0" applyNumberFormat="1" applyFont="1" applyFill="1" applyBorder="1" applyAlignment="1" applyProtection="1">
      <alignment horizontal="center" vertical="center"/>
      <protection/>
    </xf>
    <xf numFmtId="3" fontId="5" fillId="39" borderId="29" xfId="0" applyNumberFormat="1" applyFont="1" applyFill="1" applyBorder="1" applyAlignment="1" applyProtection="1">
      <alignment horizontal="center" vertical="center"/>
      <protection/>
    </xf>
    <xf numFmtId="0" fontId="6" fillId="36" borderId="0" xfId="304" applyFont="1" applyFill="1" applyAlignment="1" applyProtection="1">
      <alignment vertical="center"/>
      <protection/>
    </xf>
    <xf numFmtId="0" fontId="6" fillId="36" borderId="0" xfId="0" applyFont="1" applyFill="1" applyAlignment="1" applyProtection="1">
      <alignment vertical="center"/>
      <protection/>
    </xf>
    <xf numFmtId="37" fontId="6" fillId="34" borderId="0" xfId="0" applyNumberFormat="1" applyFont="1" applyFill="1" applyAlignment="1" applyProtection="1">
      <alignment horizontal="fill" vertical="center"/>
      <protection/>
    </xf>
    <xf numFmtId="3" fontId="6" fillId="34" borderId="12" xfId="42" applyNumberFormat="1" applyFont="1" applyFill="1" applyBorder="1" applyAlignment="1" applyProtection="1">
      <alignment horizontal="right" vertical="center"/>
      <protection/>
    </xf>
    <xf numFmtId="37" fontId="6" fillId="34" borderId="25" xfId="0" applyNumberFormat="1" applyFont="1" applyFill="1" applyBorder="1" applyAlignment="1" applyProtection="1">
      <alignment horizontal="left" vertical="center"/>
      <protection/>
    </xf>
    <xf numFmtId="3" fontId="6" fillId="34" borderId="12" xfId="0" applyNumberFormat="1" applyFont="1" applyFill="1" applyBorder="1" applyAlignment="1" applyProtection="1">
      <alignment horizontal="fill" vertical="center"/>
      <protection/>
    </xf>
    <xf numFmtId="3" fontId="6" fillId="33" borderId="12" xfId="0" applyNumberFormat="1" applyFont="1" applyFill="1" applyBorder="1" applyAlignment="1" applyProtection="1">
      <alignment horizontal="right" vertical="center"/>
      <protection locked="0"/>
    </xf>
    <xf numFmtId="3" fontId="6" fillId="34" borderId="12" xfId="0" applyNumberFormat="1" applyFont="1" applyFill="1" applyBorder="1" applyAlignment="1" applyProtection="1">
      <alignment horizontal="right" vertical="center"/>
      <protection/>
    </xf>
    <xf numFmtId="0" fontId="6" fillId="34" borderId="22" xfId="0" applyNumberFormat="1" applyFont="1" applyFill="1" applyBorder="1" applyAlignment="1" applyProtection="1">
      <alignment horizontal="left" vertical="center"/>
      <protection/>
    </xf>
    <xf numFmtId="0" fontId="6" fillId="33" borderId="22" xfId="0" applyNumberFormat="1" applyFont="1" applyFill="1" applyBorder="1" applyAlignment="1" applyProtection="1">
      <alignment horizontal="left" vertical="center"/>
      <protection locked="0"/>
    </xf>
    <xf numFmtId="3" fontId="6" fillId="33" borderId="12"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6" fillId="33" borderId="14" xfId="0" applyNumberFormat="1" applyFont="1" applyFill="1" applyBorder="1" applyAlignment="1" applyProtection="1">
      <alignment horizontal="right" vertical="center"/>
      <protection locked="0"/>
    </xf>
    <xf numFmtId="3" fontId="18" fillId="41" borderId="12"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left" vertical="center"/>
      <protection/>
    </xf>
    <xf numFmtId="3" fontId="5" fillId="39" borderId="14" xfId="0" applyNumberFormat="1"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vertical="center"/>
      <protection/>
    </xf>
    <xf numFmtId="0" fontId="6" fillId="33" borderId="22" xfId="0" applyFont="1" applyFill="1" applyBorder="1" applyAlignment="1" applyProtection="1">
      <alignment vertical="center"/>
      <protection locked="0"/>
    </xf>
    <xf numFmtId="3" fontId="6" fillId="39" borderId="12" xfId="0" applyNumberFormat="1" applyFont="1" applyFill="1" applyBorder="1" applyAlignment="1" applyProtection="1">
      <alignment horizontal="right" vertical="center"/>
      <protection/>
    </xf>
    <xf numFmtId="0" fontId="18" fillId="0" borderId="0" xfId="0" applyFont="1" applyAlignment="1" applyProtection="1">
      <alignment vertical="center"/>
      <protection/>
    </xf>
    <xf numFmtId="0" fontId="15" fillId="34" borderId="0" xfId="0" applyFont="1" applyFill="1" applyAlignment="1" applyProtection="1">
      <alignment horizontal="center" vertical="center"/>
      <protection/>
    </xf>
    <xf numFmtId="2" fontId="6" fillId="34" borderId="0" xfId="0" applyNumberFormat="1" applyFont="1" applyFill="1" applyAlignment="1" applyProtection="1">
      <alignment horizontal="right" vertical="center"/>
      <protection locked="0"/>
    </xf>
    <xf numFmtId="0" fontId="6" fillId="34" borderId="0" xfId="0" applyFont="1" applyFill="1" applyAlignment="1">
      <alignment horizontal="right" vertical="center"/>
    </xf>
    <xf numFmtId="0" fontId="6" fillId="34" borderId="0" xfId="0" applyFont="1" applyFill="1" applyAlignment="1">
      <alignment vertical="center"/>
    </xf>
    <xf numFmtId="3" fontId="6" fillId="40" borderId="12"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fill" vertical="center"/>
      <protection/>
    </xf>
    <xf numFmtId="0" fontId="6" fillId="34" borderId="14"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left" vertical="center"/>
      <protection locked="0"/>
    </xf>
    <xf numFmtId="0" fontId="6" fillId="33" borderId="12" xfId="0" applyFont="1" applyFill="1" applyBorder="1" applyAlignment="1" applyProtection="1">
      <alignment horizontal="left" vertical="center"/>
      <protection locked="0"/>
    </xf>
    <xf numFmtId="37" fontId="6" fillId="33" borderId="12" xfId="0" applyNumberFormat="1" applyFont="1" applyFill="1" applyBorder="1" applyAlignment="1" applyProtection="1">
      <alignment vertical="center"/>
      <protection locked="0"/>
    </xf>
    <xf numFmtId="37" fontId="5" fillId="39" borderId="12" xfId="0" applyNumberFormat="1" applyFont="1" applyFill="1" applyBorder="1" applyAlignment="1" applyProtection="1">
      <alignment vertical="center"/>
      <protection/>
    </xf>
    <xf numFmtId="37" fontId="5" fillId="39" borderId="27" xfId="0" applyNumberFormat="1" applyFont="1" applyFill="1" applyBorder="1" applyAlignment="1" applyProtection="1">
      <alignment vertical="center"/>
      <protection/>
    </xf>
    <xf numFmtId="37" fontId="6" fillId="33" borderId="0" xfId="0" applyNumberFormat="1" applyFont="1" applyFill="1" applyAlignment="1" applyProtection="1">
      <alignment horizontal="left" vertical="center"/>
      <protection locked="0"/>
    </xf>
    <xf numFmtId="3" fontId="6" fillId="33" borderId="17" xfId="0" applyNumberFormat="1" applyFont="1" applyFill="1" applyBorder="1" applyAlignment="1" applyProtection="1">
      <alignment vertical="center"/>
      <protection locked="0"/>
    </xf>
    <xf numFmtId="3" fontId="6" fillId="39" borderId="12" xfId="0" applyNumberFormat="1" applyFont="1" applyFill="1" applyBorder="1" applyAlignment="1" applyProtection="1">
      <alignment horizontal="right" vertical="center"/>
      <protection locked="0"/>
    </xf>
    <xf numFmtId="37" fontId="6" fillId="33" borderId="22" xfId="0" applyNumberFormat="1" applyFont="1" applyFill="1" applyBorder="1" applyAlignment="1" applyProtection="1">
      <alignment horizontal="left" vertical="center"/>
      <protection locked="0"/>
    </xf>
    <xf numFmtId="3" fontId="18" fillId="41" borderId="21"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fill" vertical="center"/>
      <protection/>
    </xf>
    <xf numFmtId="166" fontId="6" fillId="34" borderId="10" xfId="0" applyNumberFormat="1"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0" fontId="6" fillId="34" borderId="22" xfId="0" applyFont="1" applyFill="1" applyBorder="1" applyAlignment="1" applyProtection="1">
      <alignment vertical="center"/>
      <protection locked="0"/>
    </xf>
    <xf numFmtId="3" fontId="6" fillId="34" borderId="0" xfId="0" applyNumberFormat="1" applyFont="1" applyFill="1" applyBorder="1" applyAlignment="1" applyProtection="1">
      <alignment horizontal="fill" vertical="center"/>
      <protection/>
    </xf>
    <xf numFmtId="37" fontId="6" fillId="33" borderId="17" xfId="0" applyNumberFormat="1"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37" fontId="6" fillId="33" borderId="12" xfId="0" applyNumberFormat="1" applyFont="1" applyFill="1" applyBorder="1" applyAlignment="1" applyProtection="1">
      <alignment vertical="center"/>
      <protection locked="0"/>
    </xf>
    <xf numFmtId="0" fontId="5" fillId="34" borderId="0" xfId="0" applyFont="1" applyFill="1" applyAlignment="1">
      <alignment horizontal="center" vertical="center"/>
    </xf>
    <xf numFmtId="0" fontId="6" fillId="34" borderId="17" xfId="0" applyFont="1" applyFill="1" applyBorder="1" applyAlignment="1">
      <alignment vertical="center"/>
    </xf>
    <xf numFmtId="0" fontId="17" fillId="34" borderId="13" xfId="0" applyFont="1" applyFill="1" applyBorder="1" applyAlignment="1">
      <alignment vertical="center"/>
    </xf>
    <xf numFmtId="0" fontId="17" fillId="34" borderId="17" xfId="0" applyFont="1" applyFill="1" applyBorder="1" applyAlignment="1">
      <alignment horizontal="center" vertical="center"/>
    </xf>
    <xf numFmtId="0" fontId="17" fillId="34" borderId="21" xfId="0" applyFont="1" applyFill="1" applyBorder="1" applyAlignment="1">
      <alignment vertical="center"/>
    </xf>
    <xf numFmtId="0" fontId="17" fillId="34" borderId="12"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2" xfId="0" applyFont="1" applyFill="1" applyBorder="1" applyAlignment="1">
      <alignment horizontal="center" vertical="center"/>
    </xf>
    <xf numFmtId="0" fontId="17" fillId="34" borderId="25" xfId="0" applyFont="1" applyFill="1" applyBorder="1" applyAlignment="1">
      <alignment vertical="center"/>
    </xf>
    <xf numFmtId="3" fontId="17" fillId="33" borderId="12" xfId="0" applyNumberFormat="1" applyFont="1" applyFill="1" applyBorder="1" applyAlignment="1" applyProtection="1">
      <alignment horizontal="center" vertical="center"/>
      <protection locked="0"/>
    </xf>
    <xf numFmtId="0" fontId="17" fillId="34" borderId="10" xfId="0" applyFont="1" applyFill="1" applyBorder="1" applyAlignment="1">
      <alignment vertical="center"/>
    </xf>
    <xf numFmtId="3" fontId="17" fillId="39" borderId="12" xfId="0" applyNumberFormat="1" applyFont="1" applyFill="1" applyBorder="1" applyAlignment="1">
      <alignment horizontal="center" vertical="center"/>
    </xf>
    <xf numFmtId="0" fontId="17" fillId="34" borderId="0" xfId="0" applyFont="1" applyFill="1" applyAlignment="1">
      <alignment vertical="center"/>
    </xf>
    <xf numFmtId="3" fontId="17" fillId="34" borderId="0" xfId="0" applyNumberFormat="1" applyFont="1" applyFill="1" applyAlignment="1">
      <alignment horizontal="center" vertical="center"/>
    </xf>
    <xf numFmtId="0" fontId="17" fillId="34" borderId="0" xfId="0" applyFont="1" applyFill="1" applyAlignment="1">
      <alignment horizontal="center" vertical="center"/>
    </xf>
    <xf numFmtId="0" fontId="17" fillId="33" borderId="12" xfId="0" applyFont="1" applyFill="1" applyBorder="1" applyAlignment="1" applyProtection="1">
      <alignment vertical="center"/>
      <protection locked="0"/>
    </xf>
    <xf numFmtId="0" fontId="17" fillId="33" borderId="21" xfId="0" applyFont="1" applyFill="1" applyBorder="1" applyAlignment="1" applyProtection="1">
      <alignment vertical="center"/>
      <protection locked="0"/>
    </xf>
    <xf numFmtId="0" fontId="17" fillId="33" borderId="0" xfId="0" applyFont="1" applyFill="1" applyAlignment="1" applyProtection="1">
      <alignment vertical="center"/>
      <protection locked="0"/>
    </xf>
    <xf numFmtId="3" fontId="17" fillId="33" borderId="16" xfId="0" applyNumberFormat="1" applyFont="1" applyFill="1" applyBorder="1" applyAlignment="1" applyProtection="1">
      <alignment horizontal="center" vertical="center"/>
      <protection locked="0"/>
    </xf>
    <xf numFmtId="0" fontId="17" fillId="33" borderId="17" xfId="0" applyFont="1" applyFill="1" applyBorder="1" applyAlignment="1" applyProtection="1">
      <alignment vertical="center"/>
      <protection locked="0"/>
    </xf>
    <xf numFmtId="0" fontId="17" fillId="33" borderId="14" xfId="0" applyFont="1" applyFill="1" applyBorder="1" applyAlignment="1" applyProtection="1">
      <alignment vertical="center"/>
      <protection locked="0"/>
    </xf>
    <xf numFmtId="3" fontId="17" fillId="33" borderId="23" xfId="0" applyNumberFormat="1" applyFont="1" applyFill="1" applyBorder="1" applyAlignment="1" applyProtection="1">
      <alignment horizontal="center" vertical="center"/>
      <protection locked="0"/>
    </xf>
    <xf numFmtId="0" fontId="17" fillId="33" borderId="23" xfId="0" applyFont="1" applyFill="1" applyBorder="1" applyAlignment="1" applyProtection="1">
      <alignment vertical="center"/>
      <protection locked="0"/>
    </xf>
    <xf numFmtId="3" fontId="17" fillId="40" borderId="12" xfId="0" applyNumberFormat="1" applyFont="1" applyFill="1" applyBorder="1" applyAlignment="1">
      <alignment horizontal="center" vertical="center"/>
    </xf>
    <xf numFmtId="3" fontId="6" fillId="34" borderId="0" xfId="0" applyNumberFormat="1" applyFont="1" applyFill="1" applyAlignment="1">
      <alignment vertical="center"/>
    </xf>
    <xf numFmtId="3" fontId="6" fillId="0" borderId="0" xfId="0" applyNumberFormat="1" applyFont="1" applyAlignment="1">
      <alignment vertical="center"/>
    </xf>
    <xf numFmtId="37" fontId="6" fillId="34" borderId="0" xfId="0" applyNumberFormat="1" applyFont="1" applyFill="1" applyAlignment="1" applyProtection="1">
      <alignment horizontal="centerContinuous" vertical="center" wrapText="1"/>
      <protection/>
    </xf>
    <xf numFmtId="0" fontId="6" fillId="34" borderId="0" xfId="0" applyFont="1" applyFill="1" applyAlignment="1" applyProtection="1">
      <alignment horizontal="centerContinuous" vertical="center" wrapText="1"/>
      <protection/>
    </xf>
    <xf numFmtId="1" fontId="6" fillId="34" borderId="22" xfId="0" applyNumberFormat="1" applyFont="1" applyFill="1" applyBorder="1" applyAlignment="1" applyProtection="1">
      <alignment horizontal="centerContinuous" vertical="center"/>
      <protection/>
    </xf>
    <xf numFmtId="37" fontId="6" fillId="34" borderId="22"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37" fontId="9" fillId="34" borderId="13" xfId="0" applyNumberFormat="1" applyFont="1" applyFill="1" applyBorder="1" applyAlignment="1" applyProtection="1">
      <alignment horizontal="center" vertical="center"/>
      <protection/>
    </xf>
    <xf numFmtId="169" fontId="6" fillId="34" borderId="12"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 fontId="6" fillId="34" borderId="0" xfId="0" applyNumberFormat="1" applyFont="1" applyFill="1" applyAlignment="1" applyProtection="1">
      <alignment horizontal="center" vertical="center"/>
      <protection/>
    </xf>
    <xf numFmtId="166"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vertical="center"/>
      <protection locked="0"/>
    </xf>
    <xf numFmtId="0" fontId="6" fillId="34" borderId="13" xfId="0" applyFont="1" applyFill="1" applyBorder="1" applyAlignment="1" applyProtection="1">
      <alignment horizontal="center" vertical="center" wrapText="1"/>
      <protection/>
    </xf>
    <xf numFmtId="0" fontId="6" fillId="34" borderId="21"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3" fontId="6" fillId="33" borderId="12" xfId="0" applyNumberFormat="1" applyFont="1" applyFill="1" applyBorder="1" applyAlignment="1" applyProtection="1">
      <alignment horizontal="center" vertical="center"/>
      <protection locked="0"/>
    </xf>
    <xf numFmtId="179" fontId="6" fillId="34" borderId="12" xfId="0" applyNumberFormat="1" applyFont="1" applyFill="1" applyBorder="1" applyAlignment="1" applyProtection="1">
      <alignment horizontal="center" vertical="center"/>
      <protection/>
    </xf>
    <xf numFmtId="3" fontId="6" fillId="34" borderId="27" xfId="0" applyNumberFormat="1" applyFont="1" applyFill="1" applyBorder="1" applyAlignment="1" applyProtection="1">
      <alignment horizontal="center" vertical="center"/>
      <protection/>
    </xf>
    <xf numFmtId="179" fontId="6" fillId="34" borderId="27" xfId="0" applyNumberFormat="1" applyFont="1" applyFill="1" applyBorder="1" applyAlignment="1" applyProtection="1">
      <alignment horizontal="center" vertical="center"/>
      <protection/>
    </xf>
    <xf numFmtId="179" fontId="6" fillId="34" borderId="10" xfId="0" applyNumberFormat="1" applyFont="1" applyFill="1" applyBorder="1" applyAlignment="1" applyProtection="1">
      <alignment horizontal="center" vertical="center"/>
      <protection/>
    </xf>
    <xf numFmtId="179"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7" fillId="0" borderId="0" xfId="0" applyFont="1" applyAlignment="1">
      <alignment vertical="center"/>
    </xf>
    <xf numFmtId="0" fontId="0" fillId="0" borderId="0" xfId="0" applyNumberFormat="1" applyFont="1" applyFill="1" applyBorder="1" applyAlignment="1" applyProtection="1">
      <alignment vertical="center"/>
      <protection/>
    </xf>
    <xf numFmtId="3" fontId="28" fillId="40" borderId="0" xfId="0" applyNumberFormat="1" applyFont="1" applyFill="1" applyAlignment="1">
      <alignment horizontal="center" vertical="center"/>
    </xf>
    <xf numFmtId="0" fontId="6" fillId="0" borderId="0" xfId="288" applyFont="1" applyAlignment="1">
      <alignment vertical="center" wrapText="1"/>
      <protection/>
    </xf>
    <xf numFmtId="0" fontId="6" fillId="0" borderId="0" xfId="60" applyFont="1" applyAlignment="1">
      <alignment vertical="center"/>
      <protection/>
    </xf>
    <xf numFmtId="0" fontId="6" fillId="0" borderId="0" xfId="60" applyFont="1" applyAlignment="1">
      <alignment vertical="center" wrapText="1"/>
      <protection/>
    </xf>
    <xf numFmtId="0" fontId="6" fillId="0" borderId="0" xfId="293" applyFont="1" applyAlignment="1">
      <alignment vertical="center"/>
      <protection/>
    </xf>
    <xf numFmtId="0" fontId="6" fillId="33" borderId="10"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29" fillId="0" borderId="0" xfId="296">
      <alignment/>
      <protection/>
    </xf>
    <xf numFmtId="0" fontId="6" fillId="0" borderId="0" xfId="296" applyFont="1" applyAlignment="1">
      <alignment horizontal="left" vertical="center"/>
      <protection/>
    </xf>
    <xf numFmtId="0" fontId="29" fillId="0" borderId="0" xfId="296" applyNumberFormat="1" applyFont="1" applyAlignment="1">
      <alignment horizontal="left" vertical="center"/>
      <protection/>
    </xf>
    <xf numFmtId="49" fontId="6" fillId="42" borderId="0" xfId="296" applyNumberFormat="1" applyFont="1" applyFill="1" applyAlignment="1" applyProtection="1">
      <alignment horizontal="left" vertical="center"/>
      <protection locked="0"/>
    </xf>
    <xf numFmtId="189" fontId="17" fillId="0" borderId="0" xfId="296" applyNumberFormat="1" applyFont="1" applyAlignment="1">
      <alignment horizontal="left" vertical="center"/>
      <protection/>
    </xf>
    <xf numFmtId="49" fontId="6" fillId="0" borderId="0" xfId="296" applyNumberFormat="1" applyFont="1" applyAlignment="1">
      <alignment horizontal="left" vertical="center"/>
      <protection/>
    </xf>
    <xf numFmtId="0" fontId="17" fillId="0" borderId="0" xfId="296" applyFont="1" applyAlignment="1">
      <alignment horizontal="left" vertical="center"/>
      <protection/>
    </xf>
    <xf numFmtId="190" fontId="17" fillId="0" borderId="0" xfId="296" applyNumberFormat="1" applyFont="1" applyAlignment="1">
      <alignment horizontal="left" vertical="center"/>
      <protection/>
    </xf>
    <xf numFmtId="0" fontId="6" fillId="42" borderId="0" xfId="296" applyFont="1" applyFill="1" applyAlignment="1" applyProtection="1">
      <alignment horizontal="left" vertical="center"/>
      <protection locked="0"/>
    </xf>
    <xf numFmtId="0" fontId="29" fillId="42" borderId="0" xfId="296" applyFill="1" applyAlignment="1" applyProtection="1">
      <alignment horizontal="left" vertical="center"/>
      <protection locked="0"/>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52" applyFont="1">
      <alignment/>
      <protection/>
    </xf>
    <xf numFmtId="0" fontId="0" fillId="0" borderId="0" xfId="15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03" applyFont="1" applyAlignment="1">
      <alignment vertical="center"/>
      <protection/>
    </xf>
    <xf numFmtId="0" fontId="7" fillId="0" borderId="0" xfId="106" applyFont="1" applyAlignment="1">
      <alignment vertical="center"/>
      <protection/>
    </xf>
    <xf numFmtId="0" fontId="6" fillId="0" borderId="0" xfId="151" applyFont="1" applyAlignment="1">
      <alignment vertical="center" wrapText="1"/>
      <protection/>
    </xf>
    <xf numFmtId="0" fontId="6" fillId="0" borderId="0" xfId="108" applyFont="1" applyAlignment="1">
      <alignment vertical="center" wrapText="1"/>
      <protection/>
    </xf>
    <xf numFmtId="0" fontId="6" fillId="0" borderId="0" xfId="111" applyFont="1" applyAlignment="1">
      <alignment vertical="center" wrapText="1"/>
      <protection/>
    </xf>
    <xf numFmtId="0" fontId="6" fillId="0" borderId="0" xfId="119" applyFont="1" applyAlignment="1">
      <alignment vertical="center" wrapText="1"/>
      <protection/>
    </xf>
    <xf numFmtId="0" fontId="6" fillId="34" borderId="0" xfId="0" applyFont="1" applyFill="1" applyAlignment="1">
      <alignment/>
    </xf>
    <xf numFmtId="0" fontId="7" fillId="0" borderId="0" xfId="105" applyFont="1" applyAlignment="1">
      <alignment vertical="center"/>
      <protection/>
    </xf>
    <xf numFmtId="0" fontId="7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0" fontId="6" fillId="34" borderId="25" xfId="0" applyNumberFormat="1" applyFont="1" applyFill="1" applyBorder="1" applyAlignment="1" applyProtection="1">
      <alignment horizontal="center" vertical="center"/>
      <protection/>
    </xf>
    <xf numFmtId="3" fontId="6" fillId="33" borderId="22" xfId="0" applyNumberFormat="1" applyFont="1" applyFill="1" applyBorder="1" applyAlignment="1" applyProtection="1">
      <alignment horizontal="right" vertical="center"/>
      <protection locked="0"/>
    </xf>
    <xf numFmtId="3" fontId="6" fillId="34" borderId="22" xfId="42" applyNumberFormat="1" applyFont="1" applyFill="1" applyBorder="1" applyAlignment="1" applyProtection="1">
      <alignment horizontal="right" vertical="center"/>
      <protection/>
    </xf>
    <xf numFmtId="3" fontId="6" fillId="34" borderId="22" xfId="0" applyNumberFormat="1" applyFont="1" applyFill="1" applyBorder="1" applyAlignment="1" applyProtection="1">
      <alignment horizontal="right" vertical="center"/>
      <protection/>
    </xf>
    <xf numFmtId="3" fontId="18" fillId="41" borderId="22" xfId="0" applyNumberFormat="1" applyFont="1" applyFill="1" applyBorder="1" applyAlignment="1" applyProtection="1">
      <alignment horizontal="center" vertical="center"/>
      <protection/>
    </xf>
    <xf numFmtId="3" fontId="5" fillId="39" borderId="25" xfId="0" applyNumberFormat="1" applyFont="1" applyFill="1" applyBorder="1" applyAlignment="1" applyProtection="1">
      <alignment horizontal="right" vertical="center"/>
      <protection/>
    </xf>
    <xf numFmtId="3" fontId="5" fillId="39" borderId="22" xfId="0" applyNumberFormat="1" applyFont="1" applyFill="1" applyBorder="1" applyAlignment="1" applyProtection="1">
      <alignment horizontal="right" vertical="center"/>
      <protection/>
    </xf>
    <xf numFmtId="3" fontId="6" fillId="39" borderId="22" xfId="0" applyNumberFormat="1" applyFont="1" applyFill="1" applyBorder="1" applyAlignment="1" applyProtection="1">
      <alignment horizontal="right" vertical="center"/>
      <protection/>
    </xf>
    <xf numFmtId="3" fontId="6" fillId="33" borderId="22" xfId="0" applyNumberFormat="1" applyFont="1" applyFill="1" applyBorder="1" applyAlignment="1" applyProtection="1">
      <alignment vertical="center"/>
      <protection locked="0"/>
    </xf>
    <xf numFmtId="3" fontId="6" fillId="34" borderId="22" xfId="0" applyNumberFormat="1" applyFont="1" applyFill="1" applyBorder="1" applyAlignment="1" applyProtection="1">
      <alignment vertical="center"/>
      <protection/>
    </xf>
    <xf numFmtId="3" fontId="5" fillId="34" borderId="22" xfId="0" applyNumberFormat="1" applyFont="1" applyFill="1" applyBorder="1" applyAlignment="1" applyProtection="1">
      <alignment vertical="center"/>
      <protection/>
    </xf>
    <xf numFmtId="3" fontId="5" fillId="39" borderId="22" xfId="0" applyNumberFormat="1" applyFont="1" applyFill="1" applyBorder="1" applyAlignment="1" applyProtection="1">
      <alignment vertical="center"/>
      <protection/>
    </xf>
    <xf numFmtId="3" fontId="6" fillId="39" borderId="22" xfId="0" applyNumberFormat="1" applyFont="1" applyFill="1" applyBorder="1" applyAlignment="1" applyProtection="1">
      <alignment vertical="center"/>
      <protection/>
    </xf>
    <xf numFmtId="3" fontId="17" fillId="39" borderId="14" xfId="0" applyNumberFormat="1" applyFont="1" applyFill="1" applyBorder="1" applyAlignment="1">
      <alignment horizontal="center" vertical="center"/>
    </xf>
    <xf numFmtId="179" fontId="6" fillId="34" borderId="0" xfId="0" applyNumberFormat="1" applyFont="1" applyFill="1" applyAlignment="1">
      <alignment horizontal="center" vertical="center"/>
    </xf>
    <xf numFmtId="179" fontId="6" fillId="33" borderId="12"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horizontal="center" vertical="center"/>
      <protection locked="0"/>
    </xf>
    <xf numFmtId="49" fontId="6" fillId="33" borderId="12" xfId="0" applyNumberFormat="1" applyFont="1" applyFill="1" applyBorder="1" applyAlignment="1" applyProtection="1">
      <alignment vertical="center"/>
      <protection locked="0"/>
    </xf>
    <xf numFmtId="49" fontId="6" fillId="33" borderId="12" xfId="0" applyNumberFormat="1" applyFont="1" applyFill="1" applyBorder="1" applyAlignment="1" applyProtection="1">
      <alignment vertical="center"/>
      <protection locked="0"/>
    </xf>
    <xf numFmtId="49" fontId="6" fillId="34" borderId="0" xfId="0" applyNumberFormat="1" applyFont="1" applyFill="1" applyAlignment="1" applyProtection="1">
      <alignment vertical="center"/>
      <protection/>
    </xf>
    <xf numFmtId="37" fontId="6" fillId="40" borderId="22"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 fillId="43" borderId="0" xfId="0" applyFont="1" applyFill="1" applyBorder="1" applyAlignment="1" applyProtection="1">
      <alignment vertical="center"/>
      <protection/>
    </xf>
    <xf numFmtId="0" fontId="6" fillId="43" borderId="19" xfId="0" applyFont="1" applyFill="1" applyBorder="1" applyAlignment="1" applyProtection="1">
      <alignment vertical="center"/>
      <protection/>
    </xf>
    <xf numFmtId="0" fontId="15" fillId="34" borderId="12" xfId="0" applyFont="1" applyFill="1" applyBorder="1" applyAlignment="1">
      <alignment horizontal="center" vertical="center"/>
    </xf>
    <xf numFmtId="0" fontId="31" fillId="44" borderId="0" xfId="0" applyFont="1" applyFill="1" applyAlignment="1">
      <alignment/>
    </xf>
    <xf numFmtId="0" fontId="31" fillId="0" borderId="0" xfId="0" applyFont="1" applyAlignment="1">
      <alignment/>
    </xf>
    <xf numFmtId="0" fontId="31" fillId="43" borderId="0" xfId="0" applyFont="1" applyFill="1" applyAlignment="1">
      <alignment/>
    </xf>
    <xf numFmtId="0" fontId="77" fillId="44" borderId="0" xfId="0" applyFont="1" applyFill="1" applyAlignment="1">
      <alignment horizontal="center" wrapText="1"/>
    </xf>
    <xf numFmtId="0" fontId="77" fillId="43" borderId="0" xfId="0" applyFont="1" applyFill="1" applyAlignment="1">
      <alignment/>
    </xf>
    <xf numFmtId="0" fontId="31" fillId="43" borderId="0" xfId="0" applyFont="1" applyFill="1" applyAlignment="1">
      <alignment horizontal="center"/>
    </xf>
    <xf numFmtId="0" fontId="77" fillId="43" borderId="30" xfId="0" applyFont="1" applyFill="1" applyBorder="1" applyAlignment="1">
      <alignment/>
    </xf>
    <xf numFmtId="0" fontId="31" fillId="43" borderId="31" xfId="0" applyFont="1" applyFill="1" applyBorder="1" applyAlignment="1">
      <alignment/>
    </xf>
    <xf numFmtId="0" fontId="31" fillId="43" borderId="32" xfId="0" applyFont="1" applyFill="1" applyBorder="1" applyAlignment="1">
      <alignment/>
    </xf>
    <xf numFmtId="192" fontId="31" fillId="43" borderId="33" xfId="0" applyNumberFormat="1" applyFont="1" applyFill="1" applyBorder="1" applyAlignment="1">
      <alignment/>
    </xf>
    <xf numFmtId="0" fontId="31" fillId="43" borderId="0" xfId="0" applyFont="1" applyFill="1" applyBorder="1" applyAlignment="1">
      <alignment/>
    </xf>
    <xf numFmtId="192" fontId="31" fillId="43" borderId="10" xfId="0" applyNumberFormat="1" applyFont="1" applyFill="1" applyBorder="1" applyAlignment="1">
      <alignment horizontal="center"/>
    </xf>
    <xf numFmtId="0" fontId="31" fillId="43" borderId="34" xfId="0" applyFont="1" applyFill="1" applyBorder="1" applyAlignment="1">
      <alignment/>
    </xf>
    <xf numFmtId="0" fontId="31" fillId="43" borderId="35" xfId="0" applyFont="1" applyFill="1" applyBorder="1" applyAlignment="1">
      <alignment/>
    </xf>
    <xf numFmtId="0" fontId="31" fillId="43" borderId="36" xfId="0" applyFont="1" applyFill="1" applyBorder="1" applyAlignment="1">
      <alignment/>
    </xf>
    <xf numFmtId="0" fontId="31" fillId="43" borderId="37" xfId="0" applyFont="1" applyFill="1" applyBorder="1" applyAlignment="1">
      <alignment/>
    </xf>
    <xf numFmtId="192" fontId="31" fillId="43" borderId="0" xfId="0" applyNumberFormat="1" applyFont="1" applyFill="1" applyAlignment="1">
      <alignment/>
    </xf>
    <xf numFmtId="0" fontId="31" fillId="43" borderId="30" xfId="0" applyFont="1" applyFill="1" applyBorder="1" applyAlignment="1">
      <alignment/>
    </xf>
    <xf numFmtId="0" fontId="31" fillId="43" borderId="38" xfId="0" applyFont="1" applyFill="1" applyBorder="1" applyAlignment="1">
      <alignment/>
    </xf>
    <xf numFmtId="192" fontId="31" fillId="42" borderId="33" xfId="0" applyNumberFormat="1" applyFont="1" applyFill="1" applyBorder="1" applyAlignment="1" applyProtection="1">
      <alignment horizontal="center"/>
      <protection locked="0"/>
    </xf>
    <xf numFmtId="179" fontId="31" fillId="43" borderId="0" xfId="0" applyNumberFormat="1" applyFont="1" applyFill="1" applyBorder="1" applyAlignment="1">
      <alignment horizontal="center"/>
    </xf>
    <xf numFmtId="0" fontId="78" fillId="0" borderId="0" xfId="0" applyFont="1" applyBorder="1" applyAlignment="1">
      <alignment/>
    </xf>
    <xf numFmtId="0" fontId="31" fillId="0" borderId="0" xfId="0" applyFont="1" applyBorder="1" applyAlignment="1">
      <alignment/>
    </xf>
    <xf numFmtId="0" fontId="77" fillId="0" borderId="0" xfId="0" applyFont="1" applyBorder="1" applyAlignment="1">
      <alignment horizontal="centerContinuous"/>
    </xf>
    <xf numFmtId="0" fontId="31" fillId="0" borderId="0" xfId="0" applyFont="1" applyBorder="1" applyAlignment="1">
      <alignment horizontal="centerContinuous"/>
    </xf>
    <xf numFmtId="0" fontId="31" fillId="44" borderId="0" xfId="0" applyFont="1" applyFill="1" applyBorder="1" applyAlignment="1">
      <alignment/>
    </xf>
    <xf numFmtId="0" fontId="31" fillId="43" borderId="39" xfId="0" applyFont="1" applyFill="1" applyBorder="1" applyAlignment="1">
      <alignment/>
    </xf>
    <xf numFmtId="0" fontId="31" fillId="43" borderId="19" xfId="0" applyFont="1" applyFill="1" applyBorder="1" applyAlignment="1">
      <alignment/>
    </xf>
    <xf numFmtId="0" fontId="31" fillId="43" borderId="40" xfId="0" applyFont="1" applyFill="1" applyBorder="1" applyAlignment="1">
      <alignment/>
    </xf>
    <xf numFmtId="193" fontId="31" fillId="43" borderId="0" xfId="0" applyNumberFormat="1" applyFont="1" applyFill="1" applyBorder="1" applyAlignment="1">
      <alignment horizontal="center"/>
    </xf>
    <xf numFmtId="5" fontId="31" fillId="43" borderId="36" xfId="0" applyNumberFormat="1" applyFont="1" applyFill="1" applyBorder="1" applyAlignment="1">
      <alignment horizontal="center"/>
    </xf>
    <xf numFmtId="0" fontId="31" fillId="43" borderId="36" xfId="0" applyFont="1" applyFill="1" applyBorder="1" applyAlignment="1">
      <alignment horizontal="center"/>
    </xf>
    <xf numFmtId="179" fontId="31" fillId="43" borderId="36" xfId="0" applyNumberFormat="1" applyFont="1" applyFill="1" applyBorder="1" applyAlignment="1">
      <alignment horizontal="center"/>
    </xf>
    <xf numFmtId="193" fontId="31" fillId="43" borderId="36" xfId="0" applyNumberFormat="1" applyFont="1" applyFill="1" applyBorder="1" applyAlignment="1">
      <alignment horizontal="center"/>
    </xf>
    <xf numFmtId="0" fontId="31" fillId="43" borderId="0" xfId="0" applyFont="1" applyFill="1" applyAlignment="1">
      <alignment horizontal="center" wrapText="1"/>
    </xf>
    <xf numFmtId="0" fontId="77" fillId="43" borderId="30" xfId="0" applyFont="1" applyFill="1" applyBorder="1" applyAlignment="1">
      <alignment/>
    </xf>
    <xf numFmtId="0" fontId="31" fillId="43" borderId="31" xfId="0" applyFont="1" applyFill="1" applyBorder="1" applyAlignment="1">
      <alignment/>
    </xf>
    <xf numFmtId="0" fontId="31" fillId="43" borderId="32" xfId="0" applyFont="1" applyFill="1" applyBorder="1" applyAlignment="1">
      <alignment/>
    </xf>
    <xf numFmtId="0" fontId="31" fillId="43" borderId="38" xfId="0" applyFont="1" applyFill="1" applyBorder="1" applyAlignment="1">
      <alignment/>
    </xf>
    <xf numFmtId="0" fontId="31" fillId="43" borderId="34" xfId="0" applyFont="1" applyFill="1" applyBorder="1" applyAlignment="1">
      <alignment/>
    </xf>
    <xf numFmtId="0" fontId="31" fillId="43" borderId="39" xfId="0" applyFont="1" applyFill="1" applyBorder="1" applyAlignment="1">
      <alignment/>
    </xf>
    <xf numFmtId="0" fontId="31" fillId="43" borderId="19" xfId="0" applyFont="1" applyFill="1" applyBorder="1" applyAlignment="1">
      <alignment/>
    </xf>
    <xf numFmtId="0" fontId="31" fillId="43" borderId="40" xfId="0" applyFont="1" applyFill="1" applyBorder="1" applyAlignment="1">
      <alignment/>
    </xf>
    <xf numFmtId="169" fontId="31" fillId="43" borderId="0" xfId="0" applyNumberFormat="1" applyFont="1" applyFill="1" applyBorder="1" applyAlignment="1">
      <alignment horizontal="center"/>
    </xf>
    <xf numFmtId="0" fontId="31" fillId="43" borderId="35" xfId="0" applyFont="1" applyFill="1" applyBorder="1" applyAlignment="1">
      <alignment/>
    </xf>
    <xf numFmtId="5" fontId="31" fillId="43" borderId="0" xfId="0" applyNumberFormat="1" applyFont="1" applyFill="1" applyBorder="1" applyAlignment="1">
      <alignment horizontal="center"/>
    </xf>
    <xf numFmtId="0" fontId="31" fillId="44" borderId="0" xfId="0" applyFont="1" applyFill="1" applyAlignment="1">
      <alignment/>
    </xf>
    <xf numFmtId="179" fontId="31" fillId="42" borderId="10" xfId="0" applyNumberFormat="1" applyFont="1" applyFill="1" applyBorder="1" applyAlignment="1" applyProtection="1">
      <alignment horizontal="center"/>
      <protection locked="0"/>
    </xf>
    <xf numFmtId="193" fontId="31" fillId="43" borderId="0" xfId="0" applyNumberFormat="1" applyFont="1" applyFill="1" applyBorder="1" applyAlignment="1">
      <alignment/>
    </xf>
    <xf numFmtId="0" fontId="31" fillId="45" borderId="0" xfId="0" applyFont="1" applyFill="1" applyAlignment="1">
      <alignment/>
    </xf>
    <xf numFmtId="0" fontId="33" fillId="0" borderId="0" xfId="0" applyFont="1" applyAlignment="1">
      <alignment horizontal="center"/>
    </xf>
    <xf numFmtId="0" fontId="6" fillId="0" borderId="0" xfId="0" applyFont="1" applyAlignment="1">
      <alignment wrapText="1"/>
    </xf>
    <xf numFmtId="0" fontId="34" fillId="0" borderId="0" xfId="56" applyFont="1" applyAlignment="1" applyProtection="1">
      <alignment/>
      <protection/>
    </xf>
    <xf numFmtId="3" fontId="6" fillId="34" borderId="41" xfId="0" applyNumberFormat="1" applyFont="1" applyFill="1" applyBorder="1" applyAlignment="1" applyProtection="1">
      <alignment horizontal="center" vertical="center"/>
      <protection/>
    </xf>
    <xf numFmtId="0" fontId="6" fillId="34" borderId="41" xfId="0" applyFont="1" applyFill="1" applyBorder="1" applyAlignment="1" applyProtection="1">
      <alignment horizontal="center" vertical="center"/>
      <protection/>
    </xf>
    <xf numFmtId="0" fontId="6" fillId="34" borderId="0" xfId="76" applyFont="1" applyFill="1" applyAlignment="1" applyProtection="1">
      <alignment horizontal="right" vertical="center"/>
      <protection/>
    </xf>
    <xf numFmtId="179" fontId="6" fillId="42" borderId="23" xfId="75" applyNumberFormat="1" applyFont="1" applyFill="1" applyBorder="1" applyAlignment="1" applyProtection="1">
      <alignment horizontal="center"/>
      <protection locked="0"/>
    </xf>
    <xf numFmtId="192" fontId="6" fillId="43" borderId="16" xfId="75" applyNumberFormat="1" applyFont="1" applyFill="1" applyBorder="1" applyAlignment="1" applyProtection="1">
      <alignment horizontal="center"/>
      <protection/>
    </xf>
    <xf numFmtId="0" fontId="6" fillId="0" borderId="0" xfId="75" applyFont="1" applyProtection="1">
      <alignment/>
      <protection/>
    </xf>
    <xf numFmtId="0" fontId="6" fillId="46" borderId="10" xfId="75" applyFont="1" applyFill="1" applyBorder="1" applyProtection="1">
      <alignment/>
      <protection/>
    </xf>
    <xf numFmtId="0" fontId="6" fillId="46" borderId="25" xfId="75" applyFont="1" applyFill="1" applyBorder="1" applyProtection="1">
      <alignment/>
      <protection/>
    </xf>
    <xf numFmtId="0" fontId="6" fillId="46" borderId="0" xfId="75" applyFont="1" applyFill="1" applyBorder="1" applyProtection="1">
      <alignment/>
      <protection/>
    </xf>
    <xf numFmtId="0" fontId="6" fillId="46" borderId="15" xfId="75" applyFont="1" applyFill="1" applyBorder="1" applyProtection="1">
      <alignment/>
      <protection/>
    </xf>
    <xf numFmtId="169" fontId="6" fillId="43" borderId="23" xfId="75" applyNumberFormat="1" applyFont="1" applyFill="1" applyBorder="1" applyAlignment="1" applyProtection="1">
      <alignment horizontal="center"/>
      <protection/>
    </xf>
    <xf numFmtId="0" fontId="6" fillId="43" borderId="23" xfId="75" applyFont="1" applyFill="1" applyBorder="1" applyProtection="1">
      <alignment/>
      <protection/>
    </xf>
    <xf numFmtId="0" fontId="6" fillId="43" borderId="15" xfId="75" applyFont="1" applyFill="1" applyBorder="1" applyProtection="1">
      <alignment/>
      <protection/>
    </xf>
    <xf numFmtId="0" fontId="6" fillId="0" borderId="0" xfId="75" applyFont="1" applyFill="1" applyBorder="1" applyProtection="1">
      <alignment/>
      <protection/>
    </xf>
    <xf numFmtId="192" fontId="6" fillId="46" borderId="16" xfId="75" applyNumberFormat="1" applyFont="1" applyFill="1" applyBorder="1" applyAlignment="1" applyProtection="1">
      <alignment horizontal="center"/>
      <protection/>
    </xf>
    <xf numFmtId="0" fontId="6" fillId="43" borderId="10" xfId="75" applyFont="1" applyFill="1" applyBorder="1" applyProtection="1">
      <alignment/>
      <protection/>
    </xf>
    <xf numFmtId="0" fontId="6" fillId="43" borderId="25" xfId="75" applyFont="1" applyFill="1" applyBorder="1" applyProtection="1">
      <alignment/>
      <protection/>
    </xf>
    <xf numFmtId="192" fontId="6" fillId="43" borderId="23" xfId="75" applyNumberFormat="1" applyFont="1" applyFill="1" applyBorder="1" applyAlignment="1" applyProtection="1">
      <alignment horizontal="center"/>
      <protection/>
    </xf>
    <xf numFmtId="0" fontId="6" fillId="43" borderId="0" xfId="75" applyFont="1" applyFill="1" applyBorder="1" applyProtection="1">
      <alignment/>
      <protection/>
    </xf>
    <xf numFmtId="0" fontId="4" fillId="43" borderId="15" xfId="75" applyFont="1" applyFill="1" applyBorder="1" applyProtection="1">
      <alignment/>
      <protection/>
    </xf>
    <xf numFmtId="0" fontId="79" fillId="34" borderId="0" xfId="0" applyFont="1" applyFill="1" applyAlignment="1" applyProtection="1">
      <alignment horizontal="center" vertical="center"/>
      <protection/>
    </xf>
    <xf numFmtId="0" fontId="35" fillId="0" borderId="0" xfId="0" applyFont="1" applyAlignment="1" applyProtection="1">
      <alignment vertical="center"/>
      <protection/>
    </xf>
    <xf numFmtId="0" fontId="6" fillId="0" borderId="0" xfId="76" applyFont="1" applyAlignment="1">
      <alignment vertical="center"/>
      <protection/>
    </xf>
    <xf numFmtId="0" fontId="6" fillId="0" borderId="0" xfId="76" applyFont="1" applyAlignment="1">
      <alignment vertical="center" wrapText="1"/>
      <protection/>
    </xf>
    <xf numFmtId="0" fontId="6" fillId="0" borderId="0" xfId="284" applyFont="1" applyAlignment="1">
      <alignment vertical="center" wrapText="1"/>
      <protection/>
    </xf>
    <xf numFmtId="0" fontId="6" fillId="0" borderId="0" xfId="286" applyNumberFormat="1" applyFont="1" applyAlignment="1">
      <alignment vertical="center" wrapText="1"/>
      <protection/>
    </xf>
    <xf numFmtId="0" fontId="6" fillId="0" borderId="0" xfId="213" applyFont="1" applyAlignment="1">
      <alignment vertical="center" wrapText="1"/>
      <protection/>
    </xf>
    <xf numFmtId="0" fontId="6" fillId="43" borderId="41" xfId="0" applyFont="1" applyFill="1" applyBorder="1" applyAlignment="1" applyProtection="1">
      <alignment horizontal="center" vertical="center"/>
      <protection/>
    </xf>
    <xf numFmtId="0" fontId="6" fillId="43" borderId="0" xfId="0" applyFont="1" applyFill="1" applyBorder="1" applyAlignment="1" applyProtection="1">
      <alignment vertical="center"/>
      <protection/>
    </xf>
    <xf numFmtId="192" fontId="4" fillId="42" borderId="12" xfId="0" applyNumberFormat="1" applyFont="1" applyFill="1" applyBorder="1" applyAlignment="1" applyProtection="1">
      <alignment horizontal="center" vertical="center"/>
      <protection locked="0"/>
    </xf>
    <xf numFmtId="0" fontId="6" fillId="43" borderId="15" xfId="0" applyFont="1" applyFill="1" applyBorder="1" applyAlignment="1" applyProtection="1">
      <alignment vertical="center"/>
      <protection/>
    </xf>
    <xf numFmtId="0" fontId="6" fillId="43" borderId="23" xfId="0" applyFont="1" applyFill="1" applyBorder="1" applyAlignment="1" applyProtection="1">
      <alignment vertical="center"/>
      <protection/>
    </xf>
    <xf numFmtId="192" fontId="4" fillId="43" borderId="15" xfId="0" applyNumberFormat="1" applyFont="1" applyFill="1" applyBorder="1" applyAlignment="1" applyProtection="1">
      <alignment horizontal="center" vertical="center"/>
      <protection/>
    </xf>
    <xf numFmtId="0" fontId="4" fillId="43" borderId="0" xfId="0" applyFont="1" applyFill="1" applyBorder="1" applyAlignment="1" applyProtection="1">
      <alignment horizontal="left" vertical="center"/>
      <protection/>
    </xf>
    <xf numFmtId="0" fontId="4" fillId="43" borderId="23" xfId="0" applyFont="1" applyFill="1" applyBorder="1" applyAlignment="1" applyProtection="1">
      <alignment vertical="center"/>
      <protection/>
    </xf>
    <xf numFmtId="0" fontId="4" fillId="43" borderId="0" xfId="0" applyFont="1" applyFill="1" applyBorder="1" applyAlignment="1" applyProtection="1">
      <alignment vertical="center"/>
      <protection/>
    </xf>
    <xf numFmtId="192" fontId="4" fillId="43" borderId="25" xfId="0" applyNumberFormat="1" applyFont="1" applyFill="1" applyBorder="1" applyAlignment="1" applyProtection="1">
      <alignment horizontal="center" vertical="center"/>
      <protection/>
    </xf>
    <xf numFmtId="192" fontId="4" fillId="43" borderId="15" xfId="0" applyNumberFormat="1" applyFont="1" applyFill="1" applyBorder="1" applyAlignment="1" applyProtection="1">
      <alignment vertical="center"/>
      <protection/>
    </xf>
    <xf numFmtId="0" fontId="38" fillId="46" borderId="10" xfId="0" applyFont="1" applyFill="1" applyBorder="1" applyAlignment="1" applyProtection="1">
      <alignment vertical="center"/>
      <protection/>
    </xf>
    <xf numFmtId="0" fontId="4" fillId="46" borderId="16" xfId="0" applyFont="1" applyFill="1" applyBorder="1" applyAlignment="1" applyProtection="1">
      <alignment vertical="center"/>
      <protection/>
    </xf>
    <xf numFmtId="0" fontId="6" fillId="46" borderId="16" xfId="0" applyFont="1" applyFill="1" applyBorder="1" applyAlignment="1" applyProtection="1">
      <alignment vertical="center"/>
      <protection/>
    </xf>
    <xf numFmtId="0" fontId="4" fillId="43" borderId="15" xfId="0" applyFont="1" applyFill="1" applyBorder="1" applyAlignment="1" applyProtection="1">
      <alignment horizontal="left" vertical="center"/>
      <protection/>
    </xf>
    <xf numFmtId="192" fontId="38" fillId="46" borderId="25"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36"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4" fillId="43" borderId="11" xfId="0" applyFont="1" applyFill="1" applyBorder="1" applyAlignment="1" applyProtection="1">
      <alignment horizontal="left" vertical="center"/>
      <protection/>
    </xf>
    <xf numFmtId="179" fontId="36" fillId="43" borderId="22" xfId="0" applyNumberFormat="1" applyFont="1" applyFill="1" applyBorder="1" applyAlignment="1" applyProtection="1">
      <alignment horizontal="center" vertical="center"/>
      <protection/>
    </xf>
    <xf numFmtId="0" fontId="4" fillId="43" borderId="15" xfId="0" applyFont="1" applyFill="1" applyBorder="1" applyAlignment="1" applyProtection="1">
      <alignment vertical="center"/>
      <protection/>
    </xf>
    <xf numFmtId="192" fontId="4" fillId="43" borderId="23" xfId="0" applyNumberFormat="1" applyFont="1" applyFill="1" applyBorder="1" applyAlignment="1" applyProtection="1">
      <alignment horizontal="center" vertical="center"/>
      <protection/>
    </xf>
    <xf numFmtId="0" fontId="38" fillId="46" borderId="25" xfId="0" applyFont="1" applyFill="1" applyBorder="1" applyAlignment="1" applyProtection="1">
      <alignment vertical="center"/>
      <protection/>
    </xf>
    <xf numFmtId="0" fontId="6"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8" fillId="43" borderId="16" xfId="0" applyFont="1" applyFill="1" applyBorder="1" applyAlignment="1" applyProtection="1">
      <alignment horizontal="center" vertical="center"/>
      <protection/>
    </xf>
    <xf numFmtId="192" fontId="38" fillId="46" borderId="16" xfId="0" applyNumberFormat="1" applyFont="1" applyFill="1" applyBorder="1" applyAlignment="1" applyProtection="1">
      <alignment horizontal="center" vertical="center"/>
      <protection/>
    </xf>
    <xf numFmtId="192" fontId="17" fillId="43" borderId="15" xfId="0" applyNumberFormat="1" applyFont="1" applyFill="1" applyBorder="1" applyAlignment="1" applyProtection="1">
      <alignment horizontal="center" vertical="center"/>
      <protection/>
    </xf>
    <xf numFmtId="0" fontId="17" fillId="43" borderId="0" xfId="0" applyFont="1" applyFill="1" applyBorder="1" applyAlignment="1" applyProtection="1">
      <alignment horizontal="left" vertical="center"/>
      <protection/>
    </xf>
    <xf numFmtId="0" fontId="17" fillId="43" borderId="0" xfId="0" applyFont="1" applyFill="1" applyBorder="1" applyAlignment="1" applyProtection="1">
      <alignment vertical="center"/>
      <protection/>
    </xf>
    <xf numFmtId="192" fontId="17" fillId="43" borderId="25" xfId="0" applyNumberFormat="1" applyFont="1" applyFill="1" applyBorder="1" applyAlignment="1" applyProtection="1">
      <alignment horizontal="center" vertical="center"/>
      <protection/>
    </xf>
    <xf numFmtId="192" fontId="17" fillId="43" borderId="15" xfId="0" applyNumberFormat="1" applyFont="1" applyFill="1" applyBorder="1" applyAlignment="1" applyProtection="1">
      <alignment vertical="center"/>
      <protection/>
    </xf>
    <xf numFmtId="192" fontId="17" fillId="46" borderId="25" xfId="0" applyNumberFormat="1" applyFont="1" applyFill="1" applyBorder="1" applyAlignment="1" applyProtection="1">
      <alignment horizontal="center" vertical="center"/>
      <protection/>
    </xf>
    <xf numFmtId="0" fontId="17" fillId="46" borderId="10" xfId="0" applyFont="1" applyFill="1" applyBorder="1" applyAlignment="1" applyProtection="1">
      <alignment vertical="center"/>
      <protection/>
    </xf>
    <xf numFmtId="0" fontId="6" fillId="34" borderId="19" xfId="0" applyFont="1" applyFill="1" applyBorder="1" applyAlignment="1" applyProtection="1">
      <alignment horizontal="right" vertical="center"/>
      <protection/>
    </xf>
    <xf numFmtId="3" fontId="18" fillId="41" borderId="13" xfId="0" applyNumberFormat="1" applyFont="1" applyFill="1" applyBorder="1" applyAlignment="1" applyProtection="1">
      <alignment horizontal="center" vertical="center"/>
      <protection/>
    </xf>
    <xf numFmtId="3" fontId="6" fillId="34" borderId="42" xfId="0" applyNumberFormat="1" applyFont="1" applyFill="1" applyBorder="1" applyAlignment="1" applyProtection="1">
      <alignment horizontal="center" vertical="center"/>
      <protection/>
    </xf>
    <xf numFmtId="3" fontId="6" fillId="39" borderId="43" xfId="0" applyNumberFormat="1" applyFont="1" applyFill="1" applyBorder="1" applyAlignment="1" applyProtection="1">
      <alignment horizontal="center" vertical="center"/>
      <protection/>
    </xf>
    <xf numFmtId="3" fontId="6" fillId="34" borderId="2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3" fontId="6" fillId="33" borderId="11" xfId="0" applyNumberFormat="1" applyFont="1" applyFill="1" applyBorder="1" applyAlignment="1" applyProtection="1">
      <alignment vertical="center"/>
      <protection locked="0"/>
    </xf>
    <xf numFmtId="37" fontId="14" fillId="34" borderId="0" xfId="0" applyNumberFormat="1" applyFont="1" applyFill="1" applyAlignment="1" applyProtection="1">
      <alignment vertical="center"/>
      <protection/>
    </xf>
    <xf numFmtId="0" fontId="0" fillId="40" borderId="10" xfId="0" applyFill="1" applyBorder="1" applyAlignment="1">
      <alignment vertical="center"/>
    </xf>
    <xf numFmtId="0" fontId="18" fillId="40" borderId="14" xfId="0" applyFont="1" applyFill="1" applyBorder="1" applyAlignment="1" applyProtection="1">
      <alignment horizontal="center" vertical="center"/>
      <protection/>
    </xf>
    <xf numFmtId="3" fontId="6" fillId="39" borderId="44" xfId="0" applyNumberFormat="1" applyFont="1" applyFill="1" applyBorder="1" applyAlignment="1" applyProtection="1">
      <alignment horizontal="center" vertical="center"/>
      <protection/>
    </xf>
    <xf numFmtId="179" fontId="6" fillId="39" borderId="44"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6" fillId="33" borderId="12" xfId="42" applyNumberFormat="1" applyFont="1" applyFill="1" applyBorder="1" applyAlignment="1" applyProtection="1">
      <alignment horizontal="center" vertical="center"/>
      <protection locked="0"/>
    </xf>
    <xf numFmtId="3" fontId="6" fillId="33" borderId="14" xfId="42" applyNumberFormat="1" applyFont="1" applyFill="1" applyBorder="1" applyAlignment="1" applyProtection="1">
      <alignment horizontal="center" vertical="center"/>
      <protection locked="0"/>
    </xf>
    <xf numFmtId="37" fontId="5" fillId="34" borderId="13"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horizontal="center" vertical="center"/>
      <protection/>
    </xf>
    <xf numFmtId="169" fontId="6" fillId="34" borderId="0" xfId="0" applyNumberFormat="1" applyFont="1" applyFill="1" applyBorder="1" applyAlignment="1" applyProtection="1">
      <alignment horizontal="center" vertical="center"/>
      <protection/>
    </xf>
    <xf numFmtId="0" fontId="80" fillId="0" borderId="0" xfId="0" applyFont="1" applyBorder="1" applyAlignment="1" applyProtection="1">
      <alignment vertical="center"/>
      <protection locked="0"/>
    </xf>
    <xf numFmtId="3" fontId="6" fillId="39" borderId="45" xfId="0" applyNumberFormat="1" applyFont="1" applyFill="1" applyBorder="1" applyAlignment="1" applyProtection="1">
      <alignment horizontal="center" vertical="center"/>
      <protection/>
    </xf>
    <xf numFmtId="169" fontId="6" fillId="39" borderId="45" xfId="0" applyNumberFormat="1" applyFont="1" applyFill="1" applyBorder="1" applyAlignment="1" applyProtection="1">
      <alignment horizontal="center" vertical="center"/>
      <protection/>
    </xf>
    <xf numFmtId="0" fontId="31" fillId="43" borderId="0" xfId="0" applyFont="1" applyFill="1" applyBorder="1" applyAlignment="1">
      <alignment horizontal="center"/>
    </xf>
    <xf numFmtId="192" fontId="31" fillId="42" borderId="10" xfId="0" applyNumberFormat="1" applyFont="1" applyFill="1" applyBorder="1" applyAlignment="1" applyProtection="1">
      <alignment horizontal="center"/>
      <protection locked="0"/>
    </xf>
    <xf numFmtId="192" fontId="31" fillId="43" borderId="0" xfId="0" applyNumberFormat="1" applyFont="1" applyFill="1" applyBorder="1" applyAlignment="1">
      <alignment horizontal="center"/>
    </xf>
    <xf numFmtId="0" fontId="31" fillId="43" borderId="19" xfId="0" applyFont="1" applyFill="1" applyBorder="1" applyAlignment="1">
      <alignment horizontal="center"/>
    </xf>
    <xf numFmtId="0" fontId="77" fillId="43" borderId="0" xfId="0" applyFont="1" applyFill="1" applyAlignment="1">
      <alignment horizontal="center" wrapText="1"/>
    </xf>
    <xf numFmtId="0" fontId="31" fillId="43" borderId="0" xfId="0" applyFont="1" applyFill="1" applyBorder="1" applyAlignment="1">
      <alignment/>
    </xf>
    <xf numFmtId="0" fontId="31" fillId="43" borderId="37" xfId="0" applyFont="1" applyFill="1" applyBorder="1" applyAlignment="1">
      <alignment/>
    </xf>
    <xf numFmtId="0" fontId="77" fillId="43" borderId="0" xfId="0" applyFont="1" applyFill="1" applyAlignment="1">
      <alignment horizontal="center"/>
    </xf>
    <xf numFmtId="192" fontId="31" fillId="43" borderId="0" xfId="0" applyNumberFormat="1" applyFont="1" applyFill="1" applyAlignment="1">
      <alignment horizontal="center"/>
    </xf>
    <xf numFmtId="1" fontId="9" fillId="34" borderId="20" xfId="0" applyNumberFormat="1" applyFont="1" applyFill="1" applyBorder="1" applyAlignment="1" applyProtection="1">
      <alignment horizontal="center" vertical="center"/>
      <protection/>
    </xf>
    <xf numFmtId="37" fontId="9" fillId="34" borderId="20" xfId="0" applyNumberFormat="1" applyFont="1" applyFill="1" applyBorder="1" applyAlignment="1" applyProtection="1">
      <alignment horizontal="center" vertical="center"/>
      <protection/>
    </xf>
    <xf numFmtId="1" fontId="9" fillId="34" borderId="13" xfId="0" applyNumberFormat="1" applyFont="1" applyFill="1" applyBorder="1" applyAlignment="1" applyProtection="1">
      <alignment horizontal="center" vertical="center"/>
      <protection/>
    </xf>
    <xf numFmtId="196" fontId="6" fillId="34" borderId="12" xfId="0" applyNumberFormat="1" applyFont="1" applyFill="1" applyBorder="1" applyAlignment="1" applyProtection="1">
      <alignment horizontal="center" vertical="center"/>
      <protection/>
    </xf>
    <xf numFmtId="0" fontId="77" fillId="43" borderId="38" xfId="0" applyFont="1" applyFill="1" applyBorder="1" applyAlignment="1">
      <alignment horizontal="centerContinuous" vertical="center"/>
    </xf>
    <xf numFmtId="192" fontId="77" fillId="43" borderId="0" xfId="0" applyNumberFormat="1" applyFont="1" applyFill="1" applyBorder="1" applyAlignment="1">
      <alignment horizontal="centerContinuous" vertical="center"/>
    </xf>
    <xf numFmtId="0" fontId="77" fillId="43" borderId="0" xfId="0" applyFont="1" applyFill="1" applyBorder="1" applyAlignment="1">
      <alignment horizontal="centerContinuous" vertical="center"/>
    </xf>
    <xf numFmtId="179" fontId="77" fillId="43" borderId="0" xfId="0" applyNumberFormat="1" applyFont="1" applyFill="1" applyBorder="1" applyAlignment="1" applyProtection="1">
      <alignment horizontal="centerContinuous" vertical="center"/>
      <protection locked="0"/>
    </xf>
    <xf numFmtId="193" fontId="77" fillId="43" borderId="0" xfId="0" applyNumberFormat="1" applyFont="1" applyFill="1" applyBorder="1" applyAlignment="1">
      <alignment horizontal="centerContinuous" vertical="center"/>
    </xf>
    <xf numFmtId="0" fontId="77" fillId="43" borderId="34" xfId="0" applyFont="1" applyFill="1" applyBorder="1" applyAlignment="1">
      <alignment horizontal="centerContinuous" vertical="center"/>
    </xf>
    <xf numFmtId="0" fontId="77" fillId="43" borderId="38" xfId="0" applyFont="1" applyFill="1" applyBorder="1" applyAlignment="1">
      <alignment horizontal="centerContinuous"/>
    </xf>
    <xf numFmtId="192" fontId="77" fillId="43" borderId="0" xfId="0" applyNumberFormat="1" applyFont="1" applyFill="1" applyBorder="1" applyAlignment="1">
      <alignment horizontal="centerContinuous"/>
    </xf>
    <xf numFmtId="0" fontId="77" fillId="43" borderId="0" xfId="0" applyFont="1" applyFill="1" applyBorder="1" applyAlignment="1">
      <alignment horizontal="centerContinuous"/>
    </xf>
    <xf numFmtId="179" fontId="77" fillId="43" borderId="0" xfId="0" applyNumberFormat="1" applyFont="1" applyFill="1" applyBorder="1" applyAlignment="1" applyProtection="1">
      <alignment horizontal="centerContinuous"/>
      <protection locked="0"/>
    </xf>
    <xf numFmtId="193" fontId="77" fillId="43" borderId="0" xfId="0" applyNumberFormat="1" applyFont="1" applyFill="1" applyBorder="1" applyAlignment="1">
      <alignment horizontal="centerContinuous"/>
    </xf>
    <xf numFmtId="0" fontId="77" fillId="43" borderId="34" xfId="0" applyFont="1" applyFill="1" applyBorder="1" applyAlignment="1">
      <alignment horizontal="centerContinuous"/>
    </xf>
    <xf numFmtId="192" fontId="31" fillId="0" borderId="0" xfId="0" applyNumberFormat="1" applyFont="1" applyAlignment="1">
      <alignment/>
    </xf>
    <xf numFmtId="192" fontId="31" fillId="43" borderId="36" xfId="0" applyNumberFormat="1" applyFont="1" applyFill="1" applyBorder="1" applyAlignment="1">
      <alignment horizontal="center"/>
    </xf>
    <xf numFmtId="179" fontId="31" fillId="43" borderId="36" xfId="0" applyNumberFormat="1" applyFont="1" applyFill="1" applyBorder="1" applyAlignment="1" applyProtection="1">
      <alignment horizontal="center"/>
      <protection locked="0"/>
    </xf>
    <xf numFmtId="193" fontId="31" fillId="43" borderId="36" xfId="0" applyNumberFormat="1" applyFont="1" applyFill="1" applyBorder="1" applyAlignment="1">
      <alignment/>
    </xf>
    <xf numFmtId="179" fontId="31" fillId="43" borderId="0" xfId="0" applyNumberFormat="1" applyFont="1" applyFill="1" applyBorder="1" applyAlignment="1" applyProtection="1">
      <alignment horizontal="center"/>
      <protection locked="0"/>
    </xf>
    <xf numFmtId="192" fontId="31" fillId="43" borderId="31" xfId="0" applyNumberFormat="1" applyFont="1" applyFill="1" applyBorder="1" applyAlignment="1">
      <alignment horizontal="center"/>
    </xf>
    <xf numFmtId="0" fontId="31" fillId="43" borderId="31" xfId="0" applyFont="1" applyFill="1" applyBorder="1" applyAlignment="1">
      <alignment horizontal="center"/>
    </xf>
    <xf numFmtId="179" fontId="31" fillId="43" borderId="31" xfId="0" applyNumberFormat="1" applyFont="1" applyFill="1" applyBorder="1" applyAlignment="1" applyProtection="1">
      <alignment horizontal="center"/>
      <protection locked="0"/>
    </xf>
    <xf numFmtId="193" fontId="31" fillId="43" borderId="31" xfId="0" applyNumberFormat="1" applyFont="1" applyFill="1" applyBorder="1" applyAlignment="1">
      <alignment/>
    </xf>
    <xf numFmtId="192" fontId="31" fillId="43" borderId="0" xfId="0" applyNumberFormat="1" applyFont="1" applyFill="1" applyBorder="1" applyAlignment="1" applyProtection="1">
      <alignment horizontal="center"/>
      <protection locked="0"/>
    </xf>
    <xf numFmtId="192" fontId="6" fillId="46" borderId="23" xfId="75" applyNumberFormat="1" applyFont="1" applyFill="1" applyBorder="1" applyAlignment="1" applyProtection="1">
      <alignment horizontal="center"/>
      <protection/>
    </xf>
    <xf numFmtId="0" fontId="6" fillId="46" borderId="25" xfId="0" applyFont="1" applyFill="1" applyBorder="1" applyAlignment="1" applyProtection="1">
      <alignment vertical="center"/>
      <protection/>
    </xf>
    <xf numFmtId="192" fontId="6" fillId="46" borderId="16" xfId="0" applyNumberFormat="1" applyFont="1" applyFill="1" applyBorder="1" applyAlignment="1" applyProtection="1">
      <alignment horizontal="center"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34" borderId="10" xfId="0" applyNumberFormat="1" applyFont="1" applyFill="1" applyBorder="1" applyAlignment="1" applyProtection="1">
      <alignment horizontal="center" vertical="center"/>
      <protection/>
    </xf>
    <xf numFmtId="0" fontId="1" fillId="34" borderId="10" xfId="0" applyFont="1" applyFill="1" applyBorder="1" applyAlignment="1">
      <alignment horizontal="center" vertical="center"/>
    </xf>
    <xf numFmtId="37" fontId="5" fillId="38"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37" fontId="6" fillId="34" borderId="24" xfId="0" applyNumberFormat="1"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4" borderId="14" xfId="0" applyFont="1" applyFill="1" applyBorder="1" applyAlignment="1" applyProtection="1">
      <alignment horizontal="center" vertical="center" wrapText="1"/>
      <protection/>
    </xf>
    <xf numFmtId="0" fontId="17" fillId="34" borderId="24" xfId="0" applyFont="1" applyFill="1" applyBorder="1" applyAlignment="1" applyProtection="1">
      <alignment horizontal="center" vertical="center" wrapText="1"/>
      <protection/>
    </xf>
    <xf numFmtId="0" fontId="17" fillId="34" borderId="14" xfId="0" applyFont="1" applyFill="1" applyBorder="1" applyAlignment="1" applyProtection="1">
      <alignment horizontal="center" vertical="center" wrapText="1"/>
      <protection/>
    </xf>
    <xf numFmtId="3" fontId="6" fillId="34" borderId="24" xfId="0" applyNumberFormat="1" applyFont="1" applyFill="1" applyBorder="1" applyAlignment="1" applyProtection="1">
      <alignment vertical="center" wrapText="1"/>
      <protection locked="0"/>
    </xf>
    <xf numFmtId="3" fontId="6" fillId="34" borderId="14" xfId="0" applyNumberFormat="1" applyFont="1" applyFill="1" applyBorder="1" applyAlignment="1" applyProtection="1">
      <alignment vertical="center" wrapText="1"/>
      <protection locked="0"/>
    </xf>
    <xf numFmtId="0" fontId="17" fillId="34" borderId="24"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8" fillId="34" borderId="0" xfId="0" applyFont="1" applyFill="1" applyBorder="1" applyAlignment="1">
      <alignment vertical="center"/>
    </xf>
    <xf numFmtId="0" fontId="20" fillId="0" borderId="0" xfId="0" applyFont="1" applyAlignment="1">
      <alignment vertical="center"/>
    </xf>
    <xf numFmtId="37" fontId="6" fillId="34"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37" fontId="5" fillId="34" borderId="15"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0" fontId="6" fillId="36" borderId="0" xfId="0" applyFont="1" applyFill="1" applyBorder="1" applyAlignment="1">
      <alignment vertical="center" wrapText="1"/>
    </xf>
    <xf numFmtId="0" fontId="0" fillId="0" borderId="0" xfId="0" applyAlignment="1">
      <alignment vertical="center" wrapText="1"/>
    </xf>
    <xf numFmtId="37" fontId="5" fillId="34" borderId="36" xfId="0" applyNumberFormat="1" applyFont="1" applyFill="1" applyBorder="1" applyAlignment="1" applyProtection="1">
      <alignment horizontal="center" vertical="center"/>
      <protection/>
    </xf>
    <xf numFmtId="0" fontId="1" fillId="0" borderId="36" xfId="0" applyFont="1" applyBorder="1" applyAlignment="1">
      <alignment horizontal="center" vertical="center"/>
    </xf>
    <xf numFmtId="0" fontId="5" fillId="34" borderId="36" xfId="0" applyFont="1" applyFill="1" applyBorder="1" applyAlignment="1" applyProtection="1">
      <alignment horizontal="center" vertical="center"/>
      <protection/>
    </xf>
    <xf numFmtId="0" fontId="0" fillId="0" borderId="36" xfId="0" applyFont="1" applyBorder="1" applyAlignment="1">
      <alignment vertical="center"/>
    </xf>
    <xf numFmtId="3" fontId="6" fillId="34" borderId="13" xfId="0" applyNumberFormat="1" applyFont="1" applyFill="1" applyBorder="1" applyAlignment="1" applyProtection="1">
      <alignment horizontal="center" vertical="center" wrapText="1"/>
      <protection/>
    </xf>
    <xf numFmtId="37" fontId="5" fillId="34" borderId="18" xfId="0" applyNumberFormat="1" applyFont="1" applyFill="1" applyBorder="1" applyAlignment="1" applyProtection="1">
      <alignment horizontal="center" vertical="center"/>
      <protection/>
    </xf>
    <xf numFmtId="0" fontId="0" fillId="0" borderId="18" xfId="0" applyFont="1" applyBorder="1" applyAlignment="1">
      <alignment horizontal="center" vertical="center"/>
    </xf>
    <xf numFmtId="0" fontId="5"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6" fillId="0" borderId="0" xfId="296" applyFont="1" applyAlignment="1">
      <alignment horizontal="left" vertical="center" wrapText="1"/>
      <protection/>
    </xf>
    <xf numFmtId="0" fontId="29" fillId="0" borderId="0" xfId="296" applyAlignment="1">
      <alignment horizontal="left" vertical="center" wrapText="1"/>
      <protection/>
    </xf>
    <xf numFmtId="0" fontId="14" fillId="0" borderId="0" xfId="296" applyFont="1" applyAlignment="1">
      <alignment horizontal="left" vertical="center"/>
      <protection/>
    </xf>
    <xf numFmtId="0" fontId="6" fillId="44" borderId="20" xfId="0" applyFont="1" applyFill="1" applyBorder="1" applyAlignment="1" applyProtection="1">
      <alignment horizontal="center" vertical="center" wrapText="1"/>
      <protection/>
    </xf>
    <xf numFmtId="0" fontId="6" fillId="44" borderId="21" xfId="0" applyFont="1" applyFill="1" applyBorder="1" applyAlignment="1" applyProtection="1">
      <alignment horizontal="center" vertical="center" wrapText="1"/>
      <protection/>
    </xf>
    <xf numFmtId="0" fontId="0" fillId="44" borderId="25" xfId="0" applyFill="1" applyBorder="1" applyAlignment="1">
      <alignment horizontal="center" vertical="center" wrapText="1"/>
    </xf>
    <xf numFmtId="0" fontId="0" fillId="44" borderId="16" xfId="0" applyFill="1" applyBorder="1" applyAlignment="1">
      <alignment horizontal="center" vertical="center" wrapText="1"/>
    </xf>
    <xf numFmtId="0" fontId="6" fillId="43" borderId="19" xfId="0" applyFont="1" applyFill="1" applyBorder="1" applyAlignment="1">
      <alignment horizontal="center" vertical="center"/>
    </xf>
    <xf numFmtId="37" fontId="6" fillId="34" borderId="0" xfId="0" applyNumberFormat="1" applyFont="1" applyFill="1" applyAlignment="1" applyProtection="1">
      <alignment horizontal="center" vertical="center"/>
      <protection/>
    </xf>
    <xf numFmtId="1" fontId="6" fillId="34" borderId="13" xfId="0" applyNumberFormat="1"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9" fillId="44" borderId="22" xfId="0" applyFont="1" applyFill="1" applyBorder="1" applyAlignment="1" applyProtection="1">
      <alignment vertical="center"/>
      <protection/>
    </xf>
    <xf numFmtId="0" fontId="9" fillId="44" borderId="17" xfId="0" applyFont="1" applyFill="1" applyBorder="1" applyAlignment="1" applyProtection="1">
      <alignment vertical="center"/>
      <protection/>
    </xf>
    <xf numFmtId="3" fontId="6" fillId="33" borderId="22" xfId="42" applyNumberFormat="1" applyFont="1" applyFill="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3" fontId="6" fillId="47" borderId="22" xfId="0" applyNumberFormat="1" applyFont="1" applyFill="1" applyBorder="1" applyAlignment="1" applyProtection="1">
      <alignment horizontal="center" vertical="center"/>
      <protection/>
    </xf>
    <xf numFmtId="3" fontId="6" fillId="47" borderId="17" xfId="0" applyNumberFormat="1" applyFont="1" applyFill="1" applyBorder="1" applyAlignment="1" applyProtection="1">
      <alignment horizontal="center" vertical="center"/>
      <protection/>
    </xf>
    <xf numFmtId="0" fontId="6" fillId="34" borderId="0" xfId="0" applyFont="1" applyFill="1" applyAlignment="1">
      <alignment horizontal="center"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vertical="center"/>
    </xf>
    <xf numFmtId="0" fontId="6" fillId="34" borderId="25"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6" fillId="34" borderId="25"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6" fillId="43" borderId="20" xfId="0" applyFont="1" applyFill="1" applyBorder="1" applyAlignment="1" applyProtection="1">
      <alignment horizontal="center" vertical="center"/>
      <protection/>
    </xf>
    <xf numFmtId="0" fontId="37" fillId="0" borderId="19" xfId="0" applyFont="1" applyBorder="1" applyAlignment="1" applyProtection="1">
      <alignment horizontal="center" vertical="center"/>
      <protection/>
    </xf>
    <xf numFmtId="0" fontId="0" fillId="0" borderId="21" xfId="0"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6"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6" fillId="34" borderId="19" xfId="76" applyNumberFormat="1" applyFont="1" applyFill="1" applyBorder="1" applyAlignment="1" applyProtection="1">
      <alignment horizontal="right" vertical="center"/>
      <protection/>
    </xf>
    <xf numFmtId="0" fontId="0" fillId="0" borderId="21" xfId="76" applyBorder="1" applyAlignment="1">
      <alignment horizontal="right" vertical="center"/>
      <protection/>
    </xf>
    <xf numFmtId="0" fontId="6" fillId="34" borderId="0" xfId="76" applyFont="1" applyFill="1" applyAlignment="1" applyProtection="1">
      <alignment horizontal="right" vertical="center"/>
      <protection/>
    </xf>
    <xf numFmtId="0" fontId="6" fillId="0" borderId="23" xfId="76" applyFont="1" applyBorder="1" applyAlignment="1">
      <alignment horizontal="right" vertical="center"/>
      <protection/>
    </xf>
    <xf numFmtId="0" fontId="36" fillId="43" borderId="19" xfId="0" applyFont="1" applyFill="1" applyBorder="1" applyAlignment="1" applyProtection="1">
      <alignment horizontal="center" vertical="center"/>
      <protection/>
    </xf>
    <xf numFmtId="0" fontId="5" fillId="34" borderId="22" xfId="0" applyFont="1" applyFill="1" applyBorder="1" applyAlignment="1">
      <alignment vertical="center"/>
    </xf>
    <xf numFmtId="0" fontId="5" fillId="34" borderId="17" xfId="0" applyFont="1" applyFill="1" applyBorder="1" applyAlignment="1">
      <alignment vertical="center"/>
    </xf>
    <xf numFmtId="37" fontId="6" fillId="43" borderId="0" xfId="0" applyNumberFormat="1" applyFont="1" applyFill="1" applyAlignment="1" applyProtection="1">
      <alignment horizontal="center" vertical="center"/>
      <protection/>
    </xf>
    <xf numFmtId="0" fontId="14" fillId="43" borderId="20" xfId="75" applyFont="1" applyFill="1" applyBorder="1" applyAlignment="1" applyProtection="1">
      <alignment horizontal="center"/>
      <protection/>
    </xf>
    <xf numFmtId="0" fontId="0" fillId="0" borderId="19" xfId="0" applyBorder="1" applyAlignment="1">
      <alignment horizontal="center"/>
    </xf>
    <xf numFmtId="0" fontId="0" fillId="0" borderId="21" xfId="0" applyBorder="1" applyAlignment="1">
      <alignment horizontal="center"/>
    </xf>
    <xf numFmtId="37" fontId="6"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4" fillId="43" borderId="19" xfId="75" applyFont="1" applyFill="1" applyBorder="1" applyAlignment="1" applyProtection="1">
      <alignment horizontal="center"/>
      <protection/>
    </xf>
    <xf numFmtId="0" fontId="14" fillId="43" borderId="21" xfId="75" applyFont="1" applyFill="1" applyBorder="1" applyAlignment="1" applyProtection="1">
      <alignment horizontal="center"/>
      <protection/>
    </xf>
    <xf numFmtId="0" fontId="0" fillId="0" borderId="19" xfId="75" applyBorder="1" applyAlignment="1" applyProtection="1">
      <alignment horizontal="center"/>
      <protection/>
    </xf>
    <xf numFmtId="0" fontId="0" fillId="0" borderId="21" xfId="75" applyBorder="1" applyAlignment="1" applyProtection="1">
      <alignment horizontal="center"/>
      <protection/>
    </xf>
    <xf numFmtId="37" fontId="6" fillId="34"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9" fillId="43" borderId="20" xfId="0" applyFont="1" applyFill="1" applyBorder="1" applyAlignment="1" applyProtection="1">
      <alignment horizontal="center" vertical="center"/>
      <protection/>
    </xf>
    <xf numFmtId="0" fontId="16" fillId="0" borderId="19" xfId="0" applyFont="1"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pplyProtection="1">
      <alignment vertical="center"/>
      <protection/>
    </xf>
    <xf numFmtId="0" fontId="0" fillId="0" borderId="0" xfId="0" applyAlignment="1">
      <alignmen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92" fontId="31" fillId="42" borderId="10" xfId="0" applyNumberFormat="1" applyFont="1" applyFill="1" applyBorder="1" applyAlignment="1" applyProtection="1">
      <alignment horizontal="center"/>
      <protection locked="0"/>
    </xf>
    <xf numFmtId="192" fontId="31" fillId="43" borderId="0" xfId="0" applyNumberFormat="1" applyFont="1" applyFill="1" applyBorder="1" applyAlignment="1">
      <alignment horizontal="center"/>
    </xf>
    <xf numFmtId="0" fontId="31" fillId="43" borderId="0" xfId="0" applyFont="1" applyFill="1" applyBorder="1" applyAlignment="1">
      <alignment wrapText="1"/>
    </xf>
    <xf numFmtId="0" fontId="31" fillId="0" borderId="0" xfId="0" applyFont="1" applyAlignment="1">
      <alignment wrapText="1"/>
    </xf>
    <xf numFmtId="0" fontId="31" fillId="43" borderId="0" xfId="0" applyFont="1" applyFill="1" applyAlignment="1">
      <alignment wrapText="1"/>
    </xf>
    <xf numFmtId="0" fontId="77" fillId="43" borderId="31" xfId="0" applyFont="1" applyFill="1" applyBorder="1" applyAlignment="1">
      <alignment horizontal="center" vertical="center"/>
    </xf>
    <xf numFmtId="0" fontId="31" fillId="0" borderId="31" xfId="0" applyFont="1" applyBorder="1" applyAlignment="1">
      <alignment horizontal="center" vertical="center"/>
    </xf>
    <xf numFmtId="5" fontId="31" fillId="43" borderId="10" xfId="0" applyNumberFormat="1" applyFont="1" applyFill="1" applyBorder="1" applyAlignment="1">
      <alignment horizontal="center"/>
    </xf>
    <xf numFmtId="192" fontId="31" fillId="43" borderId="0" xfId="0" applyNumberFormat="1" applyFont="1" applyFill="1" applyAlignment="1">
      <alignment/>
    </xf>
    <xf numFmtId="0" fontId="77" fillId="43" borderId="0" xfId="0" applyFont="1" applyFill="1" applyAlignment="1">
      <alignment horizontal="center" wrapText="1"/>
    </xf>
    <xf numFmtId="0" fontId="31" fillId="43" borderId="0" xfId="0" applyFont="1" applyFill="1" applyBorder="1" applyAlignment="1">
      <alignment/>
    </xf>
    <xf numFmtId="0" fontId="31" fillId="0" borderId="0" xfId="0" applyFont="1" applyBorder="1" applyAlignment="1">
      <alignment/>
    </xf>
    <xf numFmtId="0" fontId="31" fillId="43" borderId="36" xfId="0" applyFont="1" applyFill="1" applyBorder="1" applyAlignment="1">
      <alignment/>
    </xf>
    <xf numFmtId="0" fontId="31" fillId="43" borderId="37" xfId="0" applyFont="1" applyFill="1" applyBorder="1" applyAlignment="1">
      <alignment/>
    </xf>
    <xf numFmtId="0" fontId="77" fillId="43" borderId="0" xfId="0" applyFont="1" applyFill="1" applyAlignment="1">
      <alignment horizontal="center"/>
    </xf>
    <xf numFmtId="0" fontId="31" fillId="0" borderId="0" xfId="0" applyFont="1" applyAlignment="1">
      <alignment horizontal="center" wrapText="1"/>
    </xf>
    <xf numFmtId="0" fontId="77" fillId="43" borderId="0" xfId="0" applyFont="1" applyFill="1" applyAlignment="1">
      <alignment horizontal="center" vertical="center"/>
    </xf>
    <xf numFmtId="0" fontId="77" fillId="0" borderId="0" xfId="0" applyFont="1" applyAlignment="1">
      <alignment horizontal="center" vertical="center"/>
    </xf>
    <xf numFmtId="192" fontId="31" fillId="43" borderId="0" xfId="0" applyNumberFormat="1" applyFont="1" applyFill="1" applyAlignment="1">
      <alignment horizontal="center"/>
    </xf>
    <xf numFmtId="0" fontId="77" fillId="43" borderId="0" xfId="0" applyFont="1" applyFill="1" applyBorder="1" applyAlignment="1">
      <alignment horizontal="center" wrapText="1"/>
    </xf>
    <xf numFmtId="0" fontId="77" fillId="0" borderId="0" xfId="0" applyFont="1" applyAlignment="1">
      <alignment horizontal="center" wrapText="1"/>
    </xf>
    <xf numFmtId="0" fontId="31" fillId="43" borderId="0" xfId="0" applyFont="1" applyFill="1" applyBorder="1" applyAlignment="1">
      <alignment horizontal="center"/>
    </xf>
    <xf numFmtId="0" fontId="31" fillId="43" borderId="19" xfId="0" applyFont="1" applyFill="1" applyBorder="1" applyAlignment="1">
      <alignment horizontal="center"/>
    </xf>
    <xf numFmtId="0" fontId="31" fillId="43" borderId="38" xfId="0" applyFont="1" applyFill="1" applyBorder="1" applyAlignment="1">
      <alignment vertical="top" wrapText="1"/>
    </xf>
    <xf numFmtId="0" fontId="31" fillId="0" borderId="0" xfId="0" applyFont="1" applyAlignment="1">
      <alignment vertical="top" wrapText="1"/>
    </xf>
    <xf numFmtId="0" fontId="31" fillId="0" borderId="34" xfId="0" applyFont="1" applyBorder="1" applyAlignment="1">
      <alignment vertical="top" wrapText="1"/>
    </xf>
    <xf numFmtId="193" fontId="31" fillId="43" borderId="0" xfId="0" applyNumberFormat="1" applyFont="1" applyFill="1" applyBorder="1" applyAlignment="1">
      <alignment horizontal="center"/>
    </xf>
    <xf numFmtId="0" fontId="31" fillId="0" borderId="34" xfId="0" applyFont="1" applyBorder="1" applyAlignment="1">
      <alignment horizontal="center"/>
    </xf>
    <xf numFmtId="169" fontId="31" fillId="42" borderId="10" xfId="0" applyNumberFormat="1" applyFont="1" applyFill="1" applyBorder="1" applyAlignment="1" applyProtection="1">
      <alignment horizontal="center"/>
      <protection locked="0"/>
    </xf>
    <xf numFmtId="192" fontId="31" fillId="0" borderId="34" xfId="0" applyNumberFormat="1" applyFont="1" applyBorder="1" applyAlignment="1">
      <alignment horizontal="center"/>
    </xf>
  </cellXfs>
  <cellStyles count="2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0 2" xfId="61"/>
    <cellStyle name="Normal 10 2 2" xfId="62"/>
    <cellStyle name="Normal 10 3" xfId="63"/>
    <cellStyle name="Normal 10 3 2" xfId="64"/>
    <cellStyle name="Normal 10 4" xfId="65"/>
    <cellStyle name="Normal 10 4 2" xfId="66"/>
    <cellStyle name="Normal 10 5" xfId="67"/>
    <cellStyle name="Normal 10 6" xfId="68"/>
    <cellStyle name="Normal 10 6 2" xfId="69"/>
    <cellStyle name="Normal 11" xfId="70"/>
    <cellStyle name="Normal 11 2" xfId="71"/>
    <cellStyle name="Normal 11 3" xfId="72"/>
    <cellStyle name="Normal 11 4" xfId="73"/>
    <cellStyle name="Normal 12" xfId="74"/>
    <cellStyle name="Normal 12 10" xfId="75"/>
    <cellStyle name="Normal 12 2" xfId="76"/>
    <cellStyle name="Normal 12 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2" xfId="87"/>
    <cellStyle name="Normal 13 2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4 5" xfId="100"/>
    <cellStyle name="Normal 14 6" xfId="101"/>
    <cellStyle name="Normal 15" xfId="102"/>
    <cellStyle name="Normal 15 2" xfId="103"/>
    <cellStyle name="Normal 15 3" xfId="104"/>
    <cellStyle name="Normal 16" xfId="105"/>
    <cellStyle name="Normal 16 2" xfId="106"/>
    <cellStyle name="Normal 16 3" xfId="107"/>
    <cellStyle name="Normal 17" xfId="108"/>
    <cellStyle name="Normal 17 2" xfId="109"/>
    <cellStyle name="Normal 17 3" xfId="110"/>
    <cellStyle name="Normal 18" xfId="111"/>
    <cellStyle name="Normal 18 2" xfId="112"/>
    <cellStyle name="Normal 18 2 2" xfId="113"/>
    <cellStyle name="Normal 18 2 3" xfId="114"/>
    <cellStyle name="Normal 18 3" xfId="115"/>
    <cellStyle name="Normal 18 4" xfId="116"/>
    <cellStyle name="Normal 18 5" xfId="117"/>
    <cellStyle name="Normal 18 6" xfId="118"/>
    <cellStyle name="Normal 19" xfId="119"/>
    <cellStyle name="Normal 19 2" xfId="120"/>
    <cellStyle name="Normal 19 2 2" xfId="121"/>
    <cellStyle name="Normal 19 2 3" xfId="122"/>
    <cellStyle name="Normal 19 3" xfId="123"/>
    <cellStyle name="Normal 19 4" xfId="124"/>
    <cellStyle name="Normal 19 5" xfId="125"/>
    <cellStyle name="Normal 19 6" xfId="126"/>
    <cellStyle name="Normal 2" xfId="127"/>
    <cellStyle name="Normal 2 10" xfId="128"/>
    <cellStyle name="Normal 2 10 10" xfId="129"/>
    <cellStyle name="Normal 2 10 2" xfId="130"/>
    <cellStyle name="Normal 2 10 3" xfId="131"/>
    <cellStyle name="Normal 2 10 4" xfId="132"/>
    <cellStyle name="Normal 2 10 5" xfId="133"/>
    <cellStyle name="Normal 2 10 6" xfId="134"/>
    <cellStyle name="Normal 2 10 7" xfId="135"/>
    <cellStyle name="Normal 2 10 8" xfId="136"/>
    <cellStyle name="Normal 2 10 9" xfId="137"/>
    <cellStyle name="Normal 2 11" xfId="138"/>
    <cellStyle name="Normal 2 11 10" xfId="139"/>
    <cellStyle name="Normal 2 11 2" xfId="140"/>
    <cellStyle name="Normal 2 11 3" xfId="141"/>
    <cellStyle name="Normal 2 11 4" xfId="142"/>
    <cellStyle name="Normal 2 11 5" xfId="143"/>
    <cellStyle name="Normal 2 11 6" xfId="144"/>
    <cellStyle name="Normal 2 11 7" xfId="145"/>
    <cellStyle name="Normal 2 11 8" xfId="146"/>
    <cellStyle name="Normal 2 11 9" xfId="147"/>
    <cellStyle name="Normal 2 12" xfId="148"/>
    <cellStyle name="Normal 2 13" xfId="149"/>
    <cellStyle name="Normal 2 14" xfId="150"/>
    <cellStyle name="Normal 2 2" xfId="151"/>
    <cellStyle name="Normal 2 2 10" xfId="152"/>
    <cellStyle name="Normal 2 2 10 2" xfId="153"/>
    <cellStyle name="Normal 2 2 11" xfId="154"/>
    <cellStyle name="Normal 2 2 12" xfId="155"/>
    <cellStyle name="Normal 2 2 13" xfId="156"/>
    <cellStyle name="Normal 2 2 14" xfId="157"/>
    <cellStyle name="Normal 2 2 15" xfId="158"/>
    <cellStyle name="Normal 2 2 16" xfId="159"/>
    <cellStyle name="Normal 2 2 17" xfId="160"/>
    <cellStyle name="Normal 2 2 18" xfId="161"/>
    <cellStyle name="Normal 2 2 19" xfId="162"/>
    <cellStyle name="Normal 2 2 2" xfId="163"/>
    <cellStyle name="Normal 2 2 2 2" xfId="164"/>
    <cellStyle name="Normal 2 2 2 3" xfId="165"/>
    <cellStyle name="Normal 2 2 2 4" xfId="166"/>
    <cellStyle name="Normal 2 2 2 5" xfId="167"/>
    <cellStyle name="Normal 2 2 2 6" xfId="168"/>
    <cellStyle name="Normal 2 2 2 7" xfId="169"/>
    <cellStyle name="Normal 2 2 2 8" xfId="170"/>
    <cellStyle name="Normal 2 2 20" xfId="171"/>
    <cellStyle name="Normal 2 2 21" xfId="172"/>
    <cellStyle name="Normal 2 2 3" xfId="173"/>
    <cellStyle name="Normal 2 2 3 2" xfId="174"/>
    <cellStyle name="Normal 2 2 4" xfId="175"/>
    <cellStyle name="Normal 2 2 4 2" xfId="176"/>
    <cellStyle name="Normal 2 2 5" xfId="177"/>
    <cellStyle name="Normal 2 2 5 2" xfId="178"/>
    <cellStyle name="Normal 2 2 6" xfId="179"/>
    <cellStyle name="Normal 2 2 6 2" xfId="180"/>
    <cellStyle name="Normal 2 2 7" xfId="181"/>
    <cellStyle name="Normal 2 2 7 2" xfId="182"/>
    <cellStyle name="Normal 2 2 8" xfId="183"/>
    <cellStyle name="Normal 2 2 8 2" xfId="184"/>
    <cellStyle name="Normal 2 2 9" xfId="185"/>
    <cellStyle name="Normal 2 2 9 2" xfId="186"/>
    <cellStyle name="Normal 2 3" xfId="187"/>
    <cellStyle name="Normal 2 3 10" xfId="188"/>
    <cellStyle name="Normal 2 3 11" xfId="189"/>
    <cellStyle name="Normal 2 3 2" xfId="190"/>
    <cellStyle name="Normal 2 3 2 2" xfId="191"/>
    <cellStyle name="Normal 2 3 3" xfId="192"/>
    <cellStyle name="Normal 2 3 3 2" xfId="193"/>
    <cellStyle name="Normal 2 3 4" xfId="194"/>
    <cellStyle name="Normal 2 3 5" xfId="195"/>
    <cellStyle name="Normal 2 3 6" xfId="196"/>
    <cellStyle name="Normal 2 3 7" xfId="197"/>
    <cellStyle name="Normal 2 3 8" xfId="198"/>
    <cellStyle name="Normal 2 3 9" xfId="199"/>
    <cellStyle name="Normal 2 4" xfId="200"/>
    <cellStyle name="Normal 2 4 10" xfId="201"/>
    <cellStyle name="Normal 2 4 11" xfId="202"/>
    <cellStyle name="Normal 2 4 2" xfId="203"/>
    <cellStyle name="Normal 2 4 2 2" xfId="204"/>
    <cellStyle name="Normal 2 4 3" xfId="205"/>
    <cellStyle name="Normal 2 4 3 2" xfId="206"/>
    <cellStyle name="Normal 2 4 4" xfId="207"/>
    <cellStyle name="Normal 2 4 5" xfId="208"/>
    <cellStyle name="Normal 2 4 6" xfId="209"/>
    <cellStyle name="Normal 2 4 7" xfId="210"/>
    <cellStyle name="Normal 2 4 8" xfId="211"/>
    <cellStyle name="Normal 2 4 9" xfId="212"/>
    <cellStyle name="Normal 2 5" xfId="213"/>
    <cellStyle name="Normal 2 5 10" xfId="214"/>
    <cellStyle name="Normal 2 5 11" xfId="215"/>
    <cellStyle name="Normal 2 5 2" xfId="216"/>
    <cellStyle name="Normal 2 5 2 2" xfId="217"/>
    <cellStyle name="Normal 2 5 3" xfId="218"/>
    <cellStyle name="Normal 2 5 3 2" xfId="219"/>
    <cellStyle name="Normal 2 5 4" xfId="220"/>
    <cellStyle name="Normal 2 5 5" xfId="221"/>
    <cellStyle name="Normal 2 5 6" xfId="222"/>
    <cellStyle name="Normal 2 5 7" xfId="223"/>
    <cellStyle name="Normal 2 5 8" xfId="224"/>
    <cellStyle name="Normal 2 5 9" xfId="225"/>
    <cellStyle name="Normal 2 6" xfId="226"/>
    <cellStyle name="Normal 2 6 10" xfId="227"/>
    <cellStyle name="Normal 2 6 11" xfId="228"/>
    <cellStyle name="Normal 2 6 2" xfId="229"/>
    <cellStyle name="Normal 2 6 2 2" xfId="230"/>
    <cellStyle name="Normal 2 6 3" xfId="231"/>
    <cellStyle name="Normal 2 6 3 2" xfId="232"/>
    <cellStyle name="Normal 2 6 4" xfId="233"/>
    <cellStyle name="Normal 2 6 5" xfId="234"/>
    <cellStyle name="Normal 2 6 6" xfId="235"/>
    <cellStyle name="Normal 2 6 7" xfId="236"/>
    <cellStyle name="Normal 2 6 8" xfId="237"/>
    <cellStyle name="Normal 2 6 9" xfId="238"/>
    <cellStyle name="Normal 2 7" xfId="239"/>
    <cellStyle name="Normal 2 7 10" xfId="240"/>
    <cellStyle name="Normal 2 7 2" xfId="241"/>
    <cellStyle name="Normal 2 7 3" xfId="242"/>
    <cellStyle name="Normal 2 7 4" xfId="243"/>
    <cellStyle name="Normal 2 7 5" xfId="244"/>
    <cellStyle name="Normal 2 7 6" xfId="245"/>
    <cellStyle name="Normal 2 7 7" xfId="246"/>
    <cellStyle name="Normal 2 7 8" xfId="247"/>
    <cellStyle name="Normal 2 7 9" xfId="248"/>
    <cellStyle name="Normal 2 8" xfId="249"/>
    <cellStyle name="Normal 2 8 10" xfId="250"/>
    <cellStyle name="Normal 2 8 2" xfId="251"/>
    <cellStyle name="Normal 2 8 3" xfId="252"/>
    <cellStyle name="Normal 2 8 4" xfId="253"/>
    <cellStyle name="Normal 2 8 5" xfId="254"/>
    <cellStyle name="Normal 2 8 6" xfId="255"/>
    <cellStyle name="Normal 2 8 7" xfId="256"/>
    <cellStyle name="Normal 2 8 8" xfId="257"/>
    <cellStyle name="Normal 2 8 9" xfId="258"/>
    <cellStyle name="Normal 2 9" xfId="259"/>
    <cellStyle name="Normal 2 9 10" xfId="260"/>
    <cellStyle name="Normal 2 9 2" xfId="261"/>
    <cellStyle name="Normal 2 9 3" xfId="262"/>
    <cellStyle name="Normal 2 9 4" xfId="263"/>
    <cellStyle name="Normal 2 9 5" xfId="264"/>
    <cellStyle name="Normal 2 9 6" xfId="265"/>
    <cellStyle name="Normal 2 9 7" xfId="266"/>
    <cellStyle name="Normal 2 9 8" xfId="267"/>
    <cellStyle name="Normal 2 9 9" xfId="268"/>
    <cellStyle name="Normal 20" xfId="269"/>
    <cellStyle name="Normal 20 2" xfId="270"/>
    <cellStyle name="Normal 20 3" xfId="271"/>
    <cellStyle name="Normal 22" xfId="272"/>
    <cellStyle name="Normal 22 2" xfId="273"/>
    <cellStyle name="Normal 22 3" xfId="274"/>
    <cellStyle name="Normal 23" xfId="275"/>
    <cellStyle name="Normal 23 2" xfId="276"/>
    <cellStyle name="Normal 23 3" xfId="277"/>
    <cellStyle name="Normal 24" xfId="278"/>
    <cellStyle name="Normal 24 2" xfId="279"/>
    <cellStyle name="Normal 24 3" xfId="280"/>
    <cellStyle name="Normal 25" xfId="281"/>
    <cellStyle name="Normal 25 2" xfId="282"/>
    <cellStyle name="Normal 25 3" xfId="283"/>
    <cellStyle name="Normal 3" xfId="284"/>
    <cellStyle name="Normal 3 2" xfId="285"/>
    <cellStyle name="Normal 4" xfId="286"/>
    <cellStyle name="Normal 4 2" xfId="287"/>
    <cellStyle name="Normal 5" xfId="288"/>
    <cellStyle name="Normal 5 2" xfId="289"/>
    <cellStyle name="Normal 5 3" xfId="290"/>
    <cellStyle name="Normal 5 4" xfId="291"/>
    <cellStyle name="Normal 5 5" xfId="292"/>
    <cellStyle name="Normal 6" xfId="293"/>
    <cellStyle name="Normal 6 2" xfId="294"/>
    <cellStyle name="Normal 7" xfId="295"/>
    <cellStyle name="Normal 7 2" xfId="296"/>
    <cellStyle name="Normal 7 3" xfId="297"/>
    <cellStyle name="Normal 8" xfId="298"/>
    <cellStyle name="Normal 8 2" xfId="299"/>
    <cellStyle name="Normal 9" xfId="300"/>
    <cellStyle name="Normal 9 2" xfId="301"/>
    <cellStyle name="Normal 9 3" xfId="302"/>
    <cellStyle name="Normal 9 4" xfId="303"/>
    <cellStyle name="Normal_debt" xfId="304"/>
    <cellStyle name="Normal_lpform" xfId="305"/>
    <cellStyle name="Note" xfId="306"/>
    <cellStyle name="Output" xfId="307"/>
    <cellStyle name="Percent" xfId="308"/>
    <cellStyle name="Title" xfId="309"/>
    <cellStyle name="Total" xfId="310"/>
    <cellStyle name="Warning Text" xfId="311"/>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9"/>
  <sheetViews>
    <sheetView zoomScale="85" zoomScaleNormal="85" zoomScalePageLayoutView="0" workbookViewId="0" topLeftCell="A1">
      <selection activeCell="A68" sqref="A68:IV68"/>
    </sheetView>
  </sheetViews>
  <sheetFormatPr defaultColWidth="8.796875" defaultRowHeight="15"/>
  <cols>
    <col min="1" max="1" width="75.796875" style="10" customWidth="1"/>
    <col min="2" max="16384" width="8.8984375" style="10" customWidth="1"/>
  </cols>
  <sheetData>
    <row r="1" ht="15.75">
      <c r="A1" s="9" t="s">
        <v>276</v>
      </c>
    </row>
    <row r="3" ht="34.5" customHeight="1">
      <c r="A3" s="11" t="s">
        <v>210</v>
      </c>
    </row>
    <row r="4" ht="15.75">
      <c r="A4" s="12"/>
    </row>
    <row r="5" ht="85.5" customHeight="1">
      <c r="A5" s="13" t="s">
        <v>277</v>
      </c>
    </row>
    <row r="6" ht="15.75">
      <c r="A6" s="13"/>
    </row>
    <row r="7" ht="68.25" customHeight="1">
      <c r="A7" s="13" t="s">
        <v>803</v>
      </c>
    </row>
    <row r="9" ht="15.75">
      <c r="A9" s="9" t="s">
        <v>296</v>
      </c>
    </row>
    <row r="10" ht="15.75">
      <c r="A10" s="9"/>
    </row>
    <row r="11" ht="15.75">
      <c r="A11" s="12" t="s">
        <v>297</v>
      </c>
    </row>
    <row r="13" ht="38.25" customHeight="1">
      <c r="A13" s="14" t="s">
        <v>360</v>
      </c>
    </row>
    <row r="14" ht="14.25" customHeight="1">
      <c r="A14" s="14"/>
    </row>
    <row r="17" ht="15.75">
      <c r="A17" s="9" t="s">
        <v>14</v>
      </c>
    </row>
    <row r="19" ht="34.5" customHeight="1">
      <c r="A19" s="13" t="s">
        <v>227</v>
      </c>
    </row>
    <row r="20" ht="18" customHeight="1">
      <c r="A20" s="13"/>
    </row>
    <row r="21" ht="23.25" customHeight="1">
      <c r="A21" s="15" t="s">
        <v>228</v>
      </c>
    </row>
    <row r="22" ht="23.25" customHeight="1">
      <c r="A22" s="16"/>
    </row>
    <row r="23" ht="15.75">
      <c r="A23" s="17" t="s">
        <v>230</v>
      </c>
    </row>
    <row r="24" ht="15.75">
      <c r="A24" s="18"/>
    </row>
    <row r="25" ht="85.5" customHeight="1">
      <c r="A25" s="19" t="s">
        <v>252</v>
      </c>
    </row>
    <row r="26" ht="19.5" customHeight="1">
      <c r="A26" s="13"/>
    </row>
    <row r="27" ht="19.5" customHeight="1">
      <c r="A27" s="20" t="s">
        <v>231</v>
      </c>
    </row>
    <row r="29" ht="15.75">
      <c r="A29" s="21" t="s">
        <v>298</v>
      </c>
    </row>
    <row r="31" ht="15.75">
      <c r="A31" s="13" t="s">
        <v>299</v>
      </c>
    </row>
    <row r="33" ht="15.75">
      <c r="A33" s="9" t="s">
        <v>15</v>
      </c>
    </row>
    <row r="35" ht="72.75" customHeight="1">
      <c r="A35" s="13" t="s">
        <v>782</v>
      </c>
    </row>
    <row r="36" ht="38.25" customHeight="1">
      <c r="A36" s="13" t="s">
        <v>253</v>
      </c>
    </row>
    <row r="37" ht="38.25" customHeight="1">
      <c r="A37" s="13" t="s">
        <v>3</v>
      </c>
    </row>
    <row r="38" ht="51" customHeight="1">
      <c r="A38" s="22" t="s">
        <v>4</v>
      </c>
    </row>
    <row r="39" ht="11.25" customHeight="1"/>
    <row r="40" ht="85.5" customHeight="1">
      <c r="A40" s="13" t="s">
        <v>783</v>
      </c>
    </row>
    <row r="41" ht="49.5" customHeight="1">
      <c r="A41" s="13" t="s">
        <v>229</v>
      </c>
    </row>
    <row r="42" ht="105" customHeight="1">
      <c r="A42" s="13" t="s">
        <v>359</v>
      </c>
    </row>
    <row r="43" ht="12.75" customHeight="1"/>
    <row r="44" ht="73.5" customHeight="1">
      <c r="A44" s="400" t="s">
        <v>784</v>
      </c>
    </row>
    <row r="45" ht="69.75" customHeight="1">
      <c r="A45" s="401" t="s">
        <v>647</v>
      </c>
    </row>
    <row r="46" ht="12.75" customHeight="1"/>
    <row r="47" ht="71.25" customHeight="1">
      <c r="A47" s="13" t="s">
        <v>648</v>
      </c>
    </row>
    <row r="48" ht="42.75" customHeight="1">
      <c r="A48" s="13" t="s">
        <v>649</v>
      </c>
    </row>
    <row r="49" ht="70.5" customHeight="1">
      <c r="A49" s="13" t="s">
        <v>650</v>
      </c>
    </row>
    <row r="50" ht="19.5" customHeight="1">
      <c r="A50" s="13" t="s">
        <v>651</v>
      </c>
    </row>
    <row r="51" ht="13.5" customHeight="1">
      <c r="A51" s="13"/>
    </row>
    <row r="52" ht="70.5" customHeight="1">
      <c r="A52" s="13" t="s">
        <v>804</v>
      </c>
    </row>
    <row r="53" ht="117.75" customHeight="1">
      <c r="A53" s="13" t="s">
        <v>652</v>
      </c>
    </row>
    <row r="54" ht="35.25" customHeight="1">
      <c r="A54" s="13" t="s">
        <v>653</v>
      </c>
    </row>
    <row r="55" ht="15.75">
      <c r="A55" s="13"/>
    </row>
    <row r="56" ht="84" customHeight="1">
      <c r="A56" s="13" t="s">
        <v>654</v>
      </c>
    </row>
    <row r="58" ht="66" customHeight="1">
      <c r="A58" s="13" t="s">
        <v>655</v>
      </c>
    </row>
    <row r="59" ht="36" customHeight="1">
      <c r="A59" s="13" t="s">
        <v>669</v>
      </c>
    </row>
    <row r="60" ht="95.25" customHeight="1">
      <c r="A60" s="13" t="s">
        <v>670</v>
      </c>
    </row>
    <row r="61" ht="35.25" customHeight="1">
      <c r="A61" s="399" t="s">
        <v>671</v>
      </c>
    </row>
    <row r="63" s="13" customFormat="1" ht="58.5" customHeight="1">
      <c r="A63" s="13" t="s">
        <v>656</v>
      </c>
    </row>
    <row r="65" ht="69" customHeight="1">
      <c r="A65" s="13" t="s">
        <v>657</v>
      </c>
    </row>
    <row r="66" ht="11.25" customHeight="1"/>
    <row r="67" ht="101.25" customHeight="1">
      <c r="A67" s="13" t="s">
        <v>805</v>
      </c>
    </row>
    <row r="68" ht="85.5" customHeight="1">
      <c r="A68" s="508" t="s">
        <v>785</v>
      </c>
    </row>
    <row r="69" ht="85.5" customHeight="1">
      <c r="A69" s="508" t="s">
        <v>786</v>
      </c>
    </row>
    <row r="70" ht="137.25" customHeight="1">
      <c r="A70" s="13" t="s">
        <v>787</v>
      </c>
    </row>
    <row r="71" ht="71.25" customHeight="1">
      <c r="A71" s="13" t="s">
        <v>788</v>
      </c>
    </row>
    <row r="72" ht="116.25" customHeight="1">
      <c r="A72" s="13" t="s">
        <v>789</v>
      </c>
    </row>
    <row r="73" ht="132.75" customHeight="1">
      <c r="A73" s="13" t="s">
        <v>806</v>
      </c>
    </row>
    <row r="74" ht="50.25" customHeight="1">
      <c r="A74" s="13" t="s">
        <v>790</v>
      </c>
    </row>
    <row r="75" ht="123.75" customHeight="1">
      <c r="A75" s="371" t="s">
        <v>791</v>
      </c>
    </row>
    <row r="76" ht="39.75" customHeight="1">
      <c r="A76" s="13" t="s">
        <v>792</v>
      </c>
    </row>
    <row r="77" ht="86.25" customHeight="1">
      <c r="A77" s="13" t="s">
        <v>793</v>
      </c>
    </row>
    <row r="78" ht="132" customHeight="1">
      <c r="A78" s="509" t="s">
        <v>794</v>
      </c>
    </row>
    <row r="79" ht="111.75" customHeight="1">
      <c r="A79" s="510" t="s">
        <v>795</v>
      </c>
    </row>
    <row r="80" ht="63.75" customHeight="1">
      <c r="A80" s="511" t="s">
        <v>796</v>
      </c>
    </row>
    <row r="81" ht="12" customHeight="1"/>
    <row r="82" ht="152.25" customHeight="1">
      <c r="A82" s="13" t="s">
        <v>658</v>
      </c>
    </row>
    <row r="83" ht="132.75" customHeight="1">
      <c r="A83" s="13" t="s">
        <v>659</v>
      </c>
    </row>
    <row r="84" ht="57.75" customHeight="1">
      <c r="A84" s="13" t="s">
        <v>660</v>
      </c>
    </row>
    <row r="85" ht="22.5" customHeight="1">
      <c r="A85" s="13" t="s">
        <v>661</v>
      </c>
    </row>
    <row r="86" ht="12.75" customHeight="1">
      <c r="A86" s="13"/>
    </row>
    <row r="87" ht="54" customHeight="1">
      <c r="A87" s="13" t="s">
        <v>662</v>
      </c>
    </row>
    <row r="88" ht="33" customHeight="1">
      <c r="A88" s="402" t="s">
        <v>664</v>
      </c>
    </row>
    <row r="89" ht="37.5" customHeight="1">
      <c r="A89" s="508" t="s">
        <v>807</v>
      </c>
    </row>
    <row r="90" ht="97.5" customHeight="1">
      <c r="A90" s="508" t="s">
        <v>808</v>
      </c>
    </row>
    <row r="91" ht="111" customHeight="1">
      <c r="A91" s="508" t="s">
        <v>809</v>
      </c>
    </row>
    <row r="92" ht="64.5" customHeight="1">
      <c r="A92" s="402" t="s">
        <v>810</v>
      </c>
    </row>
    <row r="93" ht="64.5" customHeight="1">
      <c r="A93" s="402" t="s">
        <v>811</v>
      </c>
    </row>
    <row r="95" ht="70.5" customHeight="1">
      <c r="A95" s="13" t="s">
        <v>663</v>
      </c>
    </row>
    <row r="97" ht="59.25" customHeight="1">
      <c r="A97" s="508" t="s">
        <v>797</v>
      </c>
    </row>
    <row r="98" ht="105" customHeight="1">
      <c r="A98" s="508" t="s">
        <v>798</v>
      </c>
    </row>
    <row r="99" ht="122.25" customHeight="1">
      <c r="A99" s="508" t="s">
        <v>799</v>
      </c>
    </row>
  </sheetData>
  <sheetProtection sheet="1"/>
  <printOptions/>
  <pageMargins left="0.5" right="0.5" top="0.2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B45"/>
  <sheetViews>
    <sheetView zoomScale="75" zoomScaleNormal="75" zoomScalePageLayoutView="0" workbookViewId="0" topLeftCell="A1">
      <selection activeCell="A32" sqref="A32"/>
    </sheetView>
  </sheetViews>
  <sheetFormatPr defaultColWidth="8.796875" defaultRowHeight="15"/>
  <cols>
    <col min="1" max="1" width="20.796875" style="24" customWidth="1"/>
    <col min="2" max="3" width="9.09765625" style="24" customWidth="1"/>
    <col min="4" max="4" width="8.796875" style="24" customWidth="1"/>
    <col min="5" max="6" width="11.69921875" style="24" customWidth="1"/>
    <col min="7" max="8" width="8.296875" style="24" customWidth="1"/>
    <col min="9" max="12" width="9.796875" style="24" customWidth="1"/>
    <col min="13" max="16384" width="8.8984375" style="24" customWidth="1"/>
  </cols>
  <sheetData>
    <row r="1" spans="1:12" ht="15.75">
      <c r="A1" s="186" t="str">
        <f>inputPrYr!$D$3</f>
        <v>City of Vining</v>
      </c>
      <c r="B1" s="28"/>
      <c r="C1" s="28"/>
      <c r="D1" s="28"/>
      <c r="E1" s="28"/>
      <c r="F1" s="28"/>
      <c r="G1" s="28"/>
      <c r="H1" s="28"/>
      <c r="I1" s="28"/>
      <c r="J1" s="28"/>
      <c r="K1" s="28"/>
      <c r="L1" s="141">
        <f>inputPrYr!$C$10</f>
        <v>2012</v>
      </c>
    </row>
    <row r="2" spans="1:12" ht="15.75">
      <c r="A2" s="186"/>
      <c r="B2" s="28"/>
      <c r="C2" s="28"/>
      <c r="D2" s="28"/>
      <c r="E2" s="28"/>
      <c r="F2" s="28"/>
      <c r="G2" s="28"/>
      <c r="H2" s="28"/>
      <c r="I2" s="28"/>
      <c r="J2" s="28"/>
      <c r="K2" s="28"/>
      <c r="L2" s="202"/>
    </row>
    <row r="3" spans="1:12" ht="15.75">
      <c r="A3" s="232" t="s">
        <v>108</v>
      </c>
      <c r="B3" s="38"/>
      <c r="C3" s="38"/>
      <c r="D3" s="38"/>
      <c r="E3" s="38"/>
      <c r="F3" s="38"/>
      <c r="G3" s="38"/>
      <c r="H3" s="38"/>
      <c r="I3" s="38"/>
      <c r="J3" s="38"/>
      <c r="K3" s="38"/>
      <c r="L3" s="38"/>
    </row>
    <row r="4" spans="1:12" ht="15.75">
      <c r="A4" s="28"/>
      <c r="B4" s="233"/>
      <c r="C4" s="233"/>
      <c r="D4" s="233"/>
      <c r="E4" s="233"/>
      <c r="F4" s="233"/>
      <c r="G4" s="233"/>
      <c r="H4" s="233"/>
      <c r="I4" s="233"/>
      <c r="J4" s="233"/>
      <c r="K4" s="233"/>
      <c r="L4" s="233"/>
    </row>
    <row r="5" spans="1:12" ht="15.75">
      <c r="A5" s="28"/>
      <c r="B5" s="203" t="s">
        <v>78</v>
      </c>
      <c r="C5" s="203" t="s">
        <v>78</v>
      </c>
      <c r="D5" s="203" t="s">
        <v>93</v>
      </c>
      <c r="E5" s="203"/>
      <c r="F5" s="203" t="s">
        <v>690</v>
      </c>
      <c r="G5" s="28"/>
      <c r="H5" s="28"/>
      <c r="I5" s="234" t="s">
        <v>79</v>
      </c>
      <c r="J5" s="235"/>
      <c r="K5" s="234" t="s">
        <v>79</v>
      </c>
      <c r="L5" s="235"/>
    </row>
    <row r="6" spans="1:12" ht="15.75">
      <c r="A6" s="28"/>
      <c r="B6" s="236" t="s">
        <v>80</v>
      </c>
      <c r="C6" s="236" t="s">
        <v>202</v>
      </c>
      <c r="D6" s="236" t="s">
        <v>81</v>
      </c>
      <c r="E6" s="236" t="s">
        <v>41</v>
      </c>
      <c r="F6" s="236" t="s">
        <v>168</v>
      </c>
      <c r="G6" s="666" t="s">
        <v>82</v>
      </c>
      <c r="H6" s="667"/>
      <c r="I6" s="666">
        <f>inputPrYr!$C$10-1</f>
        <v>2011</v>
      </c>
      <c r="J6" s="669"/>
      <c r="K6" s="668">
        <f>inputPrYr!$C$10</f>
        <v>2012</v>
      </c>
      <c r="L6" s="669"/>
    </row>
    <row r="7" spans="1:12" ht="15.75">
      <c r="A7" s="238" t="s">
        <v>83</v>
      </c>
      <c r="B7" s="239" t="s">
        <v>84</v>
      </c>
      <c r="C7" s="239" t="s">
        <v>203</v>
      </c>
      <c r="D7" s="239" t="s">
        <v>62</v>
      </c>
      <c r="E7" s="239" t="s">
        <v>85</v>
      </c>
      <c r="F7" s="237" t="str">
        <f>CONCATENATE("Jan 1,",L1-1,"")</f>
        <v>Jan 1,2011</v>
      </c>
      <c r="G7" s="165" t="s">
        <v>93</v>
      </c>
      <c r="H7" s="165" t="s">
        <v>94</v>
      </c>
      <c r="I7" s="165" t="s">
        <v>93</v>
      </c>
      <c r="J7" s="165" t="s">
        <v>94</v>
      </c>
      <c r="K7" s="165" t="s">
        <v>93</v>
      </c>
      <c r="L7" s="165" t="s">
        <v>94</v>
      </c>
    </row>
    <row r="8" spans="1:12" ht="15.75">
      <c r="A8" s="238" t="s">
        <v>86</v>
      </c>
      <c r="B8" s="51"/>
      <c r="C8" s="51"/>
      <c r="D8" s="240"/>
      <c r="E8" s="167"/>
      <c r="F8" s="167"/>
      <c r="G8" s="51"/>
      <c r="H8" s="51"/>
      <c r="I8" s="167"/>
      <c r="J8" s="167"/>
      <c r="K8" s="167"/>
      <c r="L8" s="167"/>
    </row>
    <row r="9" spans="1:12" ht="15.75">
      <c r="A9" s="241" t="s">
        <v>866</v>
      </c>
      <c r="B9" s="265"/>
      <c r="C9" s="265"/>
      <c r="D9" s="242"/>
      <c r="E9" s="243"/>
      <c r="F9" s="244"/>
      <c r="G9" s="245"/>
      <c r="H9" s="245"/>
      <c r="I9" s="244"/>
      <c r="J9" s="244"/>
      <c r="K9" s="244"/>
      <c r="L9" s="244"/>
    </row>
    <row r="10" spans="1:12" ht="15.75">
      <c r="A10" s="241"/>
      <c r="B10" s="265"/>
      <c r="C10" s="265"/>
      <c r="D10" s="242"/>
      <c r="E10" s="243"/>
      <c r="F10" s="244"/>
      <c r="G10" s="245"/>
      <c r="H10" s="245"/>
      <c r="I10" s="244"/>
      <c r="J10" s="244"/>
      <c r="K10" s="244"/>
      <c r="L10" s="244"/>
    </row>
    <row r="11" spans="1:12" ht="15.75">
      <c r="A11" s="241"/>
      <c r="B11" s="265"/>
      <c r="C11" s="265"/>
      <c r="D11" s="242"/>
      <c r="E11" s="243"/>
      <c r="F11" s="244"/>
      <c r="G11" s="245"/>
      <c r="H11" s="245"/>
      <c r="I11" s="244"/>
      <c r="J11" s="244"/>
      <c r="K11" s="244"/>
      <c r="L11" s="244"/>
    </row>
    <row r="12" spans="1:12" ht="15.75">
      <c r="A12" s="241"/>
      <c r="B12" s="265"/>
      <c r="C12" s="265"/>
      <c r="D12" s="242"/>
      <c r="E12" s="243"/>
      <c r="F12" s="244"/>
      <c r="G12" s="245"/>
      <c r="H12" s="245"/>
      <c r="I12" s="244"/>
      <c r="J12" s="244"/>
      <c r="K12" s="244"/>
      <c r="L12" s="244"/>
    </row>
    <row r="13" spans="1:12" ht="15.75">
      <c r="A13" s="241"/>
      <c r="B13" s="265"/>
      <c r="C13" s="265"/>
      <c r="D13" s="242"/>
      <c r="E13" s="243"/>
      <c r="F13" s="244"/>
      <c r="G13" s="245"/>
      <c r="H13" s="245"/>
      <c r="I13" s="244"/>
      <c r="J13" s="244"/>
      <c r="K13" s="244"/>
      <c r="L13" s="244"/>
    </row>
    <row r="14" spans="1:12" ht="15.75">
      <c r="A14" s="241"/>
      <c r="B14" s="265"/>
      <c r="C14" s="265"/>
      <c r="D14" s="242"/>
      <c r="E14" s="243"/>
      <c r="F14" s="244"/>
      <c r="G14" s="245"/>
      <c r="H14" s="245"/>
      <c r="I14" s="244"/>
      <c r="J14" s="244"/>
      <c r="K14" s="244"/>
      <c r="L14" s="244"/>
    </row>
    <row r="15" spans="1:12" ht="15.75">
      <c r="A15" s="241"/>
      <c r="B15" s="265"/>
      <c r="C15" s="265"/>
      <c r="D15" s="242"/>
      <c r="E15" s="243"/>
      <c r="F15" s="244"/>
      <c r="G15" s="245"/>
      <c r="H15" s="245"/>
      <c r="I15" s="244"/>
      <c r="J15" s="244"/>
      <c r="K15" s="244"/>
      <c r="L15" s="244"/>
    </row>
    <row r="16" spans="1:12" ht="15.75">
      <c r="A16" s="241"/>
      <c r="B16" s="265"/>
      <c r="C16" s="265"/>
      <c r="D16" s="242"/>
      <c r="E16" s="243"/>
      <c r="F16" s="244"/>
      <c r="G16" s="245"/>
      <c r="H16" s="245"/>
      <c r="I16" s="244"/>
      <c r="J16" s="244"/>
      <c r="K16" s="244"/>
      <c r="L16" s="244"/>
    </row>
    <row r="17" spans="1:12" ht="15.75">
      <c r="A17" s="241"/>
      <c r="B17" s="265"/>
      <c r="C17" s="265"/>
      <c r="D17" s="242"/>
      <c r="E17" s="243"/>
      <c r="F17" s="244"/>
      <c r="G17" s="245"/>
      <c r="H17" s="245"/>
      <c r="I17" s="244"/>
      <c r="J17" s="244"/>
      <c r="K17" s="244"/>
      <c r="L17" s="244"/>
    </row>
    <row r="18" spans="1:12" ht="15.75">
      <c r="A18" s="241"/>
      <c r="B18" s="265"/>
      <c r="C18" s="265"/>
      <c r="D18" s="242"/>
      <c r="E18" s="243"/>
      <c r="F18" s="244"/>
      <c r="G18" s="245"/>
      <c r="H18" s="245"/>
      <c r="I18" s="244"/>
      <c r="J18" s="244"/>
      <c r="K18" s="244"/>
      <c r="L18" s="244"/>
    </row>
    <row r="19" spans="1:12" ht="15.75">
      <c r="A19" s="241"/>
      <c r="B19" s="265"/>
      <c r="C19" s="265"/>
      <c r="D19" s="242"/>
      <c r="E19" s="243"/>
      <c r="F19" s="244"/>
      <c r="G19" s="245"/>
      <c r="H19" s="245"/>
      <c r="I19" s="244"/>
      <c r="J19" s="244"/>
      <c r="K19" s="244"/>
      <c r="L19" s="244"/>
    </row>
    <row r="20" spans="1:12" ht="15.75">
      <c r="A20" s="220" t="s">
        <v>87</v>
      </c>
      <c r="B20" s="246"/>
      <c r="C20" s="246"/>
      <c r="D20" s="247"/>
      <c r="E20" s="248"/>
      <c r="F20" s="249">
        <f>SUM(F9:F19)</f>
        <v>0</v>
      </c>
      <c r="G20" s="250"/>
      <c r="H20" s="250"/>
      <c r="I20" s="249">
        <f>SUM(I9:I19)</f>
        <v>0</v>
      </c>
      <c r="J20" s="249">
        <f>SUM(J9:J19)</f>
        <v>0</v>
      </c>
      <c r="K20" s="249">
        <f>SUM(K9:K19)</f>
        <v>0</v>
      </c>
      <c r="L20" s="249">
        <f>SUM(L9:L19)</f>
        <v>0</v>
      </c>
    </row>
    <row r="21" spans="1:12" ht="15.75">
      <c r="A21" s="165" t="s">
        <v>88</v>
      </c>
      <c r="B21" s="251"/>
      <c r="C21" s="251"/>
      <c r="D21" s="252"/>
      <c r="E21" s="206"/>
      <c r="F21" s="206"/>
      <c r="G21" s="253"/>
      <c r="H21" s="253"/>
      <c r="I21" s="206"/>
      <c r="J21" s="206"/>
      <c r="K21" s="206"/>
      <c r="L21" s="206"/>
    </row>
    <row r="22" spans="1:12" ht="15.75">
      <c r="A22" s="241" t="s">
        <v>866</v>
      </c>
      <c r="B22" s="265"/>
      <c r="C22" s="265"/>
      <c r="D22" s="242"/>
      <c r="E22" s="243"/>
      <c r="F22" s="244"/>
      <c r="G22" s="245"/>
      <c r="H22" s="245"/>
      <c r="I22" s="244"/>
      <c r="J22" s="244"/>
      <c r="K22" s="244"/>
      <c r="L22" s="244"/>
    </row>
    <row r="23" spans="1:12" ht="15.75">
      <c r="A23" s="241"/>
      <c r="B23" s="265"/>
      <c r="C23" s="265"/>
      <c r="D23" s="242"/>
      <c r="E23" s="243"/>
      <c r="F23" s="244"/>
      <c r="G23" s="245"/>
      <c r="H23" s="245"/>
      <c r="I23" s="244"/>
      <c r="J23" s="244"/>
      <c r="K23" s="244"/>
      <c r="L23" s="244"/>
    </row>
    <row r="24" spans="1:12" ht="15.75">
      <c r="A24" s="241"/>
      <c r="B24" s="265"/>
      <c r="C24" s="265"/>
      <c r="D24" s="242"/>
      <c r="E24" s="243"/>
      <c r="F24" s="244"/>
      <c r="G24" s="245"/>
      <c r="H24" s="245"/>
      <c r="I24" s="244"/>
      <c r="J24" s="244"/>
      <c r="K24" s="244"/>
      <c r="L24" s="244"/>
    </row>
    <row r="25" spans="1:12" ht="15.75">
      <c r="A25" s="241"/>
      <c r="B25" s="265"/>
      <c r="C25" s="265"/>
      <c r="D25" s="242"/>
      <c r="E25" s="243"/>
      <c r="F25" s="244"/>
      <c r="G25" s="245"/>
      <c r="H25" s="245"/>
      <c r="I25" s="244"/>
      <c r="J25" s="244"/>
      <c r="K25" s="244"/>
      <c r="L25" s="244"/>
    </row>
    <row r="26" spans="1:12" ht="15.75">
      <c r="A26" s="241"/>
      <c r="B26" s="265"/>
      <c r="C26" s="265"/>
      <c r="D26" s="242"/>
      <c r="E26" s="243"/>
      <c r="F26" s="244"/>
      <c r="G26" s="245"/>
      <c r="H26" s="245"/>
      <c r="I26" s="244"/>
      <c r="J26" s="244"/>
      <c r="K26" s="244"/>
      <c r="L26" s="244"/>
    </row>
    <row r="27" spans="1:12" ht="15.75">
      <c r="A27" s="241"/>
      <c r="B27" s="265"/>
      <c r="C27" s="265"/>
      <c r="D27" s="242"/>
      <c r="E27" s="243"/>
      <c r="F27" s="244"/>
      <c r="G27" s="245"/>
      <c r="H27" s="245"/>
      <c r="I27" s="244"/>
      <c r="J27" s="244"/>
      <c r="K27" s="244"/>
      <c r="L27" s="244"/>
    </row>
    <row r="28" spans="1:12" ht="15.75">
      <c r="A28" s="241"/>
      <c r="B28" s="265"/>
      <c r="C28" s="265"/>
      <c r="D28" s="242"/>
      <c r="E28" s="243"/>
      <c r="F28" s="244"/>
      <c r="G28" s="245"/>
      <c r="H28" s="245"/>
      <c r="I28" s="244"/>
      <c r="J28" s="244"/>
      <c r="K28" s="244"/>
      <c r="L28" s="244"/>
    </row>
    <row r="29" spans="1:12" ht="15.75">
      <c r="A29" s="241"/>
      <c r="B29" s="265"/>
      <c r="C29" s="265"/>
      <c r="D29" s="242"/>
      <c r="E29" s="243"/>
      <c r="F29" s="244"/>
      <c r="G29" s="245"/>
      <c r="H29" s="245"/>
      <c r="I29" s="244"/>
      <c r="J29" s="244"/>
      <c r="K29" s="244"/>
      <c r="L29" s="244"/>
    </row>
    <row r="30" spans="1:12" ht="15.75">
      <c r="A30" s="220" t="s">
        <v>89</v>
      </c>
      <c r="B30" s="246"/>
      <c r="C30" s="246"/>
      <c r="D30" s="254"/>
      <c r="E30" s="248"/>
      <c r="F30" s="255">
        <f>SUM(F22:F29)</f>
        <v>0</v>
      </c>
      <c r="G30" s="250"/>
      <c r="H30" s="250"/>
      <c r="I30" s="255">
        <f>SUM(I22:I29)</f>
        <v>0</v>
      </c>
      <c r="J30" s="255">
        <f>SUM(J22:J29)</f>
        <v>0</v>
      </c>
      <c r="K30" s="249">
        <f>SUM(K22:K29)</f>
        <v>0</v>
      </c>
      <c r="L30" s="255">
        <f>SUM(L22:L29)</f>
        <v>0</v>
      </c>
    </row>
    <row r="31" spans="1:12" ht="15.75">
      <c r="A31" s="165" t="s">
        <v>90</v>
      </c>
      <c r="B31" s="251"/>
      <c r="C31" s="251"/>
      <c r="D31" s="252"/>
      <c r="E31" s="206"/>
      <c r="F31" s="256"/>
      <c r="G31" s="253"/>
      <c r="H31" s="253"/>
      <c r="I31" s="206"/>
      <c r="J31" s="206"/>
      <c r="K31" s="206"/>
      <c r="L31" s="206"/>
    </row>
    <row r="32" spans="1:12" ht="15.75">
      <c r="A32" s="241" t="s">
        <v>870</v>
      </c>
      <c r="B32" s="265"/>
      <c r="C32" s="265"/>
      <c r="D32" s="242"/>
      <c r="E32" s="243"/>
      <c r="F32" s="244"/>
      <c r="G32" s="245"/>
      <c r="H32" s="245"/>
      <c r="I32" s="244"/>
      <c r="J32" s="244"/>
      <c r="K32" s="244"/>
      <c r="L32" s="244"/>
    </row>
    <row r="33" spans="1:12" ht="15.75">
      <c r="A33" s="241"/>
      <c r="B33" s="265"/>
      <c r="C33" s="265"/>
      <c r="D33" s="242"/>
      <c r="E33" s="243"/>
      <c r="F33" s="244"/>
      <c r="G33" s="245"/>
      <c r="H33" s="245"/>
      <c r="I33" s="244"/>
      <c r="J33" s="244"/>
      <c r="K33" s="244"/>
      <c r="L33" s="244"/>
    </row>
    <row r="34" spans="1:12" ht="15.75">
      <c r="A34" s="241"/>
      <c r="B34" s="265"/>
      <c r="C34" s="265"/>
      <c r="D34" s="242"/>
      <c r="E34" s="243"/>
      <c r="F34" s="244"/>
      <c r="G34" s="245"/>
      <c r="H34" s="245"/>
      <c r="I34" s="244"/>
      <c r="J34" s="244"/>
      <c r="K34" s="244"/>
      <c r="L34" s="244"/>
    </row>
    <row r="35" spans="1:12" ht="15.75">
      <c r="A35" s="241"/>
      <c r="B35" s="265"/>
      <c r="C35" s="265"/>
      <c r="D35" s="242"/>
      <c r="E35" s="243"/>
      <c r="F35" s="244"/>
      <c r="G35" s="245"/>
      <c r="H35" s="245"/>
      <c r="I35" s="244"/>
      <c r="J35" s="244"/>
      <c r="K35" s="244"/>
      <c r="L35" s="244"/>
    </row>
    <row r="36" spans="1:12" ht="15.75">
      <c r="A36" s="241"/>
      <c r="B36" s="265"/>
      <c r="C36" s="265"/>
      <c r="D36" s="242"/>
      <c r="E36" s="243"/>
      <c r="F36" s="244"/>
      <c r="G36" s="245"/>
      <c r="H36" s="245"/>
      <c r="I36" s="244"/>
      <c r="J36" s="244"/>
      <c r="K36" s="244"/>
      <c r="L36" s="244"/>
    </row>
    <row r="37" spans="1:12" ht="15.75">
      <c r="A37" s="241"/>
      <c r="B37" s="265"/>
      <c r="C37" s="265"/>
      <c r="D37" s="242"/>
      <c r="E37" s="243"/>
      <c r="F37" s="244"/>
      <c r="G37" s="245"/>
      <c r="H37" s="245"/>
      <c r="I37" s="244"/>
      <c r="J37" s="244"/>
      <c r="K37" s="244"/>
      <c r="L37" s="244"/>
    </row>
    <row r="38" spans="1:28" ht="15.75">
      <c r="A38" s="241"/>
      <c r="B38" s="265"/>
      <c r="C38" s="265"/>
      <c r="D38" s="242"/>
      <c r="E38" s="243"/>
      <c r="F38" s="244"/>
      <c r="G38" s="245"/>
      <c r="H38" s="245"/>
      <c r="I38" s="244"/>
      <c r="J38" s="244"/>
      <c r="K38" s="244"/>
      <c r="L38" s="244"/>
      <c r="M38" s="10"/>
      <c r="N38" s="10"/>
      <c r="O38" s="10"/>
      <c r="P38" s="10"/>
      <c r="Q38" s="10"/>
      <c r="R38" s="10"/>
      <c r="S38" s="10"/>
      <c r="T38" s="10"/>
      <c r="U38" s="10"/>
      <c r="V38" s="10"/>
      <c r="W38" s="10"/>
      <c r="X38" s="10"/>
      <c r="Y38" s="10"/>
      <c r="Z38" s="10"/>
      <c r="AA38" s="10"/>
      <c r="AB38" s="10"/>
    </row>
    <row r="39" spans="1:12" ht="15.75">
      <c r="A39" s="220" t="s">
        <v>174</v>
      </c>
      <c r="B39" s="220"/>
      <c r="C39" s="220"/>
      <c r="D39" s="254"/>
      <c r="E39" s="248"/>
      <c r="F39" s="255">
        <f>SUM(F32:F38)</f>
        <v>0</v>
      </c>
      <c r="G39" s="248"/>
      <c r="H39" s="248"/>
      <c r="I39" s="255">
        <f>SUM(I32:I38)</f>
        <v>0</v>
      </c>
      <c r="J39" s="255">
        <f>SUM(J32:J38)</f>
        <v>0</v>
      </c>
      <c r="K39" s="255">
        <f>SUM(K32:K38)</f>
        <v>0</v>
      </c>
      <c r="L39" s="255">
        <f>SUM(L32:L38)</f>
        <v>0</v>
      </c>
    </row>
    <row r="40" spans="1:12" ht="15.75">
      <c r="A40" s="220" t="s">
        <v>91</v>
      </c>
      <c r="B40" s="220"/>
      <c r="C40" s="220"/>
      <c r="D40" s="220"/>
      <c r="E40" s="248"/>
      <c r="F40" s="255">
        <f>SUM(F20+F30+F39)</f>
        <v>0</v>
      </c>
      <c r="G40" s="248"/>
      <c r="H40" s="248"/>
      <c r="I40" s="255">
        <f>SUM(I20+I30+I39)</f>
        <v>0</v>
      </c>
      <c r="J40" s="255">
        <f>SUM(J20+J30+J39)</f>
        <v>0</v>
      </c>
      <c r="K40" s="255">
        <f>SUM(K20+K30+K39)</f>
        <v>0</v>
      </c>
      <c r="L40" s="255">
        <f>SUM(L20+L30+L39)</f>
        <v>0</v>
      </c>
    </row>
    <row r="41" spans="1:12" ht="15.75">
      <c r="A41" s="10"/>
      <c r="B41" s="10"/>
      <c r="C41" s="10"/>
      <c r="D41" s="10"/>
      <c r="E41" s="10"/>
      <c r="F41" s="10"/>
      <c r="G41" s="10"/>
      <c r="H41" s="10"/>
      <c r="I41" s="10"/>
      <c r="J41" s="10"/>
      <c r="K41" s="10"/>
      <c r="L41" s="10"/>
    </row>
    <row r="42" spans="5:12" ht="15.75">
      <c r="E42" s="257"/>
      <c r="F42" s="257"/>
      <c r="I42" s="257"/>
      <c r="J42" s="257"/>
      <c r="K42" s="257"/>
      <c r="L42" s="257"/>
    </row>
    <row r="43" spans="5:13" ht="15.75">
      <c r="E43" s="10"/>
      <c r="G43" s="258"/>
      <c r="M43" s="10"/>
    </row>
    <row r="44" spans="1:12" ht="15.75">
      <c r="A44" s="10"/>
      <c r="B44" s="10"/>
      <c r="C44" s="10"/>
      <c r="D44" s="10"/>
      <c r="E44" s="10"/>
      <c r="F44" s="10"/>
      <c r="G44" s="10"/>
      <c r="H44" s="10"/>
      <c r="I44" s="10"/>
      <c r="J44" s="10"/>
      <c r="K44" s="10"/>
      <c r="L44" s="10"/>
    </row>
    <row r="45" spans="1:12" ht="15.75">
      <c r="A45" s="10"/>
      <c r="B45" s="10"/>
      <c r="C45" s="10"/>
      <c r="D45" s="10"/>
      <c r="E45" s="10"/>
      <c r="F45" s="10"/>
      <c r="G45" s="10"/>
      <c r="H45" s="10"/>
      <c r="I45" s="10"/>
      <c r="J45" s="10"/>
      <c r="K45" s="10"/>
      <c r="L45" s="10"/>
    </row>
  </sheetData>
  <sheetProtection sheet="1" objects="1" scenarios="1"/>
  <mergeCells count="3">
    <mergeCell ref="G6:H6"/>
    <mergeCell ref="K6:L6"/>
    <mergeCell ref="I6:J6"/>
  </mergeCells>
  <printOptions/>
  <pageMargins left="0.21" right="0.2" top="1" bottom="0.5" header="0.5" footer="0.25"/>
  <pageSetup blackAndWhite="1" horizontalDpi="600" verticalDpi="6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9">
      <selection activeCell="A9" sqref="A9"/>
    </sheetView>
  </sheetViews>
  <sheetFormatPr defaultColWidth="8.796875" defaultRowHeight="15"/>
  <cols>
    <col min="1" max="1" width="25.796875" style="24" customWidth="1"/>
    <col min="2" max="2" width="11.796875" style="24" customWidth="1"/>
    <col min="3" max="4" width="9.796875" style="24" customWidth="1"/>
    <col min="5" max="5" width="17.09765625" style="24" customWidth="1"/>
    <col min="6" max="8" width="15.796875" style="24" customWidth="1"/>
    <col min="9" max="10" width="9.796875" style="24" customWidth="1"/>
    <col min="11" max="16384" width="8.8984375" style="24" customWidth="1"/>
  </cols>
  <sheetData>
    <row r="1" spans="1:10" ht="15.75">
      <c r="A1" s="186" t="str">
        <f>inputPrYr!$D$3</f>
        <v>City of Vining</v>
      </c>
      <c r="B1" s="28"/>
      <c r="C1" s="28"/>
      <c r="D1" s="28"/>
      <c r="E1" s="28"/>
      <c r="F1" s="28"/>
      <c r="G1" s="28"/>
      <c r="H1" s="141">
        <f>inputPrYr!$C$10</f>
        <v>2012</v>
      </c>
      <c r="I1" s="10"/>
      <c r="J1" s="259"/>
    </row>
    <row r="2" spans="1:10" ht="15.75">
      <c r="A2" s="186"/>
      <c r="B2" s="28"/>
      <c r="C2" s="28"/>
      <c r="D2" s="28"/>
      <c r="E2" s="28"/>
      <c r="F2" s="28"/>
      <c r="G2" s="28"/>
      <c r="H2" s="28"/>
      <c r="I2" s="10"/>
      <c r="J2" s="259"/>
    </row>
    <row r="3" spans="1:10" ht="15.75">
      <c r="A3" s="232" t="s">
        <v>144</v>
      </c>
      <c r="B3" s="38"/>
      <c r="C3" s="38"/>
      <c r="D3" s="38"/>
      <c r="E3" s="38"/>
      <c r="F3" s="38"/>
      <c r="G3" s="38"/>
      <c r="H3" s="38"/>
      <c r="I3" s="260"/>
      <c r="J3" s="260"/>
    </row>
    <row r="4" spans="1:10" ht="15.75">
      <c r="A4" s="28"/>
      <c r="B4" s="233"/>
      <c r="C4" s="233"/>
      <c r="D4" s="233"/>
      <c r="E4" s="233"/>
      <c r="F4" s="233"/>
      <c r="G4" s="233"/>
      <c r="H4" s="233"/>
      <c r="I4" s="261"/>
      <c r="J4" s="261"/>
    </row>
    <row r="5" spans="1:10" ht="15.75">
      <c r="A5" s="28"/>
      <c r="B5" s="170"/>
      <c r="C5" s="170"/>
      <c r="D5" s="170"/>
      <c r="E5" s="203" t="s">
        <v>22</v>
      </c>
      <c r="F5" s="170"/>
      <c r="G5" s="170"/>
      <c r="H5" s="170"/>
      <c r="I5" s="262"/>
      <c r="J5" s="144"/>
    </row>
    <row r="6" spans="1:8" ht="15.75">
      <c r="A6" s="28"/>
      <c r="B6" s="236"/>
      <c r="C6" s="236" t="s">
        <v>92</v>
      </c>
      <c r="D6" s="236" t="s">
        <v>93</v>
      </c>
      <c r="E6" s="236" t="s">
        <v>41</v>
      </c>
      <c r="F6" s="236" t="s">
        <v>195</v>
      </c>
      <c r="G6" s="236" t="s">
        <v>95</v>
      </c>
      <c r="H6" s="236" t="s">
        <v>95</v>
      </c>
    </row>
    <row r="7" spans="1:8" ht="15.75">
      <c r="A7" s="28"/>
      <c r="B7" s="236" t="s">
        <v>96</v>
      </c>
      <c r="C7" s="236" t="s">
        <v>97</v>
      </c>
      <c r="D7" s="236" t="s">
        <v>81</v>
      </c>
      <c r="E7" s="236" t="s">
        <v>98</v>
      </c>
      <c r="F7" s="236" t="s">
        <v>196</v>
      </c>
      <c r="G7" s="236" t="s">
        <v>99</v>
      </c>
      <c r="H7" s="236" t="s">
        <v>99</v>
      </c>
    </row>
    <row r="8" spans="1:8" ht="15.75">
      <c r="A8" s="263" t="s">
        <v>100</v>
      </c>
      <c r="B8" s="239" t="s">
        <v>78</v>
      </c>
      <c r="C8" s="264" t="s">
        <v>101</v>
      </c>
      <c r="D8" s="239" t="s">
        <v>62</v>
      </c>
      <c r="E8" s="264" t="s">
        <v>169</v>
      </c>
      <c r="F8" s="239">
        <f>inputPrYr!C10-1</f>
        <v>2011</v>
      </c>
      <c r="G8" s="239">
        <f>inputPrYr!C10-1</f>
        <v>2011</v>
      </c>
      <c r="H8" s="217">
        <f>inputPrYr!$C$10</f>
        <v>2012</v>
      </c>
    </row>
    <row r="9" spans="1:8" ht="15.75">
      <c r="A9" s="241" t="s">
        <v>866</v>
      </c>
      <c r="B9" s="265"/>
      <c r="C9" s="266"/>
      <c r="D9" s="242"/>
      <c r="E9" s="243"/>
      <c r="F9" s="243"/>
      <c r="G9" s="243"/>
      <c r="H9" s="243"/>
    </row>
    <row r="10" spans="1:8" ht="15.75">
      <c r="A10" s="241"/>
      <c r="B10" s="265"/>
      <c r="C10" s="266"/>
      <c r="D10" s="242"/>
      <c r="E10" s="243"/>
      <c r="F10" s="243"/>
      <c r="G10" s="243"/>
      <c r="H10" s="243"/>
    </row>
    <row r="11" spans="1:8" ht="15.75">
      <c r="A11" s="241"/>
      <c r="B11" s="265"/>
      <c r="C11" s="266"/>
      <c r="D11" s="242"/>
      <c r="E11" s="243"/>
      <c r="F11" s="243"/>
      <c r="G11" s="243"/>
      <c r="H11" s="243"/>
    </row>
    <row r="12" spans="1:8" ht="15.75">
      <c r="A12" s="241"/>
      <c r="B12" s="265"/>
      <c r="C12" s="266"/>
      <c r="D12" s="242"/>
      <c r="E12" s="243"/>
      <c r="F12" s="243"/>
      <c r="G12" s="243"/>
      <c r="H12" s="243"/>
    </row>
    <row r="13" spans="1:8" ht="15.75">
      <c r="A13" s="241"/>
      <c r="B13" s="265"/>
      <c r="C13" s="266"/>
      <c r="D13" s="242"/>
      <c r="E13" s="243"/>
      <c r="F13" s="243"/>
      <c r="G13" s="243"/>
      <c r="H13" s="243"/>
    </row>
    <row r="14" spans="1:8" ht="15.75">
      <c r="A14" s="241"/>
      <c r="B14" s="265"/>
      <c r="C14" s="266"/>
      <c r="D14" s="242"/>
      <c r="E14" s="243"/>
      <c r="F14" s="243"/>
      <c r="G14" s="243"/>
      <c r="H14" s="243"/>
    </row>
    <row r="15" spans="1:8" ht="15.75">
      <c r="A15" s="241"/>
      <c r="B15" s="265"/>
      <c r="C15" s="266"/>
      <c r="D15" s="242"/>
      <c r="E15" s="243"/>
      <c r="F15" s="243"/>
      <c r="G15" s="243"/>
      <c r="H15" s="243"/>
    </row>
    <row r="16" spans="1:8" ht="15.75">
      <c r="A16" s="241"/>
      <c r="B16" s="265"/>
      <c r="C16" s="266"/>
      <c r="D16" s="242"/>
      <c r="E16" s="243"/>
      <c r="F16" s="243"/>
      <c r="G16" s="243"/>
      <c r="H16" s="243"/>
    </row>
    <row r="17" spans="1:8" ht="15.75">
      <c r="A17" s="241"/>
      <c r="B17" s="265"/>
      <c r="C17" s="266"/>
      <c r="D17" s="242"/>
      <c r="E17" s="243"/>
      <c r="F17" s="243"/>
      <c r="G17" s="243"/>
      <c r="H17" s="243"/>
    </row>
    <row r="18" spans="1:8" ht="15.75">
      <c r="A18" s="241"/>
      <c r="B18" s="265"/>
      <c r="C18" s="266"/>
      <c r="D18" s="242"/>
      <c r="E18" s="243"/>
      <c r="F18" s="243"/>
      <c r="G18" s="243"/>
      <c r="H18" s="243"/>
    </row>
    <row r="19" spans="1:8" ht="15.75">
      <c r="A19" s="241"/>
      <c r="B19" s="265"/>
      <c r="C19" s="266"/>
      <c r="D19" s="242"/>
      <c r="E19" s="243"/>
      <c r="F19" s="243"/>
      <c r="G19" s="243"/>
      <c r="H19" s="243"/>
    </row>
    <row r="20" spans="1:8" ht="15.75">
      <c r="A20" s="241"/>
      <c r="B20" s="265"/>
      <c r="C20" s="266"/>
      <c r="D20" s="242"/>
      <c r="E20" s="243"/>
      <c r="F20" s="243"/>
      <c r="G20" s="243"/>
      <c r="H20" s="243"/>
    </row>
    <row r="21" spans="1:8" ht="15.75">
      <c r="A21" s="241"/>
      <c r="B21" s="265"/>
      <c r="C21" s="266"/>
      <c r="D21" s="242"/>
      <c r="E21" s="243"/>
      <c r="F21" s="243"/>
      <c r="G21" s="243"/>
      <c r="H21" s="243"/>
    </row>
    <row r="22" spans="1:8" ht="15.75">
      <c r="A22" s="241"/>
      <c r="B22" s="265"/>
      <c r="C22" s="266"/>
      <c r="D22" s="242"/>
      <c r="E22" s="243"/>
      <c r="F22" s="243"/>
      <c r="G22" s="243"/>
      <c r="H22" s="243"/>
    </row>
    <row r="23" spans="1:8" ht="15.75">
      <c r="A23" s="241"/>
      <c r="B23" s="265"/>
      <c r="C23" s="266"/>
      <c r="D23" s="242"/>
      <c r="E23" s="243"/>
      <c r="F23" s="243"/>
      <c r="G23" s="243"/>
      <c r="H23" s="243"/>
    </row>
    <row r="24" spans="1:8" ht="15.75">
      <c r="A24" s="241"/>
      <c r="B24" s="265"/>
      <c r="C24" s="266"/>
      <c r="D24" s="242"/>
      <c r="E24" s="243"/>
      <c r="F24" s="243"/>
      <c r="G24" s="243"/>
      <c r="H24" s="243"/>
    </row>
    <row r="25" spans="1:8" ht="15.75">
      <c r="A25" s="241"/>
      <c r="B25" s="265"/>
      <c r="C25" s="266"/>
      <c r="D25" s="242"/>
      <c r="E25" s="243"/>
      <c r="F25" s="243"/>
      <c r="G25" s="243"/>
      <c r="H25" s="243"/>
    </row>
    <row r="26" spans="1:8" ht="15.75">
      <c r="A26" s="241"/>
      <c r="B26" s="265"/>
      <c r="C26" s="266"/>
      <c r="D26" s="242"/>
      <c r="E26" s="243"/>
      <c r="F26" s="243"/>
      <c r="G26" s="243"/>
      <c r="H26" s="243"/>
    </row>
    <row r="27" spans="1:8" ht="15.75">
      <c r="A27" s="241"/>
      <c r="B27" s="265"/>
      <c r="C27" s="266"/>
      <c r="D27" s="242"/>
      <c r="E27" s="243"/>
      <c r="F27" s="243"/>
      <c r="G27" s="243"/>
      <c r="H27" s="243"/>
    </row>
    <row r="28" spans="1:8" ht="15.75">
      <c r="A28" s="241"/>
      <c r="B28" s="265"/>
      <c r="C28" s="266"/>
      <c r="D28" s="242"/>
      <c r="E28" s="243"/>
      <c r="F28" s="243"/>
      <c r="G28" s="243"/>
      <c r="H28" s="243"/>
    </row>
    <row r="29" spans="1:8" ht="15.75">
      <c r="A29" s="241"/>
      <c r="B29" s="265"/>
      <c r="C29" s="266"/>
      <c r="D29" s="242"/>
      <c r="E29" s="243"/>
      <c r="F29" s="243"/>
      <c r="G29" s="243"/>
      <c r="H29" s="243"/>
    </row>
    <row r="30" spans="1:8" ht="15.75">
      <c r="A30" s="241"/>
      <c r="B30" s="265"/>
      <c r="C30" s="266"/>
      <c r="D30" s="242"/>
      <c r="E30" s="243"/>
      <c r="F30" s="243"/>
      <c r="G30" s="243"/>
      <c r="H30" s="243"/>
    </row>
    <row r="31" spans="1:8" ht="15.75">
      <c r="A31" s="241"/>
      <c r="B31" s="265"/>
      <c r="C31" s="266"/>
      <c r="D31" s="242"/>
      <c r="E31" s="243"/>
      <c r="F31" s="243"/>
      <c r="G31" s="243"/>
      <c r="H31" s="243"/>
    </row>
    <row r="32" spans="1:8" ht="16.5" thickBot="1">
      <c r="A32" s="187" t="s">
        <v>48</v>
      </c>
      <c r="B32" s="187"/>
      <c r="C32" s="187"/>
      <c r="D32" s="187"/>
      <c r="E32" s="267"/>
      <c r="F32" s="268">
        <f>SUM(F9:F31)</f>
        <v>0</v>
      </c>
      <c r="G32" s="268">
        <f>SUM(G9:G31)</f>
        <v>0</v>
      </c>
      <c r="H32" s="269">
        <f>SUM(H9:H31)</f>
        <v>0</v>
      </c>
    </row>
    <row r="33" spans="1:10" ht="16.5" thickTop="1">
      <c r="A33" s="28"/>
      <c r="B33" s="28"/>
      <c r="C33" s="28"/>
      <c r="D33" s="28"/>
      <c r="E33" s="28"/>
      <c r="F33" s="28"/>
      <c r="G33" s="28"/>
      <c r="H33" s="28"/>
      <c r="I33" s="257"/>
      <c r="J33" s="257"/>
    </row>
    <row r="34" spans="1:10" ht="15.75">
      <c r="A34" s="270" t="s">
        <v>312</v>
      </c>
      <c r="B34" s="271"/>
      <c r="C34" s="271"/>
      <c r="D34" s="271"/>
      <c r="E34" s="271"/>
      <c r="F34" s="271"/>
      <c r="G34" s="28"/>
      <c r="H34" s="28"/>
      <c r="I34" s="257"/>
      <c r="J34" s="257"/>
    </row>
    <row r="43" ht="15.75">
      <c r="C43" s="258"/>
    </row>
  </sheetData>
  <sheetProtection sheet="1" objects="1" scenarios="1"/>
  <printOptions/>
  <pageMargins left="0.4" right="0.4" top="1" bottom="0.5" header="0.5" footer="0.5"/>
  <pageSetup blackAndWhite="1" horizontalDpi="600" verticalDpi="6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1"/>
  <sheetViews>
    <sheetView zoomScalePageLayoutView="0" workbookViewId="0" topLeftCell="A46">
      <selection activeCell="E41" sqref="E41"/>
    </sheetView>
  </sheetViews>
  <sheetFormatPr defaultColWidth="8.796875" defaultRowHeight="15"/>
  <cols>
    <col min="1" max="1" width="2.3984375" style="24" customWidth="1"/>
    <col min="2" max="2" width="31.09765625" style="24" customWidth="1"/>
    <col min="3" max="4" width="15.796875" style="24" customWidth="1"/>
    <col min="5" max="5" width="16.19921875" style="24" customWidth="1"/>
    <col min="6" max="6" width="6.796875" style="24" customWidth="1"/>
    <col min="7" max="7" width="7.09765625" style="24" customWidth="1"/>
    <col min="8" max="8" width="8.8984375" style="24" customWidth="1"/>
    <col min="9" max="9" width="5" style="24" customWidth="1"/>
    <col min="10" max="10" width="7.796875" style="24" customWidth="1"/>
    <col min="11" max="16384" width="8.8984375" style="24" customWidth="1"/>
  </cols>
  <sheetData>
    <row r="1" spans="2:5" ht="15.75">
      <c r="B1" s="186" t="str">
        <f>(inputPrYr!D3)</f>
        <v>City of Vining</v>
      </c>
      <c r="C1" s="28"/>
      <c r="D1" s="28"/>
      <c r="E1" s="141">
        <f>inputPrYr!$C$10</f>
        <v>2012</v>
      </c>
    </row>
    <row r="2" spans="2:5" ht="15.75">
      <c r="B2" s="28"/>
      <c r="C2" s="28"/>
      <c r="D2" s="28"/>
      <c r="E2" s="202"/>
    </row>
    <row r="3" spans="2:5" ht="15.75">
      <c r="B3" s="46"/>
      <c r="C3" s="209"/>
      <c r="D3" s="209"/>
      <c r="E3" s="143"/>
    </row>
    <row r="4" spans="2:5" ht="15.75">
      <c r="B4" s="46" t="s">
        <v>106</v>
      </c>
      <c r="C4" s="272"/>
      <c r="D4" s="272"/>
      <c r="E4" s="272"/>
    </row>
    <row r="5" spans="2:5" ht="15.75">
      <c r="B5" s="34" t="s">
        <v>49</v>
      </c>
      <c r="C5" s="578" t="s">
        <v>69</v>
      </c>
      <c r="D5" s="579" t="s">
        <v>192</v>
      </c>
      <c r="E5" s="351" t="s">
        <v>193</v>
      </c>
    </row>
    <row r="6" spans="2:5" ht="15.75">
      <c r="B6" s="560" t="str">
        <f>+(inputPrYr!B22)</f>
        <v>General</v>
      </c>
      <c r="C6" s="407">
        <f>inputPrYr!$C$10-2</f>
        <v>2010</v>
      </c>
      <c r="D6" s="407">
        <f>inputPrYr!$C$10-1</f>
        <v>2011</v>
      </c>
      <c r="E6" s="217">
        <f>inputPrYr!$C$10</f>
        <v>2012</v>
      </c>
    </row>
    <row r="7" spans="2:5" ht="15.75">
      <c r="B7" s="113" t="s">
        <v>163</v>
      </c>
      <c r="C7" s="408">
        <v>16761</v>
      </c>
      <c r="D7" s="409">
        <f>C59</f>
        <v>19157</v>
      </c>
      <c r="E7" s="273">
        <f>D59</f>
        <v>12122</v>
      </c>
    </row>
    <row r="8" spans="2:5" ht="15.75">
      <c r="B8" s="274" t="s">
        <v>165</v>
      </c>
      <c r="C8" s="410"/>
      <c r="D8" s="409"/>
      <c r="E8" s="273"/>
    </row>
    <row r="9" spans="2:5" ht="15.75">
      <c r="B9" s="113" t="s">
        <v>50</v>
      </c>
      <c r="C9" s="408">
        <v>8358</v>
      </c>
      <c r="D9" s="410">
        <f>inputPrYr!E22</f>
        <v>8358</v>
      </c>
      <c r="E9" s="275" t="s">
        <v>37</v>
      </c>
    </row>
    <row r="10" spans="2:5" ht="15.75">
      <c r="B10" s="113" t="s">
        <v>51</v>
      </c>
      <c r="C10" s="408">
        <v>0</v>
      </c>
      <c r="D10" s="408"/>
      <c r="E10" s="276"/>
    </row>
    <row r="11" spans="2:5" ht="15.75">
      <c r="B11" s="113" t="s">
        <v>52</v>
      </c>
      <c r="C11" s="408"/>
      <c r="D11" s="408">
        <v>597</v>
      </c>
      <c r="E11" s="277">
        <f>Mvalloc!C8</f>
        <v>1890</v>
      </c>
    </row>
    <row r="12" spans="2:5" ht="15.75">
      <c r="B12" s="113" t="s">
        <v>53</v>
      </c>
      <c r="C12" s="408"/>
      <c r="D12" s="408">
        <v>72</v>
      </c>
      <c r="E12" s="277">
        <f>Mvalloc!D8</f>
        <v>0</v>
      </c>
    </row>
    <row r="13" spans="2:5" ht="15.75">
      <c r="B13" s="278" t="s">
        <v>102</v>
      </c>
      <c r="C13" s="408"/>
      <c r="D13" s="408">
        <v>38</v>
      </c>
      <c r="E13" s="277">
        <f>Mvalloc!E8</f>
        <v>71</v>
      </c>
    </row>
    <row r="14" spans="2:5" ht="15.75">
      <c r="B14" s="278" t="s">
        <v>145</v>
      </c>
      <c r="C14" s="408"/>
      <c r="D14" s="408"/>
      <c r="E14" s="277">
        <f>inputOth!E24</f>
        <v>0</v>
      </c>
    </row>
    <row r="15" spans="2:5" ht="15.75">
      <c r="B15" s="278" t="s">
        <v>10</v>
      </c>
      <c r="C15" s="408"/>
      <c r="D15" s="408"/>
      <c r="E15" s="277">
        <f>inputOth!E56</f>
        <v>0</v>
      </c>
    </row>
    <row r="16" spans="2:5" ht="15.75">
      <c r="B16" s="278" t="s">
        <v>13</v>
      </c>
      <c r="C16" s="408"/>
      <c r="D16" s="408"/>
      <c r="E16" s="277">
        <f>inputOth!E57</f>
        <v>0</v>
      </c>
    </row>
    <row r="17" spans="2:5" ht="15.75">
      <c r="B17" s="278" t="s">
        <v>11</v>
      </c>
      <c r="C17" s="408"/>
      <c r="D17" s="408"/>
      <c r="E17" s="277">
        <f>Mvalloc!$F8</f>
        <v>0</v>
      </c>
    </row>
    <row r="18" spans="2:5" ht="15.75">
      <c r="B18" s="279" t="s">
        <v>54</v>
      </c>
      <c r="C18" s="408">
        <v>2566</v>
      </c>
      <c r="D18" s="408">
        <v>2000</v>
      </c>
      <c r="E18" s="276">
        <v>2656</v>
      </c>
    </row>
    <row r="19" spans="2:5" ht="15.75">
      <c r="B19" s="279" t="s">
        <v>800</v>
      </c>
      <c r="C19" s="408"/>
      <c r="D19" s="408"/>
      <c r="E19" s="276"/>
    </row>
    <row r="20" spans="2:5" ht="15.75">
      <c r="B20" s="279" t="s">
        <v>138</v>
      </c>
      <c r="C20" s="408">
        <v>2457</v>
      </c>
      <c r="D20" s="408">
        <v>1500</v>
      </c>
      <c r="E20" s="280">
        <v>1500</v>
      </c>
    </row>
    <row r="21" spans="2:5" ht="15.75">
      <c r="B21" s="279" t="s">
        <v>139</v>
      </c>
      <c r="C21" s="408">
        <v>2769</v>
      </c>
      <c r="D21" s="408">
        <v>1500</v>
      </c>
      <c r="E21" s="276">
        <v>1500</v>
      </c>
    </row>
    <row r="22" spans="2:5" ht="15.75">
      <c r="B22" s="279" t="s">
        <v>140</v>
      </c>
      <c r="C22" s="408">
        <v>50</v>
      </c>
      <c r="D22" s="408">
        <v>50</v>
      </c>
      <c r="E22" s="276">
        <v>50</v>
      </c>
    </row>
    <row r="23" spans="2:5" ht="15.75">
      <c r="B23" s="279" t="s">
        <v>141</v>
      </c>
      <c r="C23" s="408">
        <v>25</v>
      </c>
      <c r="D23" s="408"/>
      <c r="E23" s="276"/>
    </row>
    <row r="24" spans="2:5" ht="15.75">
      <c r="B24" s="279" t="s">
        <v>855</v>
      </c>
      <c r="C24" s="408">
        <v>72</v>
      </c>
      <c r="D24" s="408">
        <v>50</v>
      </c>
      <c r="E24" s="276">
        <v>50</v>
      </c>
    </row>
    <row r="25" spans="2:5" ht="15.75">
      <c r="B25" s="279"/>
      <c r="C25" s="408"/>
      <c r="D25" s="408"/>
      <c r="E25" s="276"/>
    </row>
    <row r="26" spans="2:5" ht="15.75">
      <c r="B26" s="279"/>
      <c r="C26" s="408"/>
      <c r="D26" s="408"/>
      <c r="E26" s="276"/>
    </row>
    <row r="27" spans="2:5" ht="15.75">
      <c r="B27" s="279" t="s">
        <v>55</v>
      </c>
      <c r="C27" s="408"/>
      <c r="D27" s="408"/>
      <c r="E27" s="276"/>
    </row>
    <row r="28" spans="2:5" ht="15.75">
      <c r="B28" s="281" t="s">
        <v>56</v>
      </c>
      <c r="C28" s="408">
        <v>83</v>
      </c>
      <c r="D28" s="408"/>
      <c r="E28" s="276"/>
    </row>
    <row r="29" spans="2:5" ht="15.75">
      <c r="B29" s="169" t="s">
        <v>142</v>
      </c>
      <c r="C29" s="408">
        <v>105</v>
      </c>
      <c r="D29" s="408"/>
      <c r="E29" s="282"/>
    </row>
    <row r="30" spans="2:5" ht="15.75">
      <c r="B30" s="169" t="s">
        <v>684</v>
      </c>
      <c r="C30" s="411">
        <f>IF(C31*0.1&lt;C29,"Exceed 10% Rule","")</f>
      </c>
      <c r="D30" s="411">
        <f>IF(D31*0.1&lt;D29,"Exceed 10% Rule","")</f>
      </c>
      <c r="E30" s="283">
        <f>IF(E31*0.1+E65&lt;E29,"Exceed 10% Rule","")</f>
      </c>
    </row>
    <row r="31" spans="2:5" ht="15.75">
      <c r="B31" s="284" t="s">
        <v>57</v>
      </c>
      <c r="C31" s="412">
        <f>SUM(C9:C29)</f>
        <v>16485</v>
      </c>
      <c r="D31" s="413">
        <f>SUM(D9:D29)</f>
        <v>14165</v>
      </c>
      <c r="E31" s="285">
        <f>SUM(E9:E29)</f>
        <v>7717</v>
      </c>
    </row>
    <row r="32" spans="2:5" ht="15.75">
      <c r="B32" s="284" t="s">
        <v>58</v>
      </c>
      <c r="C32" s="413">
        <f>C7+C31</f>
        <v>33246</v>
      </c>
      <c r="D32" s="413">
        <f>D7+D31</f>
        <v>33322</v>
      </c>
      <c r="E32" s="286">
        <f>E7+E31</f>
        <v>19839</v>
      </c>
    </row>
    <row r="33" spans="2:5" ht="15.75">
      <c r="B33" s="274" t="s">
        <v>59</v>
      </c>
      <c r="C33" s="410"/>
      <c r="D33" s="410"/>
      <c r="E33" s="277"/>
    </row>
    <row r="34" spans="2:5" ht="15.75">
      <c r="B34" s="287" t="s">
        <v>172</v>
      </c>
      <c r="C34" s="408">
        <v>2022</v>
      </c>
      <c r="D34" s="408">
        <v>3500</v>
      </c>
      <c r="E34" s="276">
        <v>5000</v>
      </c>
    </row>
    <row r="35" spans="2:5" ht="15.75">
      <c r="B35" s="287" t="s">
        <v>175</v>
      </c>
      <c r="C35" s="408"/>
      <c r="D35" s="408"/>
      <c r="E35" s="276"/>
    </row>
    <row r="36" spans="2:5" ht="15.75">
      <c r="B36" s="287" t="s">
        <v>856</v>
      </c>
      <c r="C36" s="408">
        <v>3146</v>
      </c>
      <c r="D36" s="408">
        <v>4000</v>
      </c>
      <c r="E36" s="276">
        <v>4500</v>
      </c>
    </row>
    <row r="37" spans="2:5" ht="15.75">
      <c r="B37" s="287" t="s">
        <v>857</v>
      </c>
      <c r="C37" s="408">
        <v>263</v>
      </c>
      <c r="D37" s="408">
        <v>250</v>
      </c>
      <c r="E37" s="276">
        <v>250</v>
      </c>
    </row>
    <row r="38" spans="2:5" ht="15.75">
      <c r="B38" s="287" t="s">
        <v>858</v>
      </c>
      <c r="C38" s="408">
        <v>1383</v>
      </c>
      <c r="D38" s="408">
        <v>1500</v>
      </c>
      <c r="E38" s="276">
        <v>2000</v>
      </c>
    </row>
    <row r="39" spans="2:5" ht="15.75">
      <c r="B39" s="287" t="s">
        <v>859</v>
      </c>
      <c r="C39" s="408">
        <v>887</v>
      </c>
      <c r="D39" s="408">
        <v>1000</v>
      </c>
      <c r="E39" s="276">
        <v>1000</v>
      </c>
    </row>
    <row r="40" spans="2:5" ht="15.75">
      <c r="B40" s="287"/>
      <c r="C40" s="408"/>
      <c r="D40" s="408"/>
      <c r="E40" s="276"/>
    </row>
    <row r="41" spans="2:5" ht="15.75">
      <c r="B41" s="287" t="s">
        <v>867</v>
      </c>
      <c r="C41" s="408">
        <v>1359</v>
      </c>
      <c r="D41" s="408">
        <v>1500</v>
      </c>
      <c r="E41" s="276">
        <f>5000-659</f>
        <v>4341</v>
      </c>
    </row>
    <row r="42" spans="2:5" ht="15.75">
      <c r="B42" s="287" t="s">
        <v>860</v>
      </c>
      <c r="C42" s="408">
        <v>150</v>
      </c>
      <c r="D42" s="408">
        <v>150</v>
      </c>
      <c r="E42" s="276">
        <v>500</v>
      </c>
    </row>
    <row r="43" spans="2:5" ht="15.75">
      <c r="B43" s="287" t="s">
        <v>869</v>
      </c>
      <c r="C43" s="408">
        <v>590</v>
      </c>
      <c r="D43" s="408">
        <v>1500</v>
      </c>
      <c r="E43" s="276">
        <v>2000</v>
      </c>
    </row>
    <row r="44" spans="2:5" ht="15.75">
      <c r="B44" s="287" t="s">
        <v>861</v>
      </c>
      <c r="C44" s="408">
        <v>1300</v>
      </c>
      <c r="D44" s="408">
        <v>1300</v>
      </c>
      <c r="E44" s="276">
        <v>2000</v>
      </c>
    </row>
    <row r="45" spans="2:5" ht="15.75">
      <c r="B45" s="287" t="s">
        <v>875</v>
      </c>
      <c r="C45" s="408">
        <v>2000</v>
      </c>
      <c r="D45" s="408">
        <v>6000</v>
      </c>
      <c r="E45" s="276">
        <v>6000</v>
      </c>
    </row>
    <row r="46" spans="2:5" ht="15.75">
      <c r="B46" s="287" t="s">
        <v>862</v>
      </c>
      <c r="C46" s="408">
        <v>25</v>
      </c>
      <c r="D46" s="408"/>
      <c r="E46" s="276"/>
    </row>
    <row r="47" spans="2:5" ht="15.75">
      <c r="B47" s="287" t="s">
        <v>863</v>
      </c>
      <c r="C47" s="408">
        <v>600</v>
      </c>
      <c r="D47" s="408"/>
      <c r="E47" s="276">
        <v>707</v>
      </c>
    </row>
    <row r="48" spans="2:5" ht="15.75">
      <c r="B48" s="287" t="s">
        <v>864</v>
      </c>
      <c r="C48" s="408">
        <v>364</v>
      </c>
      <c r="D48" s="408">
        <v>500</v>
      </c>
      <c r="E48" s="276">
        <v>500</v>
      </c>
    </row>
    <row r="49" spans="2:5" ht="15.75">
      <c r="B49" s="287"/>
      <c r="C49" s="408"/>
      <c r="D49" s="408"/>
      <c r="E49" s="276"/>
    </row>
    <row r="50" spans="2:5" ht="15.75">
      <c r="B50" s="287"/>
      <c r="C50" s="408"/>
      <c r="D50" s="408"/>
      <c r="E50" s="276"/>
    </row>
    <row r="51" spans="2:5" ht="15.75">
      <c r="B51" s="287"/>
      <c r="C51" s="408"/>
      <c r="D51" s="408"/>
      <c r="E51" s="276"/>
    </row>
    <row r="52" spans="2:5" ht="15.75">
      <c r="B52" s="287"/>
      <c r="C52" s="408"/>
      <c r="D52" s="408"/>
      <c r="E52" s="276"/>
    </row>
    <row r="53" spans="2:5" ht="15.75">
      <c r="B53" s="287"/>
      <c r="C53" s="408"/>
      <c r="D53" s="408"/>
      <c r="E53" s="276"/>
    </row>
    <row r="54" spans="2:5" ht="15.75">
      <c r="B54" s="287"/>
      <c r="C54" s="408"/>
      <c r="D54" s="408"/>
      <c r="E54" s="276"/>
    </row>
    <row r="55" spans="2:5" ht="15.75">
      <c r="B55" s="169" t="s">
        <v>286</v>
      </c>
      <c r="C55" s="408"/>
      <c r="D55" s="408"/>
      <c r="E55" s="288">
        <f>nhood!E7</f>
      </c>
    </row>
    <row r="56" spans="2:5" ht="15.75">
      <c r="B56" s="169" t="s">
        <v>142</v>
      </c>
      <c r="C56" s="408"/>
      <c r="D56" s="408"/>
      <c r="E56" s="276"/>
    </row>
    <row r="57" spans="2:10" ht="15.75">
      <c r="B57" s="169" t="s">
        <v>685</v>
      </c>
      <c r="C57" s="411">
        <f>IF(C58*0.1&lt;C56,"Exceed 10% Rule","")</f>
      </c>
      <c r="D57" s="411">
        <f>IF(D58*0.1&lt;D56,"Exceed 10% Rule","")</f>
      </c>
      <c r="E57" s="283">
        <f>IF(E58*0.1&lt;E56,"Exceed 10% Rule","")</f>
      </c>
      <c r="G57" s="670" t="str">
        <f>CONCATENATE("Projected Carryover Into ",E1+1,"")</f>
        <v>Projected Carryover Into 2013</v>
      </c>
      <c r="H57" s="671"/>
      <c r="I57" s="671"/>
      <c r="J57" s="672"/>
    </row>
    <row r="58" spans="2:10" ht="15.75">
      <c r="B58" s="284" t="s">
        <v>60</v>
      </c>
      <c r="C58" s="412">
        <f>SUM(C34:C56)</f>
        <v>14089</v>
      </c>
      <c r="D58" s="413">
        <f>SUM(D34:D56)</f>
        <v>21200</v>
      </c>
      <c r="E58" s="285">
        <f>SUM(E34:E56)</f>
        <v>28798</v>
      </c>
      <c r="G58" s="515"/>
      <c r="H58" s="513"/>
      <c r="I58" s="513"/>
      <c r="J58" s="516"/>
    </row>
    <row r="59" spans="2:10" ht="15.75">
      <c r="B59" s="113" t="s">
        <v>164</v>
      </c>
      <c r="C59" s="414">
        <f>C32-C58</f>
        <v>19157</v>
      </c>
      <c r="D59" s="414">
        <f>D32-D58</f>
        <v>12122</v>
      </c>
      <c r="E59" s="275" t="s">
        <v>37</v>
      </c>
      <c r="G59" s="517">
        <f>D60</f>
        <v>26100</v>
      </c>
      <c r="H59" s="518" t="str">
        <f>CONCATENATE("",E1-1," Ending Cash Balance (est.)")</f>
        <v>2011 Ending Cash Balance (est.)</v>
      </c>
      <c r="I59" s="519"/>
      <c r="J59" s="516"/>
    </row>
    <row r="60" spans="2:10" ht="15.75">
      <c r="B60" s="195" t="str">
        <f>CONCATENATE("",E1-2,"/",E1-1," Budget Authority Amount:")</f>
        <v>2010/2011 Budget Authority Amount:</v>
      </c>
      <c r="C60" s="206">
        <f>inputOth!B77</f>
        <v>26100</v>
      </c>
      <c r="D60" s="206">
        <f>inputPrYr!D22</f>
        <v>26100</v>
      </c>
      <c r="E60" s="275" t="s">
        <v>37</v>
      </c>
      <c r="F60" s="289"/>
      <c r="G60" s="517">
        <f>E31</f>
        <v>7717</v>
      </c>
      <c r="H60" s="520" t="str">
        <f>CONCATENATE("",E1," Non-AV Receipts (est.)")</f>
        <v>2012 Non-AV Receipts (est.)</v>
      </c>
      <c r="I60" s="519"/>
      <c r="J60" s="516"/>
    </row>
    <row r="61" spans="2:10" ht="15.75">
      <c r="B61" s="195"/>
      <c r="C61" s="677" t="s">
        <v>772</v>
      </c>
      <c r="D61" s="678"/>
      <c r="E61" s="52"/>
      <c r="F61" s="506">
        <f>IF(E58/0.95-E58&lt;E61,"Exceeds 5%","")</f>
      </c>
      <c r="G61" s="521">
        <f>E65</f>
        <v>8959</v>
      </c>
      <c r="H61" s="520" t="str">
        <f>CONCATENATE("",E1," Ad Valorem Tax (est.)")</f>
        <v>2012 Ad Valorem Tax (est.)</v>
      </c>
      <c r="I61" s="519"/>
      <c r="J61" s="516"/>
    </row>
    <row r="62" spans="2:10" ht="15.75">
      <c r="B62" s="505" t="str">
        <f>CONCATENATE(C80,"     ",D80)</f>
        <v>     </v>
      </c>
      <c r="C62" s="679" t="s">
        <v>773</v>
      </c>
      <c r="D62" s="680"/>
      <c r="E62" s="167">
        <f>E58+E61</f>
        <v>28798</v>
      </c>
      <c r="G62" s="517">
        <f>SUM(G59:G61)</f>
        <v>42776</v>
      </c>
      <c r="H62" s="520" t="str">
        <f>CONCATENATE("Total ",E1," Resources Available")</f>
        <v>Total 2012 Resources Available</v>
      </c>
      <c r="I62" s="519"/>
      <c r="J62" s="516"/>
    </row>
    <row r="63" spans="2:10" ht="15.75">
      <c r="B63" s="505" t="str">
        <f>CONCATENATE(C81,"     ",D81)</f>
        <v>     </v>
      </c>
      <c r="C63" s="290"/>
      <c r="D63" s="202" t="s">
        <v>61</v>
      </c>
      <c r="E63" s="59">
        <f>IF(E62-E32&gt;0,E62-E32,0)</f>
        <v>8959</v>
      </c>
      <c r="G63" s="522"/>
      <c r="H63" s="520"/>
      <c r="I63" s="520"/>
      <c r="J63" s="516"/>
    </row>
    <row r="64" spans="2:10" ht="15.75">
      <c r="B64" s="291"/>
      <c r="C64" s="487" t="s">
        <v>774</v>
      </c>
      <c r="D64" s="421">
        <f>inputOth!E63</f>
        <v>0</v>
      </c>
      <c r="E64" s="167">
        <f>ROUND(IF(general!D64&gt;0,(E63*general!D64),0),0)</f>
        <v>0</v>
      </c>
      <c r="G64" s="521">
        <f>SUM(C58*0.05+C58)</f>
        <v>14793.45</v>
      </c>
      <c r="H64" s="520" t="str">
        <f>CONCATENATE("Less ",E1-2," Expenditures + 5%")</f>
        <v>Less 2010 Expenditures + 5%</v>
      </c>
      <c r="I64" s="519"/>
      <c r="J64" s="516"/>
    </row>
    <row r="65" spans="2:10" ht="15.75">
      <c r="B65" s="28"/>
      <c r="C65" s="675" t="str">
        <f>CONCATENATE("Amount of  ",$E$1-1," Ad Valorem Tax")</f>
        <v>Amount of  2011 Ad Valorem Tax</v>
      </c>
      <c r="D65" s="676"/>
      <c r="E65" s="294">
        <f>E63+E64</f>
        <v>8959</v>
      </c>
      <c r="G65" s="527">
        <f>SUM(G62-G64)</f>
        <v>27982.55</v>
      </c>
      <c r="H65" s="523" t="str">
        <f>CONCATENATE("Projected ",E1+1," Carryover (est.)")</f>
        <v>Projected 2013 Carryover (est.)</v>
      </c>
      <c r="I65" s="524"/>
      <c r="J65" s="525"/>
    </row>
    <row r="66" spans="2:10" ht="15.75">
      <c r="B66" s="202"/>
      <c r="C66" s="28"/>
      <c r="D66" s="28"/>
      <c r="E66" s="28"/>
      <c r="G66"/>
      <c r="H66"/>
      <c r="I66"/>
      <c r="J66"/>
    </row>
    <row r="67" spans="2:10" ht="15.75">
      <c r="B67" s="195" t="s">
        <v>63</v>
      </c>
      <c r="C67" s="295">
        <v>7</v>
      </c>
      <c r="D67" s="28"/>
      <c r="E67" s="28"/>
      <c r="G67" s="532">
        <f>IF(inputOth!B14=0,"",ROUND(general!E65/inputOth!B14*1000,3))</f>
        <v>48.969</v>
      </c>
      <c r="H67" s="531" t="str">
        <f>CONCATENATE("Projected ",E1-1," Mill Rate (est.)")</f>
        <v>Projected 2011 Mill Rate (est.)</v>
      </c>
      <c r="I67" s="529"/>
      <c r="J67" s="530"/>
    </row>
    <row r="68" spans="7:10" ht="15.75">
      <c r="G68" s="528"/>
      <c r="H68" s="528"/>
      <c r="I68" s="528"/>
      <c r="J68" s="528"/>
    </row>
    <row r="69" spans="4:10" ht="15.75">
      <c r="D69" s="673"/>
      <c r="E69" s="674"/>
      <c r="G69" s="670" t="str">
        <f>CONCATENATE("Desired Carryover Into ",E1+1,"")</f>
        <v>Desired Carryover Into 2013</v>
      </c>
      <c r="H69" s="681"/>
      <c r="I69" s="681"/>
      <c r="J69" s="672"/>
    </row>
    <row r="70" spans="7:10" ht="15.75">
      <c r="G70" s="533"/>
      <c r="H70" s="513"/>
      <c r="I70" s="520"/>
      <c r="J70" s="534"/>
    </row>
    <row r="71" spans="7:10" ht="15.75">
      <c r="G71" s="526" t="s">
        <v>801</v>
      </c>
      <c r="H71" s="520"/>
      <c r="I71" s="520"/>
      <c r="J71" s="514">
        <v>0</v>
      </c>
    </row>
    <row r="72" spans="7:10" ht="15.75">
      <c r="G72" s="533" t="s">
        <v>802</v>
      </c>
      <c r="H72" s="513"/>
      <c r="I72" s="513"/>
      <c r="J72" s="538">
        <f>IF(J71=0,"",ROUND((J71+E65-G65)/inputOth!B14*1000,3)-general!G67)</f>
      </c>
    </row>
    <row r="73" spans="7:10" ht="15.75">
      <c r="G73" s="535" t="str">
        <f>CONCATENATE("",E1," Total Expenditures Must Be:")</f>
        <v>2012 Total Expenditures Must Be:</v>
      </c>
      <c r="H73" s="536"/>
      <c r="I73" s="537"/>
      <c r="J73" s="539">
        <f>IF(J71&gt;0,(E58+J71-G65),0)</f>
        <v>0</v>
      </c>
    </row>
    <row r="80" spans="3:4" ht="15.75" hidden="1">
      <c r="C80" s="24">
        <f>IF(C56&gt;C60,"See Tab A","")</f>
      </c>
      <c r="D80" s="24">
        <f>IF(D58&gt;D60,"See Tab C","")</f>
      </c>
    </row>
    <row r="81" spans="3:4" ht="15.75" hidden="1">
      <c r="C81" s="24">
        <f>IF(C59&lt;0,"See Tab B","")</f>
      </c>
      <c r="D81" s="24">
        <f>IF(D59&lt;0,"See Tab D","")</f>
      </c>
    </row>
  </sheetData>
  <sheetProtection sheet="1"/>
  <mergeCells count="6">
    <mergeCell ref="G57:J57"/>
    <mergeCell ref="D69:E69"/>
    <mergeCell ref="C65:D65"/>
    <mergeCell ref="C61:D61"/>
    <mergeCell ref="C62:D62"/>
    <mergeCell ref="G69:J69"/>
  </mergeCells>
  <conditionalFormatting sqref="E61">
    <cfRule type="cellIs" priority="2" dxfId="140" operator="greaterThan" stopIfTrue="1">
      <formula>$E$58/0.95-$E$58</formula>
    </cfRule>
  </conditionalFormatting>
  <conditionalFormatting sqref="E56">
    <cfRule type="cellIs" priority="3" dxfId="140" operator="greaterThan" stopIfTrue="1">
      <formula>$E$58*0.1</formula>
    </cfRule>
  </conditionalFormatting>
  <conditionalFormatting sqref="D56">
    <cfRule type="cellIs" priority="4" dxfId="1" operator="greaterThan" stopIfTrue="1">
      <formula>$D$58*0.1</formula>
    </cfRule>
  </conditionalFormatting>
  <conditionalFormatting sqref="C56">
    <cfRule type="cellIs" priority="5" dxfId="1" operator="greaterThan" stopIfTrue="1">
      <formula>$C$58*0.1</formula>
    </cfRule>
  </conditionalFormatting>
  <conditionalFormatting sqref="C58">
    <cfRule type="cellIs" priority="6" dxfId="1" operator="greaterThan" stopIfTrue="1">
      <formula>$C$60</formula>
    </cfRule>
  </conditionalFormatting>
  <conditionalFormatting sqref="D58">
    <cfRule type="cellIs" priority="7" dxfId="1" operator="greaterThan" stopIfTrue="1">
      <formula>$C$60</formula>
    </cfRule>
  </conditionalFormatting>
  <conditionalFormatting sqref="C59">
    <cfRule type="cellIs" priority="8" dxfId="1" operator="lessThan" stopIfTrue="1">
      <formula>0</formula>
    </cfRule>
  </conditionalFormatting>
  <conditionalFormatting sqref="D29">
    <cfRule type="cellIs" priority="9" dxfId="1" operator="greaterThan" stopIfTrue="1">
      <formula>$D$31*0.1</formula>
    </cfRule>
  </conditionalFormatting>
  <conditionalFormatting sqref="C29">
    <cfRule type="cellIs" priority="10" dxfId="1" operator="greaterThan" stopIfTrue="1">
      <formula>$C$31*0.1</formula>
    </cfRule>
  </conditionalFormatting>
  <conditionalFormatting sqref="E29">
    <cfRule type="cellIs" priority="11" dxfId="140" operator="greaterThan" stopIfTrue="1">
      <formula>$E$31*0.1+E65</formula>
    </cfRule>
  </conditionalFormatting>
  <conditionalFormatting sqref="D5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5"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5">
      <selection activeCell="E23" sqref="E23"/>
    </sheetView>
  </sheetViews>
  <sheetFormatPr defaultColWidth="8.796875" defaultRowHeight="15"/>
  <cols>
    <col min="1" max="1" width="2.3984375" style="24" customWidth="1"/>
    <col min="2" max="2" width="31.09765625" style="24" customWidth="1"/>
    <col min="3" max="4" width="15.796875" style="24" customWidth="1"/>
    <col min="5" max="5" width="16.19921875" style="24" customWidth="1"/>
    <col min="6" max="16384" width="8.8984375" style="24" customWidth="1"/>
  </cols>
  <sheetData>
    <row r="1" spans="2:5" ht="15.75">
      <c r="B1" s="186" t="str">
        <f>(inputPrYr!D3)</f>
        <v>City of Vining</v>
      </c>
      <c r="C1" s="28"/>
      <c r="D1" s="28"/>
      <c r="E1" s="141">
        <f>inputPrYr!$C$10</f>
        <v>2012</v>
      </c>
    </row>
    <row r="2" spans="2:5" ht="15.75">
      <c r="B2" s="28"/>
      <c r="C2" s="28"/>
      <c r="D2" s="28"/>
      <c r="E2" s="202"/>
    </row>
    <row r="3" spans="2:5" ht="15.75">
      <c r="B3" s="46" t="s">
        <v>107</v>
      </c>
      <c r="C3" s="313"/>
      <c r="D3" s="313"/>
      <c r="E3" s="314"/>
    </row>
    <row r="4" spans="2:5" ht="15.75">
      <c r="B4" s="34" t="s">
        <v>49</v>
      </c>
      <c r="C4" s="580" t="s">
        <v>69</v>
      </c>
      <c r="D4" s="351" t="s">
        <v>192</v>
      </c>
      <c r="E4" s="351" t="s">
        <v>193</v>
      </c>
    </row>
    <row r="5" spans="2:5" ht="15.75">
      <c r="B5" s="560" t="str">
        <f>(inputPrYr!B33)</f>
        <v>Special Highway</v>
      </c>
      <c r="C5" s="299">
        <f>inputPrYr!$C$10-2</f>
        <v>2010</v>
      </c>
      <c r="D5" s="299">
        <f>inputPrYr!$C$10-1</f>
        <v>2011</v>
      </c>
      <c r="E5" s="217">
        <f>inputPrYr!$C$10</f>
        <v>2012</v>
      </c>
    </row>
    <row r="6" spans="2:5" ht="15.75">
      <c r="B6" s="113" t="s">
        <v>163</v>
      </c>
      <c r="C6" s="52">
        <v>4010</v>
      </c>
      <c r="D6" s="167">
        <f>C32</f>
        <v>3508</v>
      </c>
      <c r="E6" s="167">
        <f>D32</f>
        <v>3000</v>
      </c>
    </row>
    <row r="7" spans="2:5" ht="15.75">
      <c r="B7" s="274" t="s">
        <v>165</v>
      </c>
      <c r="C7" s="167"/>
      <c r="D7" s="167"/>
      <c r="E7" s="167"/>
    </row>
    <row r="8" spans="2:5" ht="15.75">
      <c r="B8" s="315" t="s">
        <v>65</v>
      </c>
      <c r="C8" s="52">
        <v>1476</v>
      </c>
      <c r="D8" s="167">
        <f>inputOth!E69</f>
        <v>1470</v>
      </c>
      <c r="E8" s="167">
        <f>inputOth!E67</f>
        <v>1510</v>
      </c>
    </row>
    <row r="9" spans="2:5" ht="15.75">
      <c r="B9" s="315" t="s">
        <v>208</v>
      </c>
      <c r="C9" s="52"/>
      <c r="D9" s="167">
        <f>inputOth!E70</f>
        <v>0</v>
      </c>
      <c r="E9" s="167">
        <f>inputOth!E68</f>
        <v>0</v>
      </c>
    </row>
    <row r="10" spans="2:5" ht="15.75">
      <c r="B10" s="287"/>
      <c r="C10" s="52"/>
      <c r="D10" s="52"/>
      <c r="E10" s="52"/>
    </row>
    <row r="11" spans="2:5" ht="15.75">
      <c r="B11" s="287"/>
      <c r="C11" s="52"/>
      <c r="D11" s="52"/>
      <c r="E11" s="52"/>
    </row>
    <row r="12" spans="2:5" ht="15.75">
      <c r="B12" s="287"/>
      <c r="C12" s="52"/>
      <c r="D12" s="52"/>
      <c r="E12" s="52"/>
    </row>
    <row r="13" spans="2:5" ht="15.75">
      <c r="B13" s="287"/>
      <c r="C13" s="52"/>
      <c r="D13" s="52"/>
      <c r="E13" s="52"/>
    </row>
    <row r="14" spans="2:5" ht="15.75">
      <c r="B14" s="308" t="s">
        <v>56</v>
      </c>
      <c r="C14" s="52"/>
      <c r="D14" s="52"/>
      <c r="E14" s="52"/>
    </row>
    <row r="15" spans="2:5" ht="15.75">
      <c r="B15" s="169" t="s">
        <v>142</v>
      </c>
      <c r="C15" s="52"/>
      <c r="D15" s="306"/>
      <c r="E15" s="306"/>
    </row>
    <row r="16" spans="2:5" ht="15.75">
      <c r="B16" s="169" t="s">
        <v>684</v>
      </c>
      <c r="C16" s="548">
        <f>IF(C17*0.1&lt;C15,"Exceed 10% Rule","")</f>
      </c>
      <c r="D16" s="309">
        <f>IF(D17*0.1&lt;D15,"Exceed 10% Rule","")</f>
      </c>
      <c r="E16" s="309">
        <f>IF(E17*0.1&lt;E15,"Exceed 10% Rule","")</f>
      </c>
    </row>
    <row r="17" spans="2:5" ht="15.75">
      <c r="B17" s="284" t="s">
        <v>57</v>
      </c>
      <c r="C17" s="311">
        <f>SUM(C8:C15)</f>
        <v>1476</v>
      </c>
      <c r="D17" s="311">
        <f>SUM(D8:D15)</f>
        <v>1470</v>
      </c>
      <c r="E17" s="311">
        <f>SUM(E8:E15)</f>
        <v>1510</v>
      </c>
    </row>
    <row r="18" spans="2:5" ht="15.75">
      <c r="B18" s="284" t="s">
        <v>58</v>
      </c>
      <c r="C18" s="311">
        <f>C6+C17</f>
        <v>5486</v>
      </c>
      <c r="D18" s="311">
        <f>D6+D17</f>
        <v>4978</v>
      </c>
      <c r="E18" s="311">
        <f>E6+E17</f>
        <v>4510</v>
      </c>
    </row>
    <row r="19" spans="2:5" ht="15.75">
      <c r="B19" s="113" t="s">
        <v>59</v>
      </c>
      <c r="C19" s="167"/>
      <c r="D19" s="167"/>
      <c r="E19" s="167"/>
    </row>
    <row r="20" spans="2:5" ht="15.75">
      <c r="B20" s="287" t="s">
        <v>66</v>
      </c>
      <c r="C20" s="52">
        <v>1978</v>
      </c>
      <c r="D20" s="52">
        <v>1978</v>
      </c>
      <c r="E20" s="52">
        <v>4510</v>
      </c>
    </row>
    <row r="21" spans="2:5" ht="15.75">
      <c r="B21" s="287"/>
      <c r="C21" s="52"/>
      <c r="D21" s="52"/>
      <c r="E21" s="52"/>
    </row>
    <row r="22" spans="2:5" ht="15.75">
      <c r="B22" s="287"/>
      <c r="C22" s="52"/>
      <c r="D22" s="52"/>
      <c r="E22" s="52"/>
    </row>
    <row r="23" spans="2:5" ht="15.75">
      <c r="B23" s="287"/>
      <c r="C23" s="52"/>
      <c r="D23" s="52"/>
      <c r="E23" s="52"/>
    </row>
    <row r="24" spans="2:5" ht="15.75">
      <c r="B24" s="287"/>
      <c r="C24" s="52"/>
      <c r="D24" s="52"/>
      <c r="E24" s="52"/>
    </row>
    <row r="25" spans="2:5" ht="15.75">
      <c r="B25" s="287"/>
      <c r="C25" s="52"/>
      <c r="D25" s="52"/>
      <c r="E25" s="52"/>
    </row>
    <row r="26" spans="2:5" ht="15.75">
      <c r="B26" s="287"/>
      <c r="C26" s="52"/>
      <c r="D26" s="52"/>
      <c r="E26" s="52"/>
    </row>
    <row r="27" spans="2:5" ht="15.75">
      <c r="B27" s="287"/>
      <c r="C27" s="52"/>
      <c r="D27" s="52"/>
      <c r="E27" s="52"/>
    </row>
    <row r="28" spans="2:5" ht="15.75">
      <c r="B28" s="287"/>
      <c r="C28" s="52"/>
      <c r="D28" s="52"/>
      <c r="E28" s="52"/>
    </row>
    <row r="29" spans="2:5" ht="15.75">
      <c r="B29" s="169" t="s">
        <v>142</v>
      </c>
      <c r="C29" s="52"/>
      <c r="D29" s="306"/>
      <c r="E29" s="306"/>
    </row>
    <row r="30" spans="2:5" ht="15.75">
      <c r="B30" s="169" t="s">
        <v>685</v>
      </c>
      <c r="C30" s="548">
        <f>IF(C31*0.1&lt;C29,"Exceed 10% Rule","")</f>
      </c>
      <c r="D30" s="309">
        <f>IF(D31*0.1&lt;D29,"Exceed 10% Rule","")</f>
      </c>
      <c r="E30" s="309">
        <f>IF(E31*0.1&lt;E29,"Exceed 10% Rule","")</f>
      </c>
    </row>
    <row r="31" spans="2:5" ht="15.75">
      <c r="B31" s="284" t="s">
        <v>60</v>
      </c>
      <c r="C31" s="311">
        <f>SUM(C20:C29)</f>
        <v>1978</v>
      </c>
      <c r="D31" s="311">
        <f>SUM(D20:D29)</f>
        <v>1978</v>
      </c>
      <c r="E31" s="311">
        <f>SUM(E20:E29)</f>
        <v>4510</v>
      </c>
    </row>
    <row r="32" spans="2:5" ht="15.75">
      <c r="B32" s="113" t="s">
        <v>164</v>
      </c>
      <c r="C32" s="59">
        <f>C18-C31</f>
        <v>3508</v>
      </c>
      <c r="D32" s="59">
        <f>D18-D31</f>
        <v>3000</v>
      </c>
      <c r="E32" s="59">
        <f>E18-E31</f>
        <v>0</v>
      </c>
    </row>
    <row r="33" spans="2:5" ht="15.75">
      <c r="B33" s="547" t="str">
        <f>CONCATENATE("",E1-2,"/",E1-1," Budget Authority Amount:")</f>
        <v>2010/2011 Budget Authority Amount:</v>
      </c>
      <c r="C33" s="206">
        <f>inputOth!B84</f>
        <v>4520</v>
      </c>
      <c r="D33" s="206">
        <f>inputPrYr!D33</f>
        <v>4520</v>
      </c>
      <c r="E33" s="431">
        <f>IF(E32&lt;0,"See Tab E","")</f>
      </c>
    </row>
    <row r="34" spans="2:5" ht="15.75">
      <c r="B34" s="195"/>
      <c r="C34" s="290">
        <f>IF(C31&gt;C33,"See Tab A","")</f>
      </c>
      <c r="D34" s="290">
        <f>IF(D31&gt;D33,"See Tab C","")</f>
      </c>
      <c r="E34" s="193"/>
    </row>
    <row r="35" spans="2:5" ht="15.75">
      <c r="B35" s="195"/>
      <c r="C35" s="290">
        <f>IF(C32&lt;0,"See Tab B","")</f>
      </c>
      <c r="D35" s="290">
        <f>IF(D32&lt;0,"See Tab D","")</f>
      </c>
      <c r="E35" s="193"/>
    </row>
    <row r="36" spans="2:5" ht="15.75">
      <c r="B36" s="28"/>
      <c r="C36" s="193"/>
      <c r="D36" s="193"/>
      <c r="E36" s="193"/>
    </row>
    <row r="37" spans="2:5" ht="15.75">
      <c r="B37" s="34" t="s">
        <v>49</v>
      </c>
      <c r="C37" s="580" t="s">
        <v>69</v>
      </c>
      <c r="D37" s="351" t="s">
        <v>192</v>
      </c>
      <c r="E37" s="351" t="s">
        <v>193</v>
      </c>
    </row>
    <row r="38" spans="2:5" ht="15.75">
      <c r="B38" s="560" t="str">
        <f>(inputPrYr!B34)</f>
        <v>Parks &amp; Recreation</v>
      </c>
      <c r="C38" s="299">
        <f>inputPrYr!$C$10-2</f>
        <v>2010</v>
      </c>
      <c r="D38" s="299">
        <f>inputPrYr!$C$10-1</f>
        <v>2011</v>
      </c>
      <c r="E38" s="217">
        <f>inputPrYr!$C$10</f>
        <v>2012</v>
      </c>
    </row>
    <row r="39" spans="2:5" ht="15.75">
      <c r="B39" s="113" t="s">
        <v>163</v>
      </c>
      <c r="C39" s="52">
        <v>5274</v>
      </c>
      <c r="D39" s="167">
        <f>C63</f>
        <v>5000</v>
      </c>
      <c r="E39" s="167">
        <f>D63</f>
        <v>3800</v>
      </c>
    </row>
    <row r="40" spans="2:5" ht="15.75">
      <c r="B40" s="274" t="s">
        <v>165</v>
      </c>
      <c r="C40" s="167"/>
      <c r="D40" s="167"/>
      <c r="E40" s="167"/>
    </row>
    <row r="41" spans="2:5" ht="15.75">
      <c r="B41" s="287" t="s">
        <v>868</v>
      </c>
      <c r="C41" s="52">
        <v>2566</v>
      </c>
      <c r="D41" s="52">
        <v>2000</v>
      </c>
      <c r="E41" s="52">
        <v>2656</v>
      </c>
    </row>
    <row r="42" spans="2:5" ht="15.75">
      <c r="B42" s="287" t="s">
        <v>67</v>
      </c>
      <c r="C42" s="52"/>
      <c r="D42" s="52"/>
      <c r="E42" s="52"/>
    </row>
    <row r="43" spans="2:5" ht="15.75">
      <c r="B43" s="287"/>
      <c r="C43" s="52"/>
      <c r="D43" s="52"/>
      <c r="E43" s="52"/>
    </row>
    <row r="44" spans="2:5" ht="15.75">
      <c r="B44" s="287"/>
      <c r="C44" s="52"/>
      <c r="D44" s="52"/>
      <c r="E44" s="52"/>
    </row>
    <row r="45" spans="2:5" ht="15.75">
      <c r="B45" s="287"/>
      <c r="C45" s="52"/>
      <c r="D45" s="52"/>
      <c r="E45" s="52"/>
    </row>
    <row r="46" spans="2:5" ht="15.75">
      <c r="B46" s="169" t="s">
        <v>142</v>
      </c>
      <c r="C46" s="52"/>
      <c r="D46" s="306"/>
      <c r="E46" s="306"/>
    </row>
    <row r="47" spans="2:5" ht="15.75">
      <c r="B47" s="169" t="s">
        <v>684</v>
      </c>
      <c r="C47" s="548">
        <f>IF(C48*0.1&lt;C46,"Exceed 10% Rule","")</f>
      </c>
      <c r="D47" s="309">
        <f>IF(D48*0.1&lt;D46,"Exceed 10% Rule","")</f>
      </c>
      <c r="E47" s="309">
        <f>IF(E48*0.1&lt;E46,"Exceed 10% Rule","")</f>
      </c>
    </row>
    <row r="48" spans="2:5" ht="15.75">
      <c r="B48" s="284" t="s">
        <v>57</v>
      </c>
      <c r="C48" s="311">
        <f>SUM(C41:C46)</f>
        <v>2566</v>
      </c>
      <c r="D48" s="311">
        <f>SUM(D41:D46)</f>
        <v>2000</v>
      </c>
      <c r="E48" s="311">
        <f>SUM(E41:E46)</f>
        <v>2656</v>
      </c>
    </row>
    <row r="49" spans="2:5" ht="15.75">
      <c r="B49" s="284" t="s">
        <v>58</v>
      </c>
      <c r="C49" s="311">
        <f>C39+C48</f>
        <v>7840</v>
      </c>
      <c r="D49" s="311">
        <f>D39+D48</f>
        <v>7000</v>
      </c>
      <c r="E49" s="311">
        <f>E39+E48</f>
        <v>6456</v>
      </c>
    </row>
    <row r="50" spans="2:5" ht="15.75">
      <c r="B50" s="113" t="s">
        <v>59</v>
      </c>
      <c r="C50" s="167"/>
      <c r="D50" s="167"/>
      <c r="E50" s="167"/>
    </row>
    <row r="51" spans="2:5" ht="15.75">
      <c r="B51" s="287" t="s">
        <v>172</v>
      </c>
      <c r="C51" s="52"/>
      <c r="D51" s="52"/>
      <c r="E51" s="52"/>
    </row>
    <row r="52" spans="2:5" ht="15.75">
      <c r="B52" s="287" t="s">
        <v>173</v>
      </c>
      <c r="C52" s="52"/>
      <c r="D52" s="52"/>
      <c r="E52" s="52"/>
    </row>
    <row r="53" spans="2:5" ht="15.75">
      <c r="B53" s="287" t="s">
        <v>865</v>
      </c>
      <c r="C53" s="52">
        <v>2840</v>
      </c>
      <c r="D53" s="52">
        <v>3200</v>
      </c>
      <c r="E53" s="52">
        <v>6456</v>
      </c>
    </row>
    <row r="54" spans="2:5" ht="15.75">
      <c r="B54" s="287"/>
      <c r="C54" s="52"/>
      <c r="D54" s="52"/>
      <c r="E54" s="52"/>
    </row>
    <row r="55" spans="2:5" ht="15.75">
      <c r="B55" s="287"/>
      <c r="C55" s="52"/>
      <c r="D55" s="52"/>
      <c r="E55" s="52"/>
    </row>
    <row r="56" spans="2:5" ht="15.75">
      <c r="B56" s="287"/>
      <c r="C56" s="52"/>
      <c r="D56" s="52"/>
      <c r="E56" s="52"/>
    </row>
    <row r="57" spans="2:5" ht="15.75">
      <c r="B57" s="287"/>
      <c r="C57" s="52"/>
      <c r="D57" s="52"/>
      <c r="E57" s="52"/>
    </row>
    <row r="58" spans="2:5" ht="15.75">
      <c r="B58" s="287"/>
      <c r="C58" s="52"/>
      <c r="D58" s="52"/>
      <c r="E58" s="52"/>
    </row>
    <row r="59" spans="2:5" ht="15.75">
      <c r="B59" s="287"/>
      <c r="C59" s="52"/>
      <c r="D59" s="52"/>
      <c r="E59" s="52"/>
    </row>
    <row r="60" spans="2:5" ht="15.75">
      <c r="B60" s="169" t="s">
        <v>142</v>
      </c>
      <c r="C60" s="52"/>
      <c r="D60" s="306"/>
      <c r="E60" s="306"/>
    </row>
    <row r="61" spans="2:5" ht="15.75">
      <c r="B61" s="169" t="s">
        <v>685</v>
      </c>
      <c r="C61" s="548">
        <f>IF(C62*0.1&lt;C60,"Exceed 10% Rule","")</f>
      </c>
      <c r="D61" s="309">
        <f>IF(D62*0.1&lt;D60,"Exceed 10% Rule","")</f>
      </c>
      <c r="E61" s="309">
        <f>IF(E62*0.1&lt;E60,"Exceed 10% Rule","")</f>
      </c>
    </row>
    <row r="62" spans="2:5" ht="15.75">
      <c r="B62" s="284" t="s">
        <v>60</v>
      </c>
      <c r="C62" s="311">
        <f>SUM(C51:C60)</f>
        <v>2840</v>
      </c>
      <c r="D62" s="311">
        <f>SUM(D51:D60)</f>
        <v>3200</v>
      </c>
      <c r="E62" s="311">
        <f>SUM(E51:E60)</f>
        <v>6456</v>
      </c>
    </row>
    <row r="63" spans="2:5" ht="15.75">
      <c r="B63" s="113" t="s">
        <v>164</v>
      </c>
      <c r="C63" s="59">
        <f>C49-C62</f>
        <v>5000</v>
      </c>
      <c r="D63" s="59">
        <f>D49-D62</f>
        <v>3800</v>
      </c>
      <c r="E63" s="59">
        <f>E49-E62</f>
        <v>0</v>
      </c>
    </row>
    <row r="64" spans="2:5" ht="15.75">
      <c r="B64" s="547" t="str">
        <f>CONCATENATE("",E1-2,"/",E1-1," Budget Authority Amount:")</f>
        <v>2010/2011 Budget Authority Amount:</v>
      </c>
      <c r="C64" s="206">
        <f>inputOth!B85</f>
        <v>6327</v>
      </c>
      <c r="D64" s="206">
        <f>inputPrYr!D34</f>
        <v>6327</v>
      </c>
      <c r="E64" s="431">
        <f>IF(E63&lt;0,"See Tab E","")</f>
      </c>
    </row>
    <row r="65" spans="2:5" ht="15.75">
      <c r="B65" s="195"/>
      <c r="C65" s="290">
        <f>IF(C62&gt;C64,"See Tab A","")</f>
      </c>
      <c r="D65" s="290">
        <f>IF(D62&gt;D64,"See Tab C","")</f>
      </c>
      <c r="E65" s="28"/>
    </row>
    <row r="66" spans="2:5" ht="15.75">
      <c r="B66" s="195"/>
      <c r="C66" s="290">
        <f>IF(C63&lt;0,"See Tab B","")</f>
      </c>
      <c r="D66" s="290">
        <f>IF(D63&lt;0,"See Tab D","")</f>
      </c>
      <c r="E66" s="28"/>
    </row>
    <row r="67" spans="2:5" ht="15.75">
      <c r="B67" s="28"/>
      <c r="C67" s="28"/>
      <c r="D67" s="28"/>
      <c r="E67" s="28"/>
    </row>
    <row r="68" spans="2:5" ht="15.75">
      <c r="B68" s="195" t="s">
        <v>63</v>
      </c>
      <c r="C68" s="295">
        <v>8</v>
      </c>
      <c r="D68" s="28"/>
      <c r="E68" s="28"/>
    </row>
  </sheetData>
  <sheetProtection sheet="1" objects="1" scenarios="1"/>
  <conditionalFormatting sqref="C60">
    <cfRule type="cellIs" priority="3" dxfId="140" operator="greaterThan" stopIfTrue="1">
      <formula>$C$62*0.1</formula>
    </cfRule>
  </conditionalFormatting>
  <conditionalFormatting sqref="D60">
    <cfRule type="cellIs" priority="4" dxfId="140" operator="greaterThan" stopIfTrue="1">
      <formula>$D$62*0.1</formula>
    </cfRule>
  </conditionalFormatting>
  <conditionalFormatting sqref="E60">
    <cfRule type="cellIs" priority="5" dxfId="140" operator="greaterThan" stopIfTrue="1">
      <formula>$E$62*0.1</formula>
    </cfRule>
  </conditionalFormatting>
  <conditionalFormatting sqref="C46">
    <cfRule type="cellIs" priority="6" dxfId="140" operator="greaterThan" stopIfTrue="1">
      <formula>$C$48*0.1</formula>
    </cfRule>
  </conditionalFormatting>
  <conditionalFormatting sqref="D46">
    <cfRule type="cellIs" priority="7" dxfId="140" operator="greaterThan" stopIfTrue="1">
      <formula>$D$48*0.1</formula>
    </cfRule>
  </conditionalFormatting>
  <conditionalFormatting sqref="E46">
    <cfRule type="cellIs" priority="8" dxfId="140" operator="greaterThan" stopIfTrue="1">
      <formula>$E$48*0.1</formula>
    </cfRule>
  </conditionalFormatting>
  <conditionalFormatting sqref="C29">
    <cfRule type="cellIs" priority="9" dxfId="140" operator="greaterThan" stopIfTrue="1">
      <formula>$C$31*0.1</formula>
    </cfRule>
  </conditionalFormatting>
  <conditionalFormatting sqref="D29">
    <cfRule type="cellIs" priority="10" dxfId="140" operator="greaterThan" stopIfTrue="1">
      <formula>$D$31*0.1</formula>
    </cfRule>
  </conditionalFormatting>
  <conditionalFormatting sqref="E29">
    <cfRule type="cellIs" priority="11" dxfId="140" operator="greaterThan" stopIfTrue="1">
      <formula>$E$31*0.1</formula>
    </cfRule>
  </conditionalFormatting>
  <conditionalFormatting sqref="C15">
    <cfRule type="cellIs" priority="12" dxfId="140" operator="greaterThan" stopIfTrue="1">
      <formula>$C$17*0.1</formula>
    </cfRule>
  </conditionalFormatting>
  <conditionalFormatting sqref="D15">
    <cfRule type="cellIs" priority="13" dxfId="140" operator="greaterThan" stopIfTrue="1">
      <formula>$D$17*0.1</formula>
    </cfRule>
  </conditionalFormatting>
  <conditionalFormatting sqref="E15">
    <cfRule type="cellIs" priority="14" dxfId="140" operator="greaterThan" stopIfTrue="1">
      <formula>$E$17*0.1</formula>
    </cfRule>
  </conditionalFormatting>
  <conditionalFormatting sqref="E32 C32 E63 C63">
    <cfRule type="cellIs" priority="15" dxfId="1" operator="lessThan" stopIfTrue="1">
      <formula>0</formula>
    </cfRule>
  </conditionalFormatting>
  <conditionalFormatting sqref="C31">
    <cfRule type="cellIs" priority="16" dxfId="1" operator="greaterThan" stopIfTrue="1">
      <formula>$C$33</formula>
    </cfRule>
  </conditionalFormatting>
  <conditionalFormatting sqref="D31">
    <cfRule type="cellIs" priority="17" dxfId="1" operator="greaterThan" stopIfTrue="1">
      <formula>$D$33</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2">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B7" sqref="B7"/>
    </sheetView>
  </sheetViews>
  <sheetFormatPr defaultColWidth="8.796875" defaultRowHeight="15"/>
  <cols>
    <col min="1" max="1" width="11.59765625" style="10" customWidth="1"/>
    <col min="2" max="2" width="7.3984375" style="10" customWidth="1"/>
    <col min="3" max="3" width="11.59765625" style="10" customWidth="1"/>
    <col min="4" max="4" width="7.3984375" style="10" customWidth="1"/>
    <col min="5" max="5" width="11.59765625" style="10" customWidth="1"/>
    <col min="6" max="6" width="7.3984375" style="10" customWidth="1"/>
    <col min="7" max="7" width="11.59765625" style="10" customWidth="1"/>
    <col min="8" max="8" width="7.3984375" style="10" customWidth="1"/>
    <col min="9" max="9" width="11.59765625" style="10" customWidth="1"/>
    <col min="10" max="16384" width="8.8984375" style="10" customWidth="1"/>
  </cols>
  <sheetData>
    <row r="1" spans="1:11" ht="15.75">
      <c r="A1" s="89" t="str">
        <f>inputPrYr!$D$3</f>
        <v>City of Vining</v>
      </c>
      <c r="B1" s="119"/>
      <c r="C1" s="293"/>
      <c r="D1" s="293"/>
      <c r="E1" s="293"/>
      <c r="F1" s="320" t="s">
        <v>247</v>
      </c>
      <c r="G1" s="293"/>
      <c r="H1" s="293"/>
      <c r="I1" s="293"/>
      <c r="J1" s="293"/>
      <c r="K1" s="293">
        <f>inputPrYr!$C$10</f>
        <v>2012</v>
      </c>
    </row>
    <row r="2" spans="1:11" ht="15.75">
      <c r="A2" s="293"/>
      <c r="B2" s="293"/>
      <c r="C2" s="293"/>
      <c r="D2" s="293"/>
      <c r="E2" s="293"/>
      <c r="F2" s="119" t="str">
        <f>CONCATENATE("(Only the actual budget year for ",K1-2," is to be shown)")</f>
        <v>(Only the actual budget year for 2010 is to be shown)</v>
      </c>
      <c r="G2" s="293"/>
      <c r="H2" s="293"/>
      <c r="I2" s="293"/>
      <c r="J2" s="293"/>
      <c r="K2" s="293"/>
    </row>
    <row r="3" spans="1:11" ht="15.75">
      <c r="A3" s="293" t="s">
        <v>246</v>
      </c>
      <c r="B3" s="293"/>
      <c r="C3" s="293"/>
      <c r="D3" s="293"/>
      <c r="E3" s="293"/>
      <c r="F3" s="119"/>
      <c r="G3" s="293"/>
      <c r="H3" s="293"/>
      <c r="I3" s="293"/>
      <c r="J3" s="293"/>
      <c r="K3" s="293"/>
    </row>
    <row r="4" spans="1:11" ht="15.75">
      <c r="A4" s="293" t="s">
        <v>239</v>
      </c>
      <c r="B4" s="293"/>
      <c r="C4" s="293" t="s">
        <v>240</v>
      </c>
      <c r="D4" s="293"/>
      <c r="E4" s="293" t="s">
        <v>241</v>
      </c>
      <c r="F4" s="119"/>
      <c r="G4" s="293" t="s">
        <v>242</v>
      </c>
      <c r="H4" s="293"/>
      <c r="I4" s="293" t="s">
        <v>243</v>
      </c>
      <c r="J4" s="293"/>
      <c r="K4" s="293"/>
    </row>
    <row r="5" spans="1:11" ht="15.75">
      <c r="A5" s="682" t="str">
        <f>inputPrYr!B43</f>
        <v>Capital Outlay</v>
      </c>
      <c r="B5" s="683"/>
      <c r="C5" s="682">
        <f>inputPrYr!B44</f>
        <v>0</v>
      </c>
      <c r="D5" s="683"/>
      <c r="E5" s="682">
        <f>inputPrYr!B45</f>
        <v>0</v>
      </c>
      <c r="F5" s="683"/>
      <c r="G5" s="682">
        <f>inputPrYr!B46</f>
        <v>0</v>
      </c>
      <c r="H5" s="683"/>
      <c r="I5" s="682">
        <f>inputPrYr!B47</f>
        <v>0</v>
      </c>
      <c r="J5" s="683"/>
      <c r="K5" s="129"/>
    </row>
    <row r="6" spans="1:11" ht="15.75">
      <c r="A6" s="322" t="s">
        <v>244</v>
      </c>
      <c r="B6" s="323"/>
      <c r="C6" s="324" t="s">
        <v>244</v>
      </c>
      <c r="D6" s="325"/>
      <c r="E6" s="324" t="s">
        <v>244</v>
      </c>
      <c r="F6" s="326"/>
      <c r="G6" s="324" t="s">
        <v>244</v>
      </c>
      <c r="H6" s="321"/>
      <c r="I6" s="324" t="s">
        <v>244</v>
      </c>
      <c r="J6" s="293"/>
      <c r="K6" s="327" t="s">
        <v>22</v>
      </c>
    </row>
    <row r="7" spans="1:11" ht="15.75">
      <c r="A7" s="328" t="s">
        <v>311</v>
      </c>
      <c r="B7" s="329">
        <v>0</v>
      </c>
      <c r="C7" s="330" t="s">
        <v>311</v>
      </c>
      <c r="D7" s="329"/>
      <c r="E7" s="330" t="s">
        <v>311</v>
      </c>
      <c r="F7" s="329"/>
      <c r="G7" s="330" t="s">
        <v>311</v>
      </c>
      <c r="H7" s="329"/>
      <c r="I7" s="330" t="s">
        <v>311</v>
      </c>
      <c r="J7" s="329"/>
      <c r="K7" s="331">
        <f>SUM(B7+D7+F7+H7+J7)</f>
        <v>0</v>
      </c>
    </row>
    <row r="8" spans="1:11" ht="15.75">
      <c r="A8" s="332" t="s">
        <v>165</v>
      </c>
      <c r="B8" s="333"/>
      <c r="C8" s="332" t="s">
        <v>165</v>
      </c>
      <c r="D8" s="334"/>
      <c r="E8" s="332" t="s">
        <v>165</v>
      </c>
      <c r="F8" s="119"/>
      <c r="G8" s="332" t="s">
        <v>165</v>
      </c>
      <c r="H8" s="293"/>
      <c r="I8" s="332" t="s">
        <v>165</v>
      </c>
      <c r="J8" s="293"/>
      <c r="K8" s="119"/>
    </row>
    <row r="9" spans="1:11" ht="15.75">
      <c r="A9" s="335"/>
      <c r="B9" s="329"/>
      <c r="C9" s="335"/>
      <c r="D9" s="329"/>
      <c r="E9" s="335"/>
      <c r="F9" s="329"/>
      <c r="G9" s="335"/>
      <c r="H9" s="329"/>
      <c r="I9" s="335"/>
      <c r="J9" s="329"/>
      <c r="K9" s="119"/>
    </row>
    <row r="10" spans="1:11" ht="15.75">
      <c r="A10" s="335" t="s">
        <v>876</v>
      </c>
      <c r="B10" s="329">
        <v>2000</v>
      </c>
      <c r="C10" s="335"/>
      <c r="D10" s="329"/>
      <c r="E10" s="335"/>
      <c r="F10" s="329"/>
      <c r="G10" s="335"/>
      <c r="H10" s="329"/>
      <c r="I10" s="335"/>
      <c r="J10" s="329"/>
      <c r="K10" s="119"/>
    </row>
    <row r="11" spans="1:11" ht="15.75">
      <c r="A11" s="335"/>
      <c r="B11" s="329"/>
      <c r="C11" s="336"/>
      <c r="D11" s="329"/>
      <c r="E11" s="336"/>
      <c r="F11" s="329"/>
      <c r="G11" s="336"/>
      <c r="H11" s="329"/>
      <c r="I11" s="337"/>
      <c r="J11" s="329"/>
      <c r="K11" s="119"/>
    </row>
    <row r="12" spans="1:11" ht="15.75">
      <c r="A12" s="335"/>
      <c r="B12" s="338"/>
      <c r="C12" s="335"/>
      <c r="D12" s="329"/>
      <c r="E12" s="339"/>
      <c r="F12" s="329"/>
      <c r="G12" s="339"/>
      <c r="H12" s="329"/>
      <c r="I12" s="339"/>
      <c r="J12" s="329"/>
      <c r="K12" s="119"/>
    </row>
    <row r="13" spans="1:11" ht="15.75">
      <c r="A13" s="340"/>
      <c r="B13" s="341"/>
      <c r="C13" s="342"/>
      <c r="D13" s="329"/>
      <c r="E13" s="342"/>
      <c r="F13" s="329"/>
      <c r="G13" s="342"/>
      <c r="H13" s="329"/>
      <c r="I13" s="337"/>
      <c r="J13" s="329"/>
      <c r="K13" s="119"/>
    </row>
    <row r="14" spans="1:11" ht="15.75">
      <c r="A14" s="335"/>
      <c r="B14" s="329"/>
      <c r="C14" s="339"/>
      <c r="D14" s="329"/>
      <c r="E14" s="339"/>
      <c r="F14" s="329"/>
      <c r="G14" s="339"/>
      <c r="H14" s="329"/>
      <c r="I14" s="339"/>
      <c r="J14" s="329"/>
      <c r="K14" s="119"/>
    </row>
    <row r="15" spans="1:11" ht="15.75">
      <c r="A15" s="335"/>
      <c r="B15" s="329"/>
      <c r="C15" s="339"/>
      <c r="D15" s="329"/>
      <c r="E15" s="339"/>
      <c r="F15" s="329"/>
      <c r="G15" s="339"/>
      <c r="H15" s="329"/>
      <c r="I15" s="339"/>
      <c r="J15" s="329"/>
      <c r="K15" s="119"/>
    </row>
    <row r="16" spans="1:11" ht="15.75">
      <c r="A16" s="335"/>
      <c r="B16" s="341"/>
      <c r="C16" s="335"/>
      <c r="D16" s="329"/>
      <c r="E16" s="335"/>
      <c r="F16" s="329"/>
      <c r="G16" s="339"/>
      <c r="H16" s="329"/>
      <c r="I16" s="335"/>
      <c r="J16" s="329"/>
      <c r="K16" s="119"/>
    </row>
    <row r="17" spans="1:11" ht="15.75">
      <c r="A17" s="332" t="s">
        <v>57</v>
      </c>
      <c r="B17" s="331">
        <f>SUM(B9:B16)</f>
        <v>2000</v>
      </c>
      <c r="C17" s="332" t="s">
        <v>57</v>
      </c>
      <c r="D17" s="331">
        <f>SUM(D9:D16)</f>
        <v>0</v>
      </c>
      <c r="E17" s="332" t="s">
        <v>57</v>
      </c>
      <c r="F17" s="420">
        <f>SUM(F9:F16)</f>
        <v>0</v>
      </c>
      <c r="G17" s="332" t="s">
        <v>57</v>
      </c>
      <c r="H17" s="331">
        <f>SUM(H9:H16)</f>
        <v>0</v>
      </c>
      <c r="I17" s="332" t="s">
        <v>57</v>
      </c>
      <c r="J17" s="331">
        <f>SUM(J9:J16)</f>
        <v>0</v>
      </c>
      <c r="K17" s="331">
        <f>SUM(B17+D17+F17+H17+J17)</f>
        <v>2000</v>
      </c>
    </row>
    <row r="18" spans="1:11" ht="15.75">
      <c r="A18" s="332" t="s">
        <v>58</v>
      </c>
      <c r="B18" s="331">
        <f>SUM(B7+B17)</f>
        <v>2000</v>
      </c>
      <c r="C18" s="332" t="s">
        <v>58</v>
      </c>
      <c r="D18" s="331">
        <f>SUM(D7+D17)</f>
        <v>0</v>
      </c>
      <c r="E18" s="332" t="s">
        <v>58</v>
      </c>
      <c r="F18" s="331">
        <f>SUM(F7+F17)</f>
        <v>0</v>
      </c>
      <c r="G18" s="332" t="s">
        <v>58</v>
      </c>
      <c r="H18" s="331">
        <f>SUM(H7+H17)</f>
        <v>0</v>
      </c>
      <c r="I18" s="332" t="s">
        <v>58</v>
      </c>
      <c r="J18" s="331">
        <f>SUM(J7+J17)</f>
        <v>0</v>
      </c>
      <c r="K18" s="331">
        <f>SUM(B18+D18+F18+H18+J18)</f>
        <v>2000</v>
      </c>
    </row>
    <row r="19" spans="1:11" ht="15.75">
      <c r="A19" s="332" t="s">
        <v>59</v>
      </c>
      <c r="B19" s="333"/>
      <c r="C19" s="332" t="s">
        <v>59</v>
      </c>
      <c r="D19" s="334"/>
      <c r="E19" s="332" t="s">
        <v>59</v>
      </c>
      <c r="F19" s="119"/>
      <c r="G19" s="332" t="s">
        <v>59</v>
      </c>
      <c r="H19" s="293"/>
      <c r="I19" s="332" t="s">
        <v>59</v>
      </c>
      <c r="J19" s="293"/>
      <c r="K19" s="119"/>
    </row>
    <row r="20" spans="1:11" ht="15.75">
      <c r="A20" s="335"/>
      <c r="B20" s="329"/>
      <c r="C20" s="339"/>
      <c r="D20" s="329"/>
      <c r="E20" s="339"/>
      <c r="F20" s="329"/>
      <c r="G20" s="339"/>
      <c r="H20" s="329"/>
      <c r="I20" s="339"/>
      <c r="J20" s="329"/>
      <c r="K20" s="119"/>
    </row>
    <row r="21" spans="1:11" ht="15.75">
      <c r="A21" s="335"/>
      <c r="B21" s="329"/>
      <c r="C21" s="339"/>
      <c r="D21" s="329"/>
      <c r="E21" s="339"/>
      <c r="F21" s="329"/>
      <c r="G21" s="339"/>
      <c r="H21" s="329"/>
      <c r="I21" s="339"/>
      <c r="J21" s="329"/>
      <c r="K21" s="119"/>
    </row>
    <row r="22" spans="1:11" ht="15.75">
      <c r="A22" s="335"/>
      <c r="B22" s="329"/>
      <c r="C22" s="342"/>
      <c r="D22" s="329"/>
      <c r="E22" s="342"/>
      <c r="F22" s="329"/>
      <c r="G22" s="342"/>
      <c r="H22" s="329"/>
      <c r="I22" s="337"/>
      <c r="J22" s="329"/>
      <c r="K22" s="119"/>
    </row>
    <row r="23" spans="1:11" ht="15.75">
      <c r="A23" s="335"/>
      <c r="B23" s="329"/>
      <c r="C23" s="339"/>
      <c r="D23" s="329"/>
      <c r="E23" s="339"/>
      <c r="F23" s="329"/>
      <c r="G23" s="339"/>
      <c r="H23" s="329"/>
      <c r="I23" s="339"/>
      <c r="J23" s="329"/>
      <c r="K23" s="119"/>
    </row>
    <row r="24" spans="1:11" ht="15.75">
      <c r="A24" s="335"/>
      <c r="B24" s="329"/>
      <c r="C24" s="342"/>
      <c r="D24" s="329"/>
      <c r="E24" s="342"/>
      <c r="F24" s="329"/>
      <c r="G24" s="342"/>
      <c r="H24" s="329"/>
      <c r="I24" s="337"/>
      <c r="J24" s="329"/>
      <c r="K24" s="119"/>
    </row>
    <row r="25" spans="1:11" ht="15.75">
      <c r="A25" s="335"/>
      <c r="B25" s="329"/>
      <c r="C25" s="339"/>
      <c r="D25" s="329"/>
      <c r="E25" s="339"/>
      <c r="F25" s="329"/>
      <c r="G25" s="339"/>
      <c r="H25" s="329"/>
      <c r="I25" s="339"/>
      <c r="J25" s="329"/>
      <c r="K25" s="119"/>
    </row>
    <row r="26" spans="1:11" ht="15.75">
      <c r="A26" s="335"/>
      <c r="B26" s="329"/>
      <c r="C26" s="339"/>
      <c r="D26" s="329"/>
      <c r="E26" s="339"/>
      <c r="F26" s="329"/>
      <c r="G26" s="339"/>
      <c r="H26" s="329"/>
      <c r="I26" s="339"/>
      <c r="J26" s="329"/>
      <c r="K26" s="119"/>
    </row>
    <row r="27" spans="1:11" ht="15.75">
      <c r="A27" s="335"/>
      <c r="B27" s="329"/>
      <c r="C27" s="335"/>
      <c r="D27" s="329"/>
      <c r="E27" s="335"/>
      <c r="F27" s="329"/>
      <c r="G27" s="339"/>
      <c r="H27" s="329"/>
      <c r="I27" s="339"/>
      <c r="J27" s="329"/>
      <c r="K27" s="119"/>
    </row>
    <row r="28" spans="1:11" ht="15.75">
      <c r="A28" s="332" t="s">
        <v>60</v>
      </c>
      <c r="B28" s="331">
        <f>SUM(B20:B27)</f>
        <v>0</v>
      </c>
      <c r="C28" s="332" t="s">
        <v>60</v>
      </c>
      <c r="D28" s="331">
        <f>SUM(D20:D27)</f>
        <v>0</v>
      </c>
      <c r="E28" s="332" t="s">
        <v>60</v>
      </c>
      <c r="F28" s="420">
        <f>SUM(F20:F27)</f>
        <v>0</v>
      </c>
      <c r="G28" s="332" t="s">
        <v>60</v>
      </c>
      <c r="H28" s="420">
        <f>SUM(H20:H27)</f>
        <v>0</v>
      </c>
      <c r="I28" s="332" t="s">
        <v>60</v>
      </c>
      <c r="J28" s="331">
        <f>SUM(J20:J27)</f>
        <v>0</v>
      </c>
      <c r="K28" s="331">
        <f>SUM(B28+D28+F28+H28+J28)</f>
        <v>0</v>
      </c>
    </row>
    <row r="29" spans="1:12" ht="15.75">
      <c r="A29" s="332" t="s">
        <v>245</v>
      </c>
      <c r="B29" s="331">
        <f>SUM(B18-B28)</f>
        <v>2000</v>
      </c>
      <c r="C29" s="332" t="s">
        <v>245</v>
      </c>
      <c r="D29" s="331">
        <f>SUM(D18-D28)</f>
        <v>0</v>
      </c>
      <c r="E29" s="332" t="s">
        <v>245</v>
      </c>
      <c r="F29" s="331">
        <f>SUM(F18-F28)</f>
        <v>0</v>
      </c>
      <c r="G29" s="332" t="s">
        <v>245</v>
      </c>
      <c r="H29" s="331">
        <f>SUM(H18-H28)</f>
        <v>0</v>
      </c>
      <c r="I29" s="332" t="s">
        <v>245</v>
      </c>
      <c r="J29" s="331">
        <f>SUM(J18-J28)</f>
        <v>0</v>
      </c>
      <c r="K29" s="343">
        <f>SUM(B29+D29+F29+H29+J29)</f>
        <v>2000</v>
      </c>
      <c r="L29" s="10" t="s">
        <v>250</v>
      </c>
    </row>
    <row r="30" spans="1:12" ht="15.75">
      <c r="A30" s="332"/>
      <c r="B30" s="370">
        <f>IF(B29&lt;0,"See Tab B","")</f>
      </c>
      <c r="C30" s="332"/>
      <c r="D30" s="370">
        <f>IF(D29&lt;0,"See Tab B","")</f>
      </c>
      <c r="E30" s="332"/>
      <c r="F30" s="370">
        <f>IF(F29&lt;0,"See Tab B","")</f>
      </c>
      <c r="G30" s="293"/>
      <c r="H30" s="370">
        <f>IF(H29&lt;0,"See Tab B","")</f>
      </c>
      <c r="I30" s="293"/>
      <c r="J30" s="370">
        <f>IF(J29&lt;0,"See Tab B","")</f>
      </c>
      <c r="K30" s="343">
        <f>SUM(K7+K17-K28)</f>
        <v>2000</v>
      </c>
      <c r="L30" s="10" t="s">
        <v>250</v>
      </c>
    </row>
    <row r="31" spans="1:11" ht="15.75">
      <c r="A31" s="293"/>
      <c r="B31" s="344"/>
      <c r="C31" s="293"/>
      <c r="D31" s="119"/>
      <c r="E31" s="293"/>
      <c r="F31" s="293"/>
      <c r="G31" s="21" t="s">
        <v>251</v>
      </c>
      <c r="H31" s="21"/>
      <c r="I31" s="21"/>
      <c r="J31" s="21"/>
      <c r="K31" s="293"/>
    </row>
    <row r="32" spans="1:11" ht="15.75">
      <c r="A32" s="293"/>
      <c r="B32" s="344"/>
      <c r="C32" s="293"/>
      <c r="D32" s="293"/>
      <c r="E32" s="293"/>
      <c r="F32" s="293"/>
      <c r="G32" s="293"/>
      <c r="H32" s="293"/>
      <c r="I32" s="293"/>
      <c r="J32" s="293"/>
      <c r="K32" s="293"/>
    </row>
    <row r="33" spans="1:11" ht="15.75">
      <c r="A33" s="293"/>
      <c r="B33" s="344"/>
      <c r="C33" s="293"/>
      <c r="D33" s="293"/>
      <c r="E33" s="292" t="s">
        <v>63</v>
      </c>
      <c r="F33" s="295">
        <v>9</v>
      </c>
      <c r="G33" s="293"/>
      <c r="H33" s="293"/>
      <c r="I33" s="293"/>
      <c r="J33" s="293"/>
      <c r="K33" s="293"/>
    </row>
    <row r="34" ht="15.75">
      <c r="B34" s="345"/>
    </row>
    <row r="35" ht="15.75">
      <c r="B35" s="345"/>
    </row>
    <row r="36" ht="15.75">
      <c r="B36" s="345"/>
    </row>
    <row r="37" ht="15.75">
      <c r="B37" s="345"/>
    </row>
    <row r="38" ht="15.75">
      <c r="B38" s="345"/>
    </row>
    <row r="39" ht="15.75">
      <c r="B39" s="345"/>
    </row>
    <row r="40" ht="15.75">
      <c r="B40" s="345"/>
    </row>
    <row r="41" ht="15.75">
      <c r="B41" s="34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68"/>
  <sheetViews>
    <sheetView zoomScale="75" zoomScaleNormal="75" zoomScalePageLayoutView="0" workbookViewId="0" topLeftCell="A16">
      <selection activeCell="A28" sqref="A28:B28"/>
    </sheetView>
  </sheetViews>
  <sheetFormatPr defaultColWidth="8.796875" defaultRowHeight="15"/>
  <cols>
    <col min="1" max="1" width="20.796875" style="24" customWidth="1"/>
    <col min="2" max="2" width="15.796875" style="24" customWidth="1"/>
    <col min="3" max="3" width="10.796875" style="24" customWidth="1"/>
    <col min="4" max="4" width="15.796875" style="24" customWidth="1"/>
    <col min="5" max="5" width="10.796875" style="24" customWidth="1"/>
    <col min="6" max="6" width="15.09765625" style="24" customWidth="1"/>
    <col min="7" max="7" width="12.19921875" style="24" customWidth="1"/>
    <col min="8" max="8" width="10.59765625" style="24" customWidth="1"/>
    <col min="9" max="9" width="8.59765625" style="24" customWidth="1"/>
    <col min="10" max="10" width="12.3984375" style="24" customWidth="1"/>
    <col min="11" max="11" width="12.296875" style="24" customWidth="1"/>
    <col min="12" max="12" width="10.59765625" style="24" customWidth="1"/>
    <col min="13" max="13" width="12.09765625" style="24" customWidth="1"/>
    <col min="14" max="16384" width="8.8984375" style="24" customWidth="1"/>
  </cols>
  <sheetData>
    <row r="1" spans="1:8" ht="15.75">
      <c r="A1" s="28"/>
      <c r="B1" s="28"/>
      <c r="C1" s="28"/>
      <c r="D1" s="28"/>
      <c r="E1" s="28"/>
      <c r="F1" s="28"/>
      <c r="G1" s="28"/>
      <c r="H1" s="141">
        <f>inputPrYr!$C$10</f>
        <v>2012</v>
      </c>
    </row>
    <row r="2" spans="1:8" ht="15.75">
      <c r="A2" s="660" t="s">
        <v>104</v>
      </c>
      <c r="B2" s="660"/>
      <c r="C2" s="660"/>
      <c r="D2" s="660"/>
      <c r="E2" s="660"/>
      <c r="F2" s="660"/>
      <c r="G2" s="660"/>
      <c r="H2" s="660"/>
    </row>
    <row r="3" spans="1:8" ht="15.75">
      <c r="A3" s="28"/>
      <c r="B3" s="28"/>
      <c r="C3" s="28"/>
      <c r="D3" s="28"/>
      <c r="E3" s="28"/>
      <c r="F3" s="28"/>
      <c r="G3" s="28"/>
      <c r="H3" s="28"/>
    </row>
    <row r="4" spans="1:8" ht="15.75">
      <c r="A4" s="649" t="s">
        <v>68</v>
      </c>
      <c r="B4" s="649"/>
      <c r="C4" s="649"/>
      <c r="D4" s="649"/>
      <c r="E4" s="649"/>
      <c r="F4" s="649"/>
      <c r="G4" s="649"/>
      <c r="H4" s="649"/>
    </row>
    <row r="5" spans="1:8" ht="15.75">
      <c r="A5" s="609" t="str">
        <f>inputPrYr!D3</f>
        <v>City of Vining</v>
      </c>
      <c r="B5" s="609"/>
      <c r="C5" s="609"/>
      <c r="D5" s="609"/>
      <c r="E5" s="609"/>
      <c r="F5" s="609"/>
      <c r="G5" s="609"/>
      <c r="H5" s="609"/>
    </row>
    <row r="6" spans="1:8" ht="15.75">
      <c r="A6" s="684" t="str">
        <f>CONCATENATE("will meet on the ",inputBudSum!B6," at ",inputBudSum!B8," at ",inputBudSum!B10," for the purpose of  hearing and")</f>
        <v>will meet on the 23rd day of August, 2011 at 8:00 p.m. at Vining City Hall for the purpose of  hearing and</v>
      </c>
      <c r="B6" s="684"/>
      <c r="C6" s="684"/>
      <c r="D6" s="684"/>
      <c r="E6" s="684"/>
      <c r="F6" s="684"/>
      <c r="G6" s="684"/>
      <c r="H6" s="684"/>
    </row>
    <row r="7" spans="1:8" ht="15.75">
      <c r="A7" s="649" t="s">
        <v>665</v>
      </c>
      <c r="B7" s="649"/>
      <c r="C7" s="649"/>
      <c r="D7" s="649"/>
      <c r="E7" s="649"/>
      <c r="F7" s="649"/>
      <c r="G7" s="649"/>
      <c r="H7" s="649"/>
    </row>
    <row r="8" spans="1:8" ht="15.75">
      <c r="A8" s="684" t="str">
        <f>CONCATENATE("Detailed budget information is available at ",inputBudSum!B13," and will be available at this hearing.")</f>
        <v>Detailed budget information is available at 109 Scribner St, Vining, KS and will be available at this hearing.</v>
      </c>
      <c r="B8" s="684"/>
      <c r="C8" s="684"/>
      <c r="D8" s="684"/>
      <c r="E8" s="684"/>
      <c r="F8" s="684"/>
      <c r="G8" s="684"/>
      <c r="H8" s="684"/>
    </row>
    <row r="9" spans="1:8" ht="15.75">
      <c r="A9" s="37" t="s">
        <v>105</v>
      </c>
      <c r="B9" s="38"/>
      <c r="C9" s="38"/>
      <c r="D9" s="38"/>
      <c r="E9" s="38"/>
      <c r="F9" s="38"/>
      <c r="G9" s="38"/>
      <c r="H9" s="38"/>
    </row>
    <row r="10" spans="1:8" ht="15.75">
      <c r="A10" s="346"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347"/>
      <c r="C10" s="347"/>
      <c r="D10" s="347"/>
      <c r="E10" s="347"/>
      <c r="F10" s="347"/>
      <c r="G10" s="347"/>
      <c r="H10" s="347"/>
    </row>
    <row r="11" spans="1:8" ht="15.75">
      <c r="A11" s="39" t="s">
        <v>170</v>
      </c>
      <c r="B11" s="38"/>
      <c r="C11" s="38"/>
      <c r="D11" s="38"/>
      <c r="E11" s="38"/>
      <c r="F11" s="38"/>
      <c r="G11" s="38"/>
      <c r="H11" s="38"/>
    </row>
    <row r="12" spans="1:8" ht="15.75">
      <c r="A12" s="28"/>
      <c r="B12" s="312"/>
      <c r="C12" s="312"/>
      <c r="D12" s="312"/>
      <c r="E12" s="312"/>
      <c r="F12" s="312"/>
      <c r="G12" s="312"/>
      <c r="H12" s="312"/>
    </row>
    <row r="13" spans="1:8" ht="15.75">
      <c r="A13" s="28"/>
      <c r="B13" s="348" t="str">
        <f>CONCATENATE("Prior Year Actual for ",H1-2,"")</f>
        <v>Prior Year Actual for 2010</v>
      </c>
      <c r="C13" s="151"/>
      <c r="D13" s="348" t="str">
        <f>CONCATENATE("Current Year Estimate for ",H1-1,"")</f>
        <v>Current Year Estimate for 2011</v>
      </c>
      <c r="E13" s="151"/>
      <c r="F13" s="349" t="str">
        <f>CONCATENATE("Proposed Budget for ",H1,"")</f>
        <v>Proposed Budget for 2012</v>
      </c>
      <c r="G13" s="350"/>
      <c r="H13" s="151"/>
    </row>
    <row r="14" spans="1:8" ht="22.5" customHeight="1">
      <c r="A14" s="28"/>
      <c r="B14" s="154"/>
      <c r="C14" s="154" t="s">
        <v>64</v>
      </c>
      <c r="D14" s="154"/>
      <c r="E14" s="154" t="s">
        <v>64</v>
      </c>
      <c r="F14" s="154" t="s">
        <v>283</v>
      </c>
      <c r="G14" s="351" t="str">
        <f>CONCATENATE("Amount of ",H1-1,"")</f>
        <v>Amount of 2011</v>
      </c>
      <c r="H14" s="154" t="s">
        <v>221</v>
      </c>
    </row>
    <row r="15" spans="1:8" ht="17.25" customHeight="1">
      <c r="A15" s="56" t="s">
        <v>70</v>
      </c>
      <c r="B15" s="157" t="s">
        <v>31</v>
      </c>
      <c r="C15" s="157" t="s">
        <v>71</v>
      </c>
      <c r="D15" s="157" t="s">
        <v>219</v>
      </c>
      <c r="E15" s="157" t="s">
        <v>71</v>
      </c>
      <c r="F15" s="157" t="s">
        <v>689</v>
      </c>
      <c r="G15" s="239" t="s">
        <v>50</v>
      </c>
      <c r="H15" s="157" t="s">
        <v>71</v>
      </c>
    </row>
    <row r="16" spans="1:8" ht="15.75">
      <c r="A16" s="50" t="s">
        <v>18</v>
      </c>
      <c r="B16" s="206">
        <f>IF((general!$C$58)&lt;&gt;0,general!$C$58,"  ")</f>
        <v>14089</v>
      </c>
      <c r="C16" s="352">
        <f>IF(inputPrYr!D52&gt;0,inputPrYr!D52,"  ")</f>
        <v>47.228</v>
      </c>
      <c r="D16" s="206">
        <f>IF((general!$D$58)&lt;&gt;0,general!$D$58,"  ")</f>
        <v>21200</v>
      </c>
      <c r="E16" s="352">
        <f>IF(inputOth!D30&gt;0,inputOth!D30,"  ")</f>
        <v>48.97</v>
      </c>
      <c r="F16" s="206">
        <f>IF((general!$E$58)&lt;&gt;0,general!$E$58,"  ")</f>
        <v>28798</v>
      </c>
      <c r="G16" s="206">
        <f>IF((general!$E$65)&lt;&gt;0,(general!$E$65),"  ")</f>
        <v>8959</v>
      </c>
      <c r="H16" s="352">
        <f>IF((general!E65&gt;0),ROUND(G16/$F$25*1000,3),"  ")</f>
        <v>48.969</v>
      </c>
    </row>
    <row r="17" spans="1:13" ht="15.75">
      <c r="A17" s="72" t="str">
        <f>IF((inputPrYr!$B33&gt;"  "),(inputPrYr!$B33),"  ")</f>
        <v>Special Highway</v>
      </c>
      <c r="B17" s="206">
        <f>IF(('SpecHwy-Park'!$C$31)&lt;&gt;0,('SpecHwy-Park'!$C$31),"  ")</f>
        <v>1978</v>
      </c>
      <c r="C17" s="165"/>
      <c r="D17" s="206">
        <f>IF(('SpecHwy-Park'!$D$31)&lt;&gt;0,('SpecHwy-Park'!$D$31),"  ")</f>
        <v>1978</v>
      </c>
      <c r="E17" s="165"/>
      <c r="F17" s="206">
        <f>IF(('SpecHwy-Park'!$E$31)&lt;&gt;0,('SpecHwy-Park'!$E$31),"  ")</f>
        <v>4510</v>
      </c>
      <c r="G17" s="165"/>
      <c r="H17" s="165"/>
      <c r="J17" s="685" t="str">
        <f>CONCATENATE("Estimated Value Of One Mill For ",$H$1,"")</f>
        <v>Estimated Value Of One Mill For 2012</v>
      </c>
      <c r="K17" s="686"/>
      <c r="L17" s="686"/>
      <c r="M17" s="687"/>
    </row>
    <row r="18" spans="1:13" ht="15.75">
      <c r="A18" s="72" t="str">
        <f>IF((inputPrYr!$B34&gt;"  "),(inputPrYr!$B34),"  ")</f>
        <v>Parks &amp; Recreation</v>
      </c>
      <c r="B18" s="206">
        <f>IF(('SpecHwy-Park'!$C$62)&lt;&gt;0,('SpecHwy-Park'!$C$62),"  ")</f>
        <v>2840</v>
      </c>
      <c r="C18" s="165"/>
      <c r="D18" s="206">
        <f>IF(('SpecHwy-Park'!$D$62)&lt;&gt;0,('SpecHwy-Park'!$D$62),"  ")</f>
        <v>3200</v>
      </c>
      <c r="E18" s="165"/>
      <c r="F18" s="206">
        <f>IF(('SpecHwy-Park'!$E$62)&lt;&gt;0,('SpecHwy-Park'!$E$62),"  ")</f>
        <v>6456</v>
      </c>
      <c r="G18" s="165"/>
      <c r="H18" s="165"/>
      <c r="J18" s="504"/>
      <c r="K18" s="503"/>
      <c r="L18" s="503"/>
      <c r="M18" s="502"/>
    </row>
    <row r="19" spans="1:13" ht="15.75">
      <c r="A19" s="72" t="str">
        <f>IF((inputPrYr!$B40&gt;"  "),(inputPrYr!$B40),"  ")</f>
        <v>  </v>
      </c>
      <c r="B19" s="206" t="str">
        <f>IF((Sinnolevy14!$C$47)&lt;&gt;0,(Sinnolevy14!$C$47),"  ")</f>
        <v>  </v>
      </c>
      <c r="C19" s="165"/>
      <c r="D19" s="206" t="str">
        <f>IF((Sinnolevy14!$D$47)&lt;&gt;0,(Sinnolevy14!$D$47),"  ")</f>
        <v>  </v>
      </c>
      <c r="E19" s="165"/>
      <c r="F19" s="206" t="str">
        <f>IF((Sinnolevy14!$E$47)&lt;&gt;0,(Sinnolevy14!$E$47),"  ")</f>
        <v>  </v>
      </c>
      <c r="G19" s="165"/>
      <c r="H19" s="165"/>
      <c r="J19" s="501" t="s">
        <v>775</v>
      </c>
      <c r="K19" s="500"/>
      <c r="L19" s="500"/>
      <c r="M19" s="499">
        <f>ROUND(F25/1000,0)</f>
        <v>183</v>
      </c>
    </row>
    <row r="20" spans="1:8" ht="16.5" thickBot="1">
      <c r="A20" s="72" t="str">
        <f>IF((inputPrYr!$B43&gt;"  "),(nonbud!$A3),"  ")</f>
        <v>Non-Budgeted Funds</v>
      </c>
      <c r="B20" s="485" t="str">
        <f>IF((nonbud!$K$28)&lt;&gt;0,(nonbud!$K$28),"  ")</f>
        <v>  </v>
      </c>
      <c r="C20" s="486"/>
      <c r="D20" s="485"/>
      <c r="E20" s="486"/>
      <c r="F20" s="485"/>
      <c r="G20" s="486"/>
      <c r="H20" s="486"/>
    </row>
    <row r="21" spans="1:8" ht="15.75">
      <c r="A21" s="563" t="s">
        <v>812</v>
      </c>
      <c r="B21" s="567">
        <f>SUM(B16:B20)</f>
        <v>18907</v>
      </c>
      <c r="C21" s="568">
        <f>SUM(C16:C16)</f>
        <v>47.228</v>
      </c>
      <c r="D21" s="567">
        <f>SUM(D16:D20)</f>
        <v>26378</v>
      </c>
      <c r="E21" s="568">
        <f>SUM(E16:E16)</f>
        <v>48.97</v>
      </c>
      <c r="F21" s="567">
        <f>SUM(F16:F20)</f>
        <v>39764</v>
      </c>
      <c r="G21" s="567">
        <f>SUM(G16:G20)</f>
        <v>8959</v>
      </c>
      <c r="H21" s="568">
        <f>SUM(H16:H16)</f>
        <v>48.969</v>
      </c>
    </row>
    <row r="22" spans="1:8" ht="15.75">
      <c r="A22" s="34" t="s">
        <v>72</v>
      </c>
      <c r="B22" s="552">
        <f>Transfers!$C$25</f>
        <v>2000</v>
      </c>
      <c r="C22" s="354"/>
      <c r="D22" s="552">
        <f>Transfers!$D$25</f>
        <v>6000</v>
      </c>
      <c r="E22" s="355"/>
      <c r="F22" s="552">
        <f>Transfers!$E$25</f>
        <v>6000</v>
      </c>
      <c r="G22" s="564"/>
      <c r="H22" s="565"/>
    </row>
    <row r="23" spans="1:13" ht="16.5" thickBot="1">
      <c r="A23" s="34" t="s">
        <v>73</v>
      </c>
      <c r="B23" s="207">
        <f>B21-B22</f>
        <v>16907</v>
      </c>
      <c r="C23" s="118"/>
      <c r="D23" s="550">
        <f>D21-D22</f>
        <v>20378</v>
      </c>
      <c r="E23" s="354"/>
      <c r="F23" s="550">
        <f>F21-F22</f>
        <v>33764</v>
      </c>
      <c r="G23" s="28"/>
      <c r="H23" s="28"/>
      <c r="J23" s="685" t="str">
        <f>CONCATENATE("Want The Mill Rate The Same As For ",H1-1,"?")</f>
        <v>Want The Mill Rate The Same As For 2011?</v>
      </c>
      <c r="K23" s="686"/>
      <c r="L23" s="686"/>
      <c r="M23" s="687"/>
    </row>
    <row r="24" spans="1:13" ht="16.5" thickTop="1">
      <c r="A24" s="34" t="s">
        <v>74</v>
      </c>
      <c r="B24" s="549">
        <f>inputPrYr!$E$61</f>
        <v>6913</v>
      </c>
      <c r="C24" s="118"/>
      <c r="D24" s="549">
        <f>inputPrYr!E30</f>
        <v>8358</v>
      </c>
      <c r="E24" s="118"/>
      <c r="F24" s="551"/>
      <c r="G24" s="118"/>
      <c r="H24" s="118"/>
      <c r="J24" s="497"/>
      <c r="K24" s="503"/>
      <c r="L24" s="503"/>
      <c r="M24" s="496"/>
    </row>
    <row r="25" spans="1:13" ht="15.75">
      <c r="A25" s="34" t="s">
        <v>75</v>
      </c>
      <c r="B25" s="206">
        <f>inputPrYr!$E$62</f>
        <v>146374</v>
      </c>
      <c r="C25" s="118"/>
      <c r="D25" s="206">
        <f>inputOth!D45</f>
        <v>140412</v>
      </c>
      <c r="E25" s="118"/>
      <c r="F25" s="552">
        <f>inputOth!B14</f>
        <v>182951</v>
      </c>
      <c r="G25" s="118"/>
      <c r="H25" s="118"/>
      <c r="J25" s="497" t="str">
        <f>CONCATENATE("",H1-1," Mill Rate Was:")</f>
        <v>2011 Mill Rate Was:</v>
      </c>
      <c r="K25" s="503"/>
      <c r="L25" s="503"/>
      <c r="M25" s="495">
        <f>E21</f>
        <v>48.97</v>
      </c>
    </row>
    <row r="26" spans="1:13" ht="15.75">
      <c r="A26" s="34" t="s">
        <v>76</v>
      </c>
      <c r="B26" s="28"/>
      <c r="C26" s="28"/>
      <c r="D26" s="28"/>
      <c r="E26" s="28"/>
      <c r="F26" s="28"/>
      <c r="G26" s="118"/>
      <c r="H26" s="118"/>
      <c r="J26" s="494" t="str">
        <f>CONCATENATE("",H1," Tax Levy Fund Expenditures Must Be")</f>
        <v>2012 Tax Levy Fund Expenditures Must Be</v>
      </c>
      <c r="K26" s="493"/>
      <c r="L26" s="493"/>
      <c r="M26" s="496"/>
    </row>
    <row r="27" spans="1:13" ht="15.75">
      <c r="A27" s="28"/>
      <c r="B27" s="28"/>
      <c r="C27" s="28"/>
      <c r="D27" s="28"/>
      <c r="E27" s="28"/>
      <c r="F27" s="28"/>
      <c r="G27" s="118"/>
      <c r="H27" s="118"/>
      <c r="J27" s="494">
        <f>IF(M27&gt;0,"Increased By:","")</f>
      </c>
      <c r="K27" s="493"/>
      <c r="L27" s="493"/>
      <c r="M27" s="604">
        <f>IF(M34&lt;0,M34*-1,0)</f>
        <v>0</v>
      </c>
    </row>
    <row r="28" spans="1:13" ht="15.75">
      <c r="A28" s="688" t="s">
        <v>880</v>
      </c>
      <c r="B28" s="689"/>
      <c r="C28" s="28"/>
      <c r="D28" s="28"/>
      <c r="E28" s="28"/>
      <c r="F28" s="28"/>
      <c r="G28" s="28"/>
      <c r="H28" s="28"/>
      <c r="J28" s="605">
        <f>IF(M28&lt;0,"Reduced By:","")</f>
      </c>
      <c r="K28" s="536"/>
      <c r="L28" s="536"/>
      <c r="M28" s="606">
        <f>IF(M34&gt;0,M34*-1,0)</f>
        <v>0</v>
      </c>
    </row>
    <row r="29" spans="1:13" ht="15.75">
      <c r="A29" s="202" t="s">
        <v>688</v>
      </c>
      <c r="B29" s="426" t="str">
        <f>inputBudSum!B4</f>
        <v>City Clerk</v>
      </c>
      <c r="C29" s="28"/>
      <c r="D29" s="28"/>
      <c r="E29" s="28"/>
      <c r="F29" s="28"/>
      <c r="G29" s="28"/>
      <c r="H29" s="28"/>
      <c r="J29" s="490"/>
      <c r="K29" s="490"/>
      <c r="L29" s="490"/>
      <c r="M29" s="490"/>
    </row>
    <row r="30" spans="1:13" ht="15.75">
      <c r="A30" s="694"/>
      <c r="B30" s="695"/>
      <c r="C30" s="695"/>
      <c r="D30" s="28"/>
      <c r="E30" s="28"/>
      <c r="F30" s="28"/>
      <c r="G30" s="28"/>
      <c r="H30" s="28"/>
      <c r="J30" s="685" t="str">
        <f>CONCATENATE("Impact On Keeping The Same Mill Rate As For ",H1-1,"")</f>
        <v>Impact On Keeping The Same Mill Rate As For 2011</v>
      </c>
      <c r="K30" s="690"/>
      <c r="L30" s="690"/>
      <c r="M30" s="691"/>
    </row>
    <row r="31" spans="1:13" ht="15.75">
      <c r="A31" s="202"/>
      <c r="B31" s="426"/>
      <c r="C31" s="28"/>
      <c r="D31" s="28"/>
      <c r="E31" s="28"/>
      <c r="F31" s="28"/>
      <c r="G31" s="28"/>
      <c r="H31" s="28"/>
      <c r="I31" s="566"/>
      <c r="J31" s="497"/>
      <c r="K31" s="503"/>
      <c r="L31" s="503"/>
      <c r="M31" s="496"/>
    </row>
    <row r="32" spans="1:13" ht="15.75">
      <c r="A32" s="48"/>
      <c r="B32" s="118"/>
      <c r="C32" s="90"/>
      <c r="D32" s="28"/>
      <c r="E32" s="28"/>
      <c r="F32" s="28"/>
      <c r="G32" s="28"/>
      <c r="H32" s="28"/>
      <c r="I32" s="144"/>
      <c r="J32" s="497" t="str">
        <f>CONCATENATE("",H1," Ad Valorem Tax Revenue:")</f>
        <v>2012 Ad Valorem Tax Revenue:</v>
      </c>
      <c r="K32" s="503"/>
      <c r="L32" s="503"/>
      <c r="M32" s="502">
        <f>G21</f>
        <v>8959</v>
      </c>
    </row>
    <row r="33" spans="1:13" ht="15.75">
      <c r="A33" s="28"/>
      <c r="B33" s="28"/>
      <c r="C33" s="28"/>
      <c r="D33" s="28"/>
      <c r="E33" s="28"/>
      <c r="F33" s="28"/>
      <c r="G33" s="28"/>
      <c r="H33" s="28"/>
      <c r="J33" s="497" t="str">
        <f>CONCATENATE("",H1-1," Ad Valorem Tax Revenue:")</f>
        <v>2011 Ad Valorem Tax Revenue:</v>
      </c>
      <c r="K33" s="503"/>
      <c r="L33" s="503"/>
      <c r="M33" s="489">
        <f>ROUND(F25*M25/1000,0)</f>
        <v>8959</v>
      </c>
    </row>
    <row r="34" spans="1:13" ht="15.75">
      <c r="A34" s="28"/>
      <c r="B34" s="28"/>
      <c r="C34" s="195" t="s">
        <v>77</v>
      </c>
      <c r="D34" s="295">
        <v>10</v>
      </c>
      <c r="E34" s="28"/>
      <c r="F34" s="28"/>
      <c r="G34" s="28"/>
      <c r="H34" s="28"/>
      <c r="J34" s="492" t="s">
        <v>776</v>
      </c>
      <c r="K34" s="491"/>
      <c r="L34" s="491"/>
      <c r="M34" s="499">
        <f>SUM(M32-M33)</f>
        <v>0</v>
      </c>
    </row>
    <row r="35" spans="1:13" ht="15.75">
      <c r="A35" s="10"/>
      <c r="B35" s="10"/>
      <c r="C35" s="10"/>
      <c r="D35" s="10"/>
      <c r="E35" s="10"/>
      <c r="F35" s="10"/>
      <c r="G35" s="28"/>
      <c r="H35" s="28"/>
      <c r="J35" s="498"/>
      <c r="K35" s="498"/>
      <c r="L35" s="498"/>
      <c r="M35" s="490"/>
    </row>
    <row r="36" spans="7:13" ht="15.75">
      <c r="G36" s="28"/>
      <c r="H36" s="28"/>
      <c r="J36" s="685" t="s">
        <v>777</v>
      </c>
      <c r="K36" s="692"/>
      <c r="L36" s="692"/>
      <c r="M36" s="693"/>
    </row>
    <row r="37" spans="7:13" ht="15.75">
      <c r="G37" s="28"/>
      <c r="H37" s="28"/>
      <c r="J37" s="497"/>
      <c r="K37" s="503"/>
      <c r="L37" s="503"/>
      <c r="M37" s="496"/>
    </row>
    <row r="38" spans="7:13" ht="15.75">
      <c r="G38" s="28"/>
      <c r="H38" s="28"/>
      <c r="J38" s="497" t="str">
        <f>CONCATENATE("Current ",H1," Estimated Mill Rate:")</f>
        <v>Current 2012 Estimated Mill Rate:</v>
      </c>
      <c r="K38" s="503"/>
      <c r="L38" s="503"/>
      <c r="M38" s="495">
        <f>H21</f>
        <v>48.969</v>
      </c>
    </row>
    <row r="39" spans="7:13" ht="15.75">
      <c r="G39" s="28"/>
      <c r="H39" s="28"/>
      <c r="J39" s="497" t="str">
        <f>CONCATENATE("Desired ",H1," Mill Rate:")</f>
        <v>Desired 2012 Mill Rate:</v>
      </c>
      <c r="K39" s="503"/>
      <c r="L39" s="503"/>
      <c r="M39" s="488">
        <v>0</v>
      </c>
    </row>
    <row r="40" spans="7:13" ht="15.75">
      <c r="G40" s="28"/>
      <c r="H40" s="28"/>
      <c r="J40" s="497" t="str">
        <f>CONCATENATE("",H1," Ad Valorem Tax:")</f>
        <v>2012 Ad Valorem Tax:</v>
      </c>
      <c r="K40" s="503"/>
      <c r="L40" s="503"/>
      <c r="M40" s="489">
        <f>ROUND(F25*M39/1000,0)</f>
        <v>0</v>
      </c>
    </row>
    <row r="41" spans="7:13" ht="15.75">
      <c r="G41" s="28"/>
      <c r="H41" s="28"/>
      <c r="J41" s="492" t="str">
        <f>CONCATENATE("",H1," Tax Levy Fund Exp. Changed By:")</f>
        <v>2012 Tax Levy Fund Exp. Changed By:</v>
      </c>
      <c r="K41" s="491"/>
      <c r="L41" s="491"/>
      <c r="M41" s="499">
        <f>IF(M39=0,0,(M40-G21))</f>
        <v>0</v>
      </c>
    </row>
    <row r="42" spans="7:8" ht="15.75">
      <c r="G42" s="10"/>
      <c r="H42" s="10"/>
    </row>
    <row r="52" spans="9:13" ht="15.75">
      <c r="I52" s="10"/>
      <c r="J52" s="10"/>
      <c r="K52" s="10"/>
      <c r="L52" s="10"/>
      <c r="M52" s="10"/>
    </row>
    <row r="75" spans="1:6" ht="15.75">
      <c r="A75" s="10"/>
      <c r="B75" s="10"/>
      <c r="C75" s="10"/>
      <c r="D75" s="10"/>
      <c r="E75" s="10"/>
      <c r="F75" s="10"/>
    </row>
    <row r="82" spans="7:8" ht="15.75">
      <c r="G82" s="10"/>
      <c r="H82" s="10"/>
    </row>
    <row r="86" spans="1:6" ht="15.75">
      <c r="A86" s="10"/>
      <c r="B86" s="10"/>
      <c r="C86" s="10"/>
      <c r="D86" s="10"/>
      <c r="E86" s="10"/>
      <c r="F86" s="10"/>
    </row>
    <row r="92" ht="15.75">
      <c r="I92" s="10"/>
    </row>
    <row r="93" spans="7:8" ht="15.75">
      <c r="G93" s="10"/>
      <c r="H93" s="10"/>
    </row>
    <row r="108" spans="1:6" ht="15.75">
      <c r="A108" s="10"/>
      <c r="B108" s="10"/>
      <c r="C108" s="10"/>
      <c r="D108" s="10"/>
      <c r="E108" s="10"/>
      <c r="F108" s="10"/>
    </row>
    <row r="115" spans="7:8" ht="15.75">
      <c r="G115" s="10"/>
      <c r="H115" s="10"/>
    </row>
    <row r="124" spans="9:15" ht="15.75">
      <c r="I124" s="10"/>
      <c r="J124" s="10"/>
      <c r="K124" s="10"/>
      <c r="L124" s="10"/>
      <c r="M124" s="10"/>
      <c r="N124" s="10"/>
      <c r="O124" s="10"/>
    </row>
    <row r="152" spans="1:6" ht="15.75">
      <c r="A152" s="10"/>
      <c r="B152" s="10"/>
      <c r="C152" s="10"/>
      <c r="D152" s="10"/>
      <c r="E152" s="10"/>
      <c r="F152" s="10"/>
    </row>
    <row r="159" spans="7:8" ht="15.75">
      <c r="G159" s="10"/>
      <c r="H159" s="10"/>
    </row>
    <row r="168" spans="9:17" ht="15.75">
      <c r="I168" s="10"/>
      <c r="J168" s="10"/>
      <c r="K168" s="10"/>
      <c r="L168" s="10"/>
      <c r="M168" s="10"/>
      <c r="N168" s="10"/>
      <c r="O168" s="10"/>
      <c r="P168" s="10"/>
      <c r="Q168" s="10"/>
    </row>
  </sheetData>
  <sheetProtection sheet="1"/>
  <mergeCells count="12">
    <mergeCell ref="J17:M17"/>
    <mergeCell ref="A28:B28"/>
    <mergeCell ref="J30:M30"/>
    <mergeCell ref="J36:M36"/>
    <mergeCell ref="A30:C30"/>
    <mergeCell ref="J23:M23"/>
    <mergeCell ref="A7:H7"/>
    <mergeCell ref="A8:H8"/>
    <mergeCell ref="A2:H2"/>
    <mergeCell ref="A4:H4"/>
    <mergeCell ref="A5:H5"/>
    <mergeCell ref="A6:H6"/>
  </mergeCells>
  <printOptions/>
  <pageMargins left="0.5" right="0.5" top="1" bottom="0.5" header="0.5" footer="0.5"/>
  <pageSetup blackAndWhite="1" fitToHeight="1" fitToWidth="1" horizontalDpi="600" verticalDpi="60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6">
      <selection activeCell="D3" sqref="D3"/>
    </sheetView>
  </sheetViews>
  <sheetFormatPr defaultColWidth="8.796875" defaultRowHeight="15"/>
  <cols>
    <col min="1" max="1" width="28.296875" style="10" customWidth="1"/>
    <col min="2" max="4" width="15.796875" style="10" customWidth="1"/>
    <col min="5" max="16384" width="8.8984375" style="10" customWidth="1"/>
  </cols>
  <sheetData>
    <row r="1" spans="1:4" ht="15.75">
      <c r="A1" s="186" t="str">
        <f>inputPrYr!D3</f>
        <v>City of Vining</v>
      </c>
      <c r="B1" s="28"/>
      <c r="C1" s="297"/>
      <c r="D1" s="28">
        <f>inputPrYr!C10</f>
        <v>2012</v>
      </c>
    </row>
    <row r="2" spans="1:4" ht="15.75">
      <c r="A2" s="28"/>
      <c r="B2" s="28"/>
      <c r="C2" s="28"/>
      <c r="D2" s="297"/>
    </row>
    <row r="3" spans="1:4" ht="15.75">
      <c r="A3" s="46" t="s">
        <v>300</v>
      </c>
      <c r="B3" s="298"/>
      <c r="C3" s="298"/>
      <c r="D3" s="298"/>
    </row>
    <row r="4" spans="1:4" ht="15.75">
      <c r="A4" s="297" t="s">
        <v>49</v>
      </c>
      <c r="B4" s="580" t="s">
        <v>69</v>
      </c>
      <c r="C4" s="351" t="s">
        <v>192</v>
      </c>
      <c r="D4" s="351" t="s">
        <v>193</v>
      </c>
    </row>
    <row r="5" spans="1:4" ht="15.75">
      <c r="A5" s="57" t="s">
        <v>301</v>
      </c>
      <c r="B5" s="299">
        <f>D1-2</f>
        <v>2010</v>
      </c>
      <c r="C5" s="299">
        <f>D1-1</f>
        <v>2011</v>
      </c>
      <c r="D5" s="299">
        <f>D1</f>
        <v>2012</v>
      </c>
    </row>
    <row r="6" spans="1:4" ht="15.75">
      <c r="A6" s="238" t="s">
        <v>59</v>
      </c>
      <c r="B6" s="72"/>
      <c r="C6" s="72"/>
      <c r="D6" s="72"/>
    </row>
    <row r="7" spans="1:4" ht="15.75">
      <c r="A7" s="300"/>
      <c r="B7" s="72"/>
      <c r="C7" s="72"/>
      <c r="D7" s="72"/>
    </row>
    <row r="8" spans="1:4" ht="15.75">
      <c r="A8" s="301" t="s">
        <v>302</v>
      </c>
      <c r="B8" s="302"/>
      <c r="C8" s="302"/>
      <c r="D8" s="302"/>
    </row>
    <row r="9" spans="1:4" ht="15.75">
      <c r="A9" s="301" t="s">
        <v>303</v>
      </c>
      <c r="B9" s="302"/>
      <c r="C9" s="302"/>
      <c r="D9" s="302"/>
    </row>
    <row r="10" spans="1:4" ht="15.75">
      <c r="A10" s="301" t="s">
        <v>304</v>
      </c>
      <c r="B10" s="302"/>
      <c r="C10" s="302"/>
      <c r="D10" s="302"/>
    </row>
    <row r="11" spans="1:4" ht="15.75">
      <c r="A11" s="301" t="s">
        <v>305</v>
      </c>
      <c r="B11" s="302"/>
      <c r="C11" s="302"/>
      <c r="D11" s="302"/>
    </row>
    <row r="12" spans="1:4" ht="15.75">
      <c r="A12" s="301"/>
      <c r="B12" s="302"/>
      <c r="C12" s="302"/>
      <c r="D12" s="302"/>
    </row>
    <row r="13" spans="1:4" ht="15.75">
      <c r="A13" s="55"/>
      <c r="B13" s="302"/>
      <c r="C13" s="302"/>
      <c r="D13" s="302"/>
    </row>
    <row r="14" spans="1:4" ht="15.75">
      <c r="A14" s="55"/>
      <c r="B14" s="302"/>
      <c r="C14" s="302"/>
      <c r="D14" s="302"/>
    </row>
    <row r="15" spans="1:4" ht="15.75">
      <c r="A15" s="238" t="s">
        <v>22</v>
      </c>
      <c r="B15" s="303">
        <f>SUM(B8:B14)</f>
        <v>0</v>
      </c>
      <c r="C15" s="303">
        <f>SUM(C8:C14)</f>
        <v>0</v>
      </c>
      <c r="D15" s="303">
        <f>SUM(D8:D14)</f>
        <v>0</v>
      </c>
    </row>
    <row r="16" spans="1:4" ht="15.75">
      <c r="A16" s="295"/>
      <c r="B16" s="186"/>
      <c r="C16" s="186"/>
      <c r="D16" s="186"/>
    </row>
    <row r="17" spans="1:4" ht="15.75">
      <c r="A17" s="301" t="s">
        <v>302</v>
      </c>
      <c r="B17" s="302"/>
      <c r="C17" s="302"/>
      <c r="D17" s="302"/>
    </row>
    <row r="18" spans="1:4" ht="15.75">
      <c r="A18" s="301" t="s">
        <v>303</v>
      </c>
      <c r="B18" s="302"/>
      <c r="C18" s="302"/>
      <c r="D18" s="302"/>
    </row>
    <row r="19" spans="1:4" ht="15.75">
      <c r="A19" s="301" t="s">
        <v>304</v>
      </c>
      <c r="B19" s="302"/>
      <c r="C19" s="302"/>
      <c r="D19" s="302"/>
    </row>
    <row r="20" spans="1:4" ht="15.75">
      <c r="A20" s="301" t="s">
        <v>305</v>
      </c>
      <c r="B20" s="302"/>
      <c r="C20" s="302"/>
      <c r="D20" s="302"/>
    </row>
    <row r="21" spans="1:4" ht="15.75">
      <c r="A21" s="301"/>
      <c r="B21" s="302"/>
      <c r="C21" s="302"/>
      <c r="D21" s="302"/>
    </row>
    <row r="22" spans="1:4" ht="15.75">
      <c r="A22" s="238" t="s">
        <v>22</v>
      </c>
      <c r="B22" s="303">
        <f>SUM(B17:B20)</f>
        <v>0</v>
      </c>
      <c r="C22" s="303">
        <f>SUM(C17:C20)</f>
        <v>0</v>
      </c>
      <c r="D22" s="303">
        <f>SUM(D17:D20)</f>
        <v>0</v>
      </c>
    </row>
    <row r="23" spans="1:4" ht="15.75">
      <c r="A23" s="295"/>
      <c r="B23" s="186"/>
      <c r="C23" s="186"/>
      <c r="D23" s="186"/>
    </row>
    <row r="24" spans="1:4" ht="15.75">
      <c r="A24" s="301" t="s">
        <v>302</v>
      </c>
      <c r="B24" s="302"/>
      <c r="C24" s="302"/>
      <c r="D24" s="302"/>
    </row>
    <row r="25" spans="1:4" ht="15.75">
      <c r="A25" s="301" t="s">
        <v>303</v>
      </c>
      <c r="B25" s="302"/>
      <c r="C25" s="302"/>
      <c r="D25" s="302"/>
    </row>
    <row r="26" spans="1:4" ht="15.75">
      <c r="A26" s="301" t="s">
        <v>304</v>
      </c>
      <c r="B26" s="302"/>
      <c r="C26" s="302"/>
      <c r="D26" s="302"/>
    </row>
    <row r="27" spans="1:4" ht="15.75">
      <c r="A27" s="301" t="s">
        <v>305</v>
      </c>
      <c r="B27" s="302"/>
      <c r="C27" s="302"/>
      <c r="D27" s="302"/>
    </row>
    <row r="28" spans="1:4" ht="15.75">
      <c r="A28" s="301"/>
      <c r="B28" s="302"/>
      <c r="C28" s="302"/>
      <c r="D28" s="302"/>
    </row>
    <row r="29" spans="1:4" ht="15.75">
      <c r="A29" s="238" t="s">
        <v>22</v>
      </c>
      <c r="B29" s="303">
        <f>SUM(B24:B27)</f>
        <v>0</v>
      </c>
      <c r="C29" s="303">
        <f>SUM(C24:C27)</f>
        <v>0</v>
      </c>
      <c r="D29" s="303">
        <f>SUM(D24:D27)</f>
        <v>0</v>
      </c>
    </row>
    <row r="30" spans="1:4" ht="15.75">
      <c r="A30" s="295"/>
      <c r="B30" s="186"/>
      <c r="C30" s="186"/>
      <c r="D30" s="186"/>
    </row>
    <row r="31" spans="1:4" ht="15.75">
      <c r="A31" s="301" t="s">
        <v>302</v>
      </c>
      <c r="B31" s="302"/>
      <c r="C31" s="302"/>
      <c r="D31" s="302"/>
    </row>
    <row r="32" spans="1:4" ht="15.75">
      <c r="A32" s="301" t="s">
        <v>303</v>
      </c>
      <c r="B32" s="302"/>
      <c r="C32" s="302"/>
      <c r="D32" s="302"/>
    </row>
    <row r="33" spans="1:4" ht="15.75">
      <c r="A33" s="301" t="s">
        <v>304</v>
      </c>
      <c r="B33" s="302"/>
      <c r="C33" s="302"/>
      <c r="D33" s="302"/>
    </row>
    <row r="34" spans="1:4" ht="15.75">
      <c r="A34" s="301" t="s">
        <v>305</v>
      </c>
      <c r="B34" s="302"/>
      <c r="C34" s="302"/>
      <c r="D34" s="302"/>
    </row>
    <row r="35" spans="1:4" ht="15.75">
      <c r="A35" s="238" t="s">
        <v>22</v>
      </c>
      <c r="B35" s="303">
        <f>SUM(B31:B34)</f>
        <v>0</v>
      </c>
      <c r="C35" s="303">
        <f>SUM(C31:C34)</f>
        <v>0</v>
      </c>
      <c r="D35" s="303">
        <f>SUM(D31:D34)</f>
        <v>0</v>
      </c>
    </row>
    <row r="36" spans="1:4" ht="15.75">
      <c r="A36" s="295"/>
      <c r="B36" s="186"/>
      <c r="C36" s="186"/>
      <c r="D36" s="186"/>
    </row>
    <row r="37" spans="1:4" ht="15.75">
      <c r="A37" s="301" t="s">
        <v>302</v>
      </c>
      <c r="B37" s="302"/>
      <c r="C37" s="302"/>
      <c r="D37" s="302"/>
    </row>
    <row r="38" spans="1:4" ht="15.75">
      <c r="A38" s="301" t="s">
        <v>303</v>
      </c>
      <c r="B38" s="302"/>
      <c r="C38" s="302"/>
      <c r="D38" s="302"/>
    </row>
    <row r="39" spans="1:4" ht="15.75">
      <c r="A39" s="301" t="s">
        <v>304</v>
      </c>
      <c r="B39" s="302"/>
      <c r="C39" s="302"/>
      <c r="D39" s="302"/>
    </row>
    <row r="40" spans="1:4" ht="15.75">
      <c r="A40" s="301" t="s">
        <v>305</v>
      </c>
      <c r="B40" s="302"/>
      <c r="C40" s="302"/>
      <c r="D40" s="302"/>
    </row>
    <row r="41" spans="1:4" ht="15.75">
      <c r="A41" s="301"/>
      <c r="B41" s="302"/>
      <c r="C41" s="302"/>
      <c r="D41" s="302"/>
    </row>
    <row r="42" spans="1:4" ht="15.75">
      <c r="A42" s="238" t="s">
        <v>22</v>
      </c>
      <c r="B42" s="303">
        <f>SUM(B37:B40)</f>
        <v>0</v>
      </c>
      <c r="C42" s="303">
        <f>SUM(C37:C40)</f>
        <v>0</v>
      </c>
      <c r="D42" s="303">
        <f>SUM(D37:D40)</f>
        <v>0</v>
      </c>
    </row>
    <row r="43" spans="1:4" ht="15.75">
      <c r="A43" s="295"/>
      <c r="B43" s="186"/>
      <c r="C43" s="186"/>
      <c r="D43" s="186"/>
    </row>
    <row r="44" spans="1:4" ht="15.75">
      <c r="A44" s="301" t="s">
        <v>302</v>
      </c>
      <c r="B44" s="302"/>
      <c r="C44" s="302"/>
      <c r="D44" s="302"/>
    </row>
    <row r="45" spans="1:4" ht="15.75">
      <c r="A45" s="301" t="s">
        <v>303</v>
      </c>
      <c r="B45" s="302"/>
      <c r="C45" s="302"/>
      <c r="D45" s="302"/>
    </row>
    <row r="46" spans="1:4" ht="15.75">
      <c r="A46" s="301" t="s">
        <v>304</v>
      </c>
      <c r="B46" s="302"/>
      <c r="C46" s="302"/>
      <c r="D46" s="302"/>
    </row>
    <row r="47" spans="1:4" ht="15.75">
      <c r="A47" s="301" t="s">
        <v>305</v>
      </c>
      <c r="B47" s="302"/>
      <c r="C47" s="302"/>
      <c r="D47" s="302"/>
    </row>
    <row r="48" spans="1:4" ht="15.75">
      <c r="A48" s="301"/>
      <c r="B48" s="302"/>
      <c r="C48" s="302"/>
      <c r="D48" s="302"/>
    </row>
    <row r="49" spans="1:4" ht="15.75">
      <c r="A49" s="238" t="s">
        <v>22</v>
      </c>
      <c r="B49" s="303">
        <f>SUM(B44:B47)</f>
        <v>0</v>
      </c>
      <c r="C49" s="303">
        <f>SUM(C44:C47)</f>
        <v>0</v>
      </c>
      <c r="D49" s="303">
        <f>SUM(D44:D47)</f>
        <v>0</v>
      </c>
    </row>
    <row r="50" spans="1:4" ht="15.75">
      <c r="A50" s="295"/>
      <c r="B50" s="186"/>
      <c r="C50" s="186"/>
      <c r="D50" s="186"/>
    </row>
    <row r="51" spans="1:4" ht="15.75">
      <c r="A51" s="301" t="s">
        <v>302</v>
      </c>
      <c r="B51" s="302"/>
      <c r="C51" s="302"/>
      <c r="D51" s="302"/>
    </row>
    <row r="52" spans="1:4" ht="15.75">
      <c r="A52" s="301" t="s">
        <v>303</v>
      </c>
      <c r="B52" s="302"/>
      <c r="C52" s="302"/>
      <c r="D52" s="302"/>
    </row>
    <row r="53" spans="1:4" ht="15.75">
      <c r="A53" s="301" t="s">
        <v>304</v>
      </c>
      <c r="B53" s="302"/>
      <c r="C53" s="302"/>
      <c r="D53" s="302"/>
    </row>
    <row r="54" spans="1:4" ht="15.75">
      <c r="A54" s="301" t="s">
        <v>305</v>
      </c>
      <c r="B54" s="302"/>
      <c r="C54" s="302"/>
      <c r="D54" s="302"/>
    </row>
    <row r="55" spans="1:4" ht="15.75">
      <c r="A55" s="301"/>
      <c r="B55" s="302"/>
      <c r="C55" s="302"/>
      <c r="D55" s="302"/>
    </row>
    <row r="56" spans="1:4" ht="15.75">
      <c r="A56" s="238" t="s">
        <v>22</v>
      </c>
      <c r="B56" s="303">
        <f>SUM(B51:B54)</f>
        <v>0</v>
      </c>
      <c r="C56" s="303">
        <f>SUM(C51:C54)</f>
        <v>0</v>
      </c>
      <c r="D56" s="303">
        <f>SUM(D51:D54)</f>
        <v>0</v>
      </c>
    </row>
    <row r="57" spans="1:4" ht="15.75">
      <c r="A57" s="295"/>
      <c r="B57" s="186"/>
      <c r="C57" s="186"/>
      <c r="D57" s="186"/>
    </row>
    <row r="58" spans="1:4" ht="15.75">
      <c r="A58" s="301" t="s">
        <v>302</v>
      </c>
      <c r="B58" s="302"/>
      <c r="C58" s="302"/>
      <c r="D58" s="302"/>
    </row>
    <row r="59" spans="1:4" ht="15.75">
      <c r="A59" s="301" t="s">
        <v>303</v>
      </c>
      <c r="B59" s="302"/>
      <c r="C59" s="302"/>
      <c r="D59" s="302"/>
    </row>
    <row r="60" spans="1:4" ht="15.75">
      <c r="A60" s="301" t="s">
        <v>304</v>
      </c>
      <c r="B60" s="302"/>
      <c r="C60" s="302"/>
      <c r="D60" s="302"/>
    </row>
    <row r="61" spans="1:4" ht="15.75">
      <c r="A61" s="301" t="s">
        <v>305</v>
      </c>
      <c r="B61" s="302"/>
      <c r="C61" s="302"/>
      <c r="D61" s="302"/>
    </row>
    <row r="62" spans="1:4" ht="15.75">
      <c r="A62" s="301"/>
      <c r="B62" s="302"/>
      <c r="C62" s="302"/>
      <c r="D62" s="302"/>
    </row>
    <row r="63" spans="1:4" ht="15.75">
      <c r="A63" s="238" t="s">
        <v>22</v>
      </c>
      <c r="B63" s="303">
        <f>SUM(B58:B61)</f>
        <v>0</v>
      </c>
      <c r="C63" s="303">
        <f>SUM(C58:C61)</f>
        <v>0</v>
      </c>
      <c r="D63" s="303">
        <f>SUM(D58:D61)</f>
        <v>0</v>
      </c>
    </row>
    <row r="64" spans="1:4" ht="15.75">
      <c r="A64" s="28"/>
      <c r="B64" s="186"/>
      <c r="C64" s="186"/>
      <c r="D64" s="186"/>
    </row>
    <row r="65" spans="1:4" ht="16.5" thickBot="1">
      <c r="A65" s="238" t="s">
        <v>306</v>
      </c>
      <c r="B65" s="304">
        <f>B15+B22+B29+B35+B42+B49+B56+B63</f>
        <v>0</v>
      </c>
      <c r="C65" s="304">
        <f>C15+C22+C29+C35+C42+C49+C56+C63</f>
        <v>0</v>
      </c>
      <c r="D65" s="304">
        <f>D15+D22+D29+D35+D42+D49+D56+D63</f>
        <v>0</v>
      </c>
    </row>
    <row r="66" spans="1:4" ht="16.5" thickTop="1">
      <c r="A66" s="28"/>
      <c r="B66" s="186"/>
      <c r="C66" s="186"/>
      <c r="D66" s="186"/>
    </row>
    <row r="67" spans="1:4" ht="15.75">
      <c r="A67" s="195" t="s">
        <v>63</v>
      </c>
      <c r="B67" s="305" t="s">
        <v>307</v>
      </c>
      <c r="C67" s="186"/>
      <c r="D67" s="186"/>
    </row>
  </sheetData>
  <sheetProtection sheet="1"/>
  <printOptions/>
  <pageMargins left="0.75" right="0.75" top="1" bottom="1" header="0.5" footer="0.5"/>
  <pageSetup blackAndWhite="1" fitToHeight="1" fitToWidth="1" horizontalDpi="600" verticalDpi="600" orientation="portrait" scale="67"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
      <selection activeCell="D13" sqref="D13"/>
    </sheetView>
  </sheetViews>
  <sheetFormatPr defaultColWidth="8.796875" defaultRowHeight="15"/>
  <cols>
    <col min="1" max="1" width="2.3984375" style="24" customWidth="1"/>
    <col min="2" max="2" width="31.09765625" style="24" customWidth="1"/>
    <col min="3" max="4" width="15.796875" style="24" customWidth="1"/>
    <col min="5" max="5" width="16.09765625" style="24" customWidth="1"/>
    <col min="6" max="6" width="8.8984375" style="24" customWidth="1"/>
    <col min="7" max="7" width="9.09765625" style="24" customWidth="1"/>
    <col min="8" max="16384" width="8.8984375" style="24" customWidth="1"/>
  </cols>
  <sheetData>
    <row r="1" spans="2:5" ht="15.75">
      <c r="B1" s="186" t="str">
        <f>(inputPrYr!D3)</f>
        <v>City of Vining</v>
      </c>
      <c r="C1" s="28"/>
      <c r="D1" s="28"/>
      <c r="E1" s="141">
        <f>inputPrYr!$C$10</f>
        <v>2012</v>
      </c>
    </row>
    <row r="2" spans="2:5" ht="15.75">
      <c r="B2" s="28"/>
      <c r="C2" s="28"/>
      <c r="D2" s="28"/>
      <c r="E2" s="202"/>
    </row>
    <row r="3" spans="2:5" ht="15.75">
      <c r="B3" s="46" t="s">
        <v>106</v>
      </c>
      <c r="C3" s="209"/>
      <c r="D3" s="209"/>
      <c r="E3" s="143"/>
    </row>
    <row r="4" spans="2:5" ht="15.75">
      <c r="B4" s="34" t="s">
        <v>49</v>
      </c>
      <c r="C4" s="578" t="s">
        <v>69</v>
      </c>
      <c r="D4" s="579" t="s">
        <v>192</v>
      </c>
      <c r="E4" s="351" t="s">
        <v>193</v>
      </c>
    </row>
    <row r="5" spans="2:5" ht="15.75">
      <c r="B5" s="560" t="str">
        <f>+(inputPrYr!B23)</f>
        <v>Debt Service</v>
      </c>
      <c r="C5" s="407">
        <f>inputPrYr!$C$10-2</f>
        <v>2010</v>
      </c>
      <c r="D5" s="407">
        <f>inputPrYr!$C$10-1</f>
        <v>2011</v>
      </c>
      <c r="E5" s="217">
        <f>inputPrYr!$C$10</f>
        <v>2012</v>
      </c>
    </row>
    <row r="6" spans="2:5" ht="15.75">
      <c r="B6" s="113" t="s">
        <v>163</v>
      </c>
      <c r="C6" s="408"/>
      <c r="D6" s="409">
        <f>C33</f>
        <v>0</v>
      </c>
      <c r="E6" s="273">
        <f>D33</f>
        <v>0</v>
      </c>
    </row>
    <row r="7" spans="2:5" ht="15.75">
      <c r="B7" s="274" t="s">
        <v>165</v>
      </c>
      <c r="C7" s="410"/>
      <c r="D7" s="409"/>
      <c r="E7" s="273"/>
    </row>
    <row r="8" spans="2:5" ht="15.75">
      <c r="B8" s="113" t="s">
        <v>50</v>
      </c>
      <c r="C8" s="415"/>
      <c r="D8" s="410">
        <f>inputPrYr!E23</f>
        <v>0</v>
      </c>
      <c r="E8" s="275" t="s">
        <v>37</v>
      </c>
    </row>
    <row r="9" spans="2:5" ht="15.75">
      <c r="B9" s="113" t="s">
        <v>51</v>
      </c>
      <c r="C9" s="415"/>
      <c r="D9" s="415"/>
      <c r="E9" s="276"/>
    </row>
    <row r="10" spans="2:5" ht="15.75">
      <c r="B10" s="113" t="s">
        <v>52</v>
      </c>
      <c r="C10" s="415"/>
      <c r="D10" s="415"/>
      <c r="E10" s="277" t="str">
        <f>Mvalloc!C9</f>
        <v>  </v>
      </c>
    </row>
    <row r="11" spans="2:5" ht="15.75">
      <c r="B11" s="113" t="s">
        <v>53</v>
      </c>
      <c r="C11" s="415"/>
      <c r="D11" s="415"/>
      <c r="E11" s="277" t="str">
        <f>Mvalloc!D9</f>
        <v>  </v>
      </c>
    </row>
    <row r="12" spans="2:5" ht="15.75">
      <c r="B12" s="278" t="s">
        <v>102</v>
      </c>
      <c r="C12" s="415"/>
      <c r="D12" s="415"/>
      <c r="E12" s="277" t="str">
        <f>Mvalloc!E9</f>
        <v>  </v>
      </c>
    </row>
    <row r="13" spans="2:5" ht="15.75">
      <c r="B13" s="278" t="s">
        <v>11</v>
      </c>
      <c r="C13" s="415"/>
      <c r="D13" s="415"/>
      <c r="E13" s="277" t="str">
        <f>Mvalloc!$F9</f>
        <v>  </v>
      </c>
    </row>
    <row r="14" spans="2:5" ht="15.75">
      <c r="B14" s="279"/>
      <c r="C14" s="415"/>
      <c r="D14" s="415"/>
      <c r="E14" s="276"/>
    </row>
    <row r="15" spans="2:5" ht="15.75">
      <c r="B15" s="279"/>
      <c r="C15" s="415"/>
      <c r="D15" s="415"/>
      <c r="E15" s="280"/>
    </row>
    <row r="16" spans="2:5" ht="15.75">
      <c r="B16" s="279"/>
      <c r="C16" s="415"/>
      <c r="D16" s="415"/>
      <c r="E16" s="276"/>
    </row>
    <row r="17" spans="2:5" ht="15.75">
      <c r="B17" s="281" t="s">
        <v>56</v>
      </c>
      <c r="C17" s="415"/>
      <c r="D17" s="415"/>
      <c r="E17" s="276"/>
    </row>
    <row r="18" spans="2:5" ht="15.75">
      <c r="B18" s="169" t="s">
        <v>142</v>
      </c>
      <c r="C18" s="415"/>
      <c r="D18" s="415"/>
      <c r="E18" s="276"/>
    </row>
    <row r="19" spans="2:5" ht="15.75">
      <c r="B19" s="169" t="s">
        <v>684</v>
      </c>
      <c r="C19" s="411">
        <f>IF(C20*0.1&lt;C18,"Exceed 10% Rule","")</f>
      </c>
      <c r="D19" s="411">
        <f>IF(D20*0.1&lt;D18,"Exceed 10% Rule","")</f>
      </c>
      <c r="E19" s="283">
        <f>IF(E20*0.1+E39&lt;E18,"Exceed 10% Rule","")</f>
      </c>
    </row>
    <row r="20" spans="2:5" ht="15.75">
      <c r="B20" s="284" t="s">
        <v>57</v>
      </c>
      <c r="C20" s="412">
        <f>SUM(C8:C18)</f>
        <v>0</v>
      </c>
      <c r="D20" s="413">
        <f>SUM(D8:D18)</f>
        <v>0</v>
      </c>
      <c r="E20" s="285">
        <f>SUM(E8:E18)</f>
        <v>0</v>
      </c>
    </row>
    <row r="21" spans="2:5" ht="15.75">
      <c r="B21" s="284" t="s">
        <v>58</v>
      </c>
      <c r="C21" s="413">
        <f>C6+C20</f>
        <v>0</v>
      </c>
      <c r="D21" s="413">
        <f>D6+D20</f>
        <v>0</v>
      </c>
      <c r="E21" s="286">
        <f>E6+E20</f>
        <v>0</v>
      </c>
    </row>
    <row r="22" spans="2:5" ht="15.75">
      <c r="B22" s="274" t="s">
        <v>59</v>
      </c>
      <c r="C22" s="410"/>
      <c r="D22" s="410"/>
      <c r="E22" s="277"/>
    </row>
    <row r="23" spans="2:5" ht="15.75">
      <c r="B23" s="287"/>
      <c r="C23" s="415"/>
      <c r="D23" s="415"/>
      <c r="E23" s="276"/>
    </row>
    <row r="24" spans="2:5" ht="15.75">
      <c r="B24" s="287"/>
      <c r="C24" s="415"/>
      <c r="D24" s="415"/>
      <c r="E24" s="276"/>
    </row>
    <row r="25" spans="2:5" ht="15.75">
      <c r="B25" s="287"/>
      <c r="C25" s="415"/>
      <c r="D25" s="415"/>
      <c r="E25" s="276"/>
    </row>
    <row r="26" spans="2:5" ht="15.75">
      <c r="B26" s="287"/>
      <c r="C26" s="415"/>
      <c r="D26" s="415"/>
      <c r="E26" s="276"/>
    </row>
    <row r="27" spans="2:5" ht="15.75">
      <c r="B27" s="287"/>
      <c r="C27" s="415"/>
      <c r="D27" s="415"/>
      <c r="E27" s="276"/>
    </row>
    <row r="28" spans="2:5" ht="15.75">
      <c r="B28" s="287"/>
      <c r="C28" s="415"/>
      <c r="D28" s="415"/>
      <c r="E28" s="276"/>
    </row>
    <row r="29" spans="2:5" ht="15.75">
      <c r="B29" s="169" t="s">
        <v>286</v>
      </c>
      <c r="C29" s="415"/>
      <c r="D29" s="415"/>
      <c r="E29" s="307">
        <f>nhood!E8</f>
      </c>
    </row>
    <row r="30" spans="2:5" ht="15.75">
      <c r="B30" s="169" t="s">
        <v>142</v>
      </c>
      <c r="C30" s="415"/>
      <c r="D30" s="415"/>
      <c r="E30" s="276"/>
    </row>
    <row r="31" spans="2:9" ht="15.75">
      <c r="B31" s="169" t="s">
        <v>685</v>
      </c>
      <c r="C31" s="411">
        <f>IF(C32*0.1&lt;C30,"Exceed 10% Rule","")</f>
      </c>
      <c r="D31" s="411">
        <f>IF(D32*0.1&lt;D30,"Exceed 10% Rule","")</f>
      </c>
      <c r="E31" s="283">
        <f>IF(E32*0.1&lt;E30,"Exceed 10% Rule","")</f>
      </c>
      <c r="G31" s="696" t="str">
        <f>CONCATENATE("Projected Carryover Into ",E1+1,"")</f>
        <v>Projected Carryover Into 2013</v>
      </c>
      <c r="H31" s="697"/>
      <c r="I31" s="698"/>
    </row>
    <row r="32" spans="2:9" ht="15.75">
      <c r="B32" s="284" t="s">
        <v>60</v>
      </c>
      <c r="C32" s="412">
        <f>SUM(C23:C30)</f>
        <v>0</v>
      </c>
      <c r="D32" s="413">
        <f>SUM(D23:D30)</f>
        <v>0</v>
      </c>
      <c r="E32" s="285">
        <f>SUM(E23:E30)</f>
        <v>0</v>
      </c>
      <c r="G32" s="515"/>
      <c r="H32" s="513"/>
      <c r="I32" s="516"/>
    </row>
    <row r="33" spans="2:9" ht="15.75">
      <c r="B33" s="113" t="s">
        <v>164</v>
      </c>
      <c r="C33" s="414">
        <f>C21-C32</f>
        <v>0</v>
      </c>
      <c r="D33" s="414">
        <f>D21-D32</f>
        <v>0</v>
      </c>
      <c r="E33" s="275" t="s">
        <v>37</v>
      </c>
      <c r="G33" s="540">
        <f>D33</f>
        <v>0</v>
      </c>
      <c r="H33" s="541" t="str">
        <f>CONCATENATE("",E1-1," Ending Cash Balance (est.)")</f>
        <v>2011 Ending Cash Balance (est.)</v>
      </c>
      <c r="I33" s="516"/>
    </row>
    <row r="34" spans="2:9" ht="15.75">
      <c r="B34" s="195" t="str">
        <f>CONCATENATE("",E1-2,"/",E1-1," Budget Authority Amount:")</f>
        <v>2010/2011 Budget Authority Amount:</v>
      </c>
      <c r="C34" s="206">
        <f>inputOth!B78</f>
        <v>0</v>
      </c>
      <c r="D34" s="206">
        <f>inputPrYr!D23</f>
        <v>0</v>
      </c>
      <c r="E34" s="275" t="s">
        <v>37</v>
      </c>
      <c r="F34" s="289"/>
      <c r="G34" s="540">
        <f>E20</f>
        <v>0</v>
      </c>
      <c r="H34" s="542" t="str">
        <f>CONCATENATE("",E1," Non-AV Receipts (est.)")</f>
        <v>2012 Non-AV Receipts (est.)</v>
      </c>
      <c r="I34" s="516"/>
    </row>
    <row r="35" spans="2:9" ht="15.75">
      <c r="B35" s="195"/>
      <c r="C35" s="677" t="s">
        <v>772</v>
      </c>
      <c r="D35" s="678"/>
      <c r="E35" s="52"/>
      <c r="F35" s="289">
        <f>IF(E32/0.95-E32&lt;E35,"Exceeds 5%","")</f>
      </c>
      <c r="G35" s="543">
        <f>E39</f>
        <v>0</v>
      </c>
      <c r="H35" s="542" t="str">
        <f>CONCATENATE("",E1," Ad Valorem Tax (est.)")</f>
        <v>2012 Ad Valorem Tax (est.)</v>
      </c>
      <c r="I35" s="516"/>
    </row>
    <row r="36" spans="2:9" ht="15.75">
      <c r="B36" s="505" t="str">
        <f>CONCATENATE(C88,"     ",D88)</f>
        <v>     </v>
      </c>
      <c r="C36" s="679" t="s">
        <v>773</v>
      </c>
      <c r="D36" s="680"/>
      <c r="E36" s="167">
        <f>E32+E35</f>
        <v>0</v>
      </c>
      <c r="G36" s="540">
        <f>SUM(G33:G35)</f>
        <v>0</v>
      </c>
      <c r="H36" s="542" t="str">
        <f>CONCATENATE("Total ",E1," Resources Available")</f>
        <v>Total 2012 Resources Available</v>
      </c>
      <c r="I36" s="516"/>
    </row>
    <row r="37" spans="2:9" ht="15.75">
      <c r="B37" s="505" t="str">
        <f>CONCATENATE(C89,"     ",D89)</f>
        <v>     </v>
      </c>
      <c r="C37" s="290"/>
      <c r="D37" s="202" t="s">
        <v>61</v>
      </c>
      <c r="E37" s="59">
        <f>IF(E36-E21&gt;0,E36-E21,0)</f>
        <v>0</v>
      </c>
      <c r="G37" s="544"/>
      <c r="H37" s="542"/>
      <c r="I37" s="516"/>
    </row>
    <row r="38" spans="2:9" ht="15.75">
      <c r="B38" s="202"/>
      <c r="C38" s="487" t="s">
        <v>774</v>
      </c>
      <c r="D38" s="421">
        <f>inputOth!$E$63</f>
        <v>0</v>
      </c>
      <c r="E38" s="167">
        <f>ROUND(IF(D38&gt;0,(E37*D38),0),0)</f>
        <v>0</v>
      </c>
      <c r="G38" s="543">
        <f>C32</f>
        <v>0</v>
      </c>
      <c r="H38" s="542" t="str">
        <f>CONCATENATE("Less ",E1-2," Expenditures")</f>
        <v>Less 2010 Expenditures</v>
      </c>
      <c r="I38" s="516"/>
    </row>
    <row r="39" spans="2:9" ht="15.75">
      <c r="B39" s="28"/>
      <c r="C39" s="675" t="str">
        <f>CONCATENATE("Amount of  ",$E$1-1," Ad Valorem Tax")</f>
        <v>Amount of  2011 Ad Valorem Tax</v>
      </c>
      <c r="D39" s="676"/>
      <c r="E39" s="294">
        <f>E37+E38</f>
        <v>0</v>
      </c>
      <c r="G39" s="545">
        <f>G36-G38</f>
        <v>0</v>
      </c>
      <c r="H39" s="546" t="str">
        <f>CONCATENATE("Projected ",E1+1," carryover (est.)")</f>
        <v>Projected 2013 carryover (est.)</v>
      </c>
      <c r="I39" s="525"/>
    </row>
    <row r="40" spans="2:5" ht="15.75">
      <c r="B40" s="34" t="s">
        <v>49</v>
      </c>
      <c r="C40" s="272"/>
      <c r="D40" s="272"/>
      <c r="E40" s="272"/>
    </row>
    <row r="41" spans="2:5" ht="15.75">
      <c r="B41" s="28"/>
      <c r="C41" s="578" t="s">
        <v>69</v>
      </c>
      <c r="D41" s="579" t="s">
        <v>192</v>
      </c>
      <c r="E41" s="351" t="s">
        <v>193</v>
      </c>
    </row>
    <row r="42" spans="2:5" ht="15.75">
      <c r="B42" s="560">
        <f>inputPrYr!B25</f>
        <v>0</v>
      </c>
      <c r="C42" s="407">
        <f>inputPrYr!$C$10-2</f>
        <v>2010</v>
      </c>
      <c r="D42" s="407">
        <f>inputPrYr!$C$10-1</f>
        <v>2011</v>
      </c>
      <c r="E42" s="217">
        <f>inputPrYr!$C$10</f>
        <v>2012</v>
      </c>
    </row>
    <row r="43" spans="2:5" ht="15.75">
      <c r="B43" s="113" t="s">
        <v>163</v>
      </c>
      <c r="C43" s="415"/>
      <c r="D43" s="416">
        <f>C70</f>
        <v>0</v>
      </c>
      <c r="E43" s="167">
        <f>D70</f>
        <v>0</v>
      </c>
    </row>
    <row r="44" spans="2:5" ht="15.75">
      <c r="B44" s="274" t="s">
        <v>165</v>
      </c>
      <c r="C44" s="416"/>
      <c r="D44" s="416"/>
      <c r="E44" s="167"/>
    </row>
    <row r="45" spans="2:5" ht="15.75">
      <c r="B45" s="113" t="s">
        <v>50</v>
      </c>
      <c r="C45" s="415"/>
      <c r="D45" s="416">
        <f>inputPrYr!E25</f>
        <v>0</v>
      </c>
      <c r="E45" s="275" t="s">
        <v>37</v>
      </c>
    </row>
    <row r="46" spans="2:5" ht="15.75">
      <c r="B46" s="113" t="s">
        <v>51</v>
      </c>
      <c r="C46" s="415"/>
      <c r="D46" s="415"/>
      <c r="E46" s="52"/>
    </row>
    <row r="47" spans="2:5" ht="15.75">
      <c r="B47" s="113" t="s">
        <v>52</v>
      </c>
      <c r="C47" s="415"/>
      <c r="D47" s="415"/>
      <c r="E47" s="167" t="str">
        <f>Mvalloc!C10</f>
        <v>  </v>
      </c>
    </row>
    <row r="48" spans="2:5" ht="15.75">
      <c r="B48" s="113" t="s">
        <v>53</v>
      </c>
      <c r="C48" s="415"/>
      <c r="D48" s="415"/>
      <c r="E48" s="167" t="str">
        <f>Mvalloc!D10</f>
        <v>  </v>
      </c>
    </row>
    <row r="49" spans="2:5" ht="15.75">
      <c r="B49" s="169" t="s">
        <v>102</v>
      </c>
      <c r="C49" s="415"/>
      <c r="D49" s="415"/>
      <c r="E49" s="167" t="str">
        <f>Mvalloc!E10</f>
        <v>  </v>
      </c>
    </row>
    <row r="50" spans="2:5" ht="15.75">
      <c r="B50" s="278" t="s">
        <v>11</v>
      </c>
      <c r="C50" s="415"/>
      <c r="D50" s="415"/>
      <c r="E50" s="277" t="str">
        <f>Mvalloc!$F10</f>
        <v>  </v>
      </c>
    </row>
    <row r="51" spans="2:5" ht="15.75">
      <c r="B51" s="287"/>
      <c r="C51" s="415"/>
      <c r="D51" s="415"/>
      <c r="E51" s="52"/>
    </row>
    <row r="52" spans="2:5" ht="15.75">
      <c r="B52" s="287"/>
      <c r="C52" s="415"/>
      <c r="D52" s="415"/>
      <c r="E52" s="52"/>
    </row>
    <row r="53" spans="2:5" ht="15.75">
      <c r="B53" s="287"/>
      <c r="C53" s="415"/>
      <c r="D53" s="415"/>
      <c r="E53" s="52"/>
    </row>
    <row r="54" spans="2:5" ht="15.75">
      <c r="B54" s="308" t="s">
        <v>56</v>
      </c>
      <c r="C54" s="415"/>
      <c r="D54" s="415"/>
      <c r="E54" s="52"/>
    </row>
    <row r="55" spans="2:5" ht="15.75">
      <c r="B55" s="169" t="s">
        <v>142</v>
      </c>
      <c r="C55" s="415"/>
      <c r="D55" s="415"/>
      <c r="E55" s="52"/>
    </row>
    <row r="56" spans="2:5" ht="15.75">
      <c r="B56" s="169" t="s">
        <v>684</v>
      </c>
      <c r="C56" s="411">
        <f>IF(C57*0.1&lt;C55,"Exceed 10% Rule","")</f>
      </c>
      <c r="D56" s="411">
        <f>IF(D57*0.1&lt;D55,"Exceed 10% Rule","")</f>
      </c>
      <c r="E56" s="283">
        <f>IF(E57*0.1+E76&lt;E55,"Exceed 10% Rule","")</f>
      </c>
    </row>
    <row r="57" spans="2:5" ht="15.75">
      <c r="B57" s="284" t="s">
        <v>57</v>
      </c>
      <c r="C57" s="418">
        <f>SUM(C45:C55)</f>
        <v>0</v>
      </c>
      <c r="D57" s="418">
        <f>SUM(D45:D55)</f>
        <v>0</v>
      </c>
      <c r="E57" s="311">
        <f>SUM(E45:E55)</f>
        <v>0</v>
      </c>
    </row>
    <row r="58" spans="2:5" ht="15.75">
      <c r="B58" s="284" t="s">
        <v>58</v>
      </c>
      <c r="C58" s="418">
        <f>C43+C57</f>
        <v>0</v>
      </c>
      <c r="D58" s="418">
        <f>D43+D57</f>
        <v>0</v>
      </c>
      <c r="E58" s="311">
        <f>E43+E57</f>
        <v>0</v>
      </c>
    </row>
    <row r="59" spans="2:5" ht="15.75">
      <c r="B59" s="113" t="s">
        <v>59</v>
      </c>
      <c r="C59" s="416"/>
      <c r="D59" s="416"/>
      <c r="E59" s="167"/>
    </row>
    <row r="60" spans="2:5" ht="15.75">
      <c r="B60" s="287"/>
      <c r="C60" s="415"/>
      <c r="D60" s="415"/>
      <c r="E60" s="52" t="s">
        <v>25</v>
      </c>
    </row>
    <row r="61" spans="2:5" ht="15.75">
      <c r="B61" s="287"/>
      <c r="C61" s="415"/>
      <c r="D61" s="415"/>
      <c r="E61" s="52"/>
    </row>
    <row r="62" spans="2:5" ht="15.75">
      <c r="B62" s="287"/>
      <c r="C62" s="415"/>
      <c r="D62" s="415"/>
      <c r="E62" s="52"/>
    </row>
    <row r="63" spans="2:5" ht="15.75">
      <c r="B63" s="287"/>
      <c r="C63" s="415"/>
      <c r="D63" s="415"/>
      <c r="E63" s="52"/>
    </row>
    <row r="64" spans="2:5" ht="15.75">
      <c r="B64" s="287"/>
      <c r="C64" s="415"/>
      <c r="D64" s="415"/>
      <c r="E64" s="52"/>
    </row>
    <row r="65" spans="2:5" ht="15.75">
      <c r="B65" s="287"/>
      <c r="C65" s="415"/>
      <c r="D65" s="415"/>
      <c r="E65" s="52"/>
    </row>
    <row r="66" spans="2:5" ht="15.75">
      <c r="B66" s="169" t="s">
        <v>286</v>
      </c>
      <c r="C66" s="415"/>
      <c r="D66" s="415"/>
      <c r="E66" s="59">
        <f>nhood!E9</f>
      </c>
    </row>
    <row r="67" spans="2:5" ht="15.75">
      <c r="B67" s="169" t="s">
        <v>142</v>
      </c>
      <c r="C67" s="415"/>
      <c r="D67" s="415"/>
      <c r="E67" s="52"/>
    </row>
    <row r="68" spans="2:5" ht="15.75">
      <c r="B68" s="169" t="s">
        <v>685</v>
      </c>
      <c r="C68" s="411">
        <f>IF(C69*0.1&lt;C67,"Exceed 10% Rule","")</f>
      </c>
      <c r="D68" s="411">
        <f>IF(D69*0.1&lt;D67,"Exceed 10% Rule","")</f>
      </c>
      <c r="E68" s="283">
        <f>IF(E69*0.1&lt;E67,"Exceed 10% Rule","")</f>
      </c>
    </row>
    <row r="69" spans="2:5" ht="15.75">
      <c r="B69" s="284" t="s">
        <v>60</v>
      </c>
      <c r="C69" s="418">
        <f>SUM(C60:C67)</f>
        <v>0</v>
      </c>
      <c r="D69" s="418">
        <f>SUM(D60:D67)</f>
        <v>0</v>
      </c>
      <c r="E69" s="311">
        <f>SUM(E60:E67)</f>
        <v>0</v>
      </c>
    </row>
    <row r="70" spans="2:5" ht="15.75">
      <c r="B70" s="113" t="s">
        <v>164</v>
      </c>
      <c r="C70" s="419">
        <f>C58-C69</f>
        <v>0</v>
      </c>
      <c r="D70" s="419">
        <f>D58-D69</f>
        <v>0</v>
      </c>
      <c r="E70" s="275" t="s">
        <v>37</v>
      </c>
    </row>
    <row r="71" spans="2:5" ht="15.75">
      <c r="B71" s="195" t="str">
        <f>CONCATENATE("",E1-2,"/",E1-1," Budget Authority Amount:")</f>
        <v>2010/2011 Budget Authority Amount:</v>
      </c>
      <c r="C71" s="206">
        <f>inputOth!B79</f>
        <v>0</v>
      </c>
      <c r="D71" s="206">
        <f>inputPrYr!D25</f>
        <v>0</v>
      </c>
      <c r="E71" s="275" t="s">
        <v>37</v>
      </c>
    </row>
    <row r="72" spans="2:6" ht="15.75">
      <c r="B72" s="195"/>
      <c r="C72" s="677" t="s">
        <v>772</v>
      </c>
      <c r="D72" s="678"/>
      <c r="E72" s="52"/>
      <c r="F72" s="289">
        <f>IF(E69/0.95-E69&lt;E72,"Exceeds 5%","")</f>
      </c>
    </row>
    <row r="73" spans="2:5" ht="15.75">
      <c r="B73" s="505" t="str">
        <f>CONCATENATE(C90,"     ",D90)</f>
        <v>     </v>
      </c>
      <c r="C73" s="679" t="s">
        <v>773</v>
      </c>
      <c r="D73" s="680"/>
      <c r="E73" s="167">
        <f>E69+E72</f>
        <v>0</v>
      </c>
    </row>
    <row r="74" spans="2:5" ht="15.75">
      <c r="B74" s="505" t="str">
        <f>CONCATENATE(C91,"     ",D91)</f>
        <v>     </v>
      </c>
      <c r="C74" s="290"/>
      <c r="D74" s="202" t="s">
        <v>61</v>
      </c>
      <c r="E74" s="59">
        <f>IF(E73-E58&gt;0,E73-E58,0)</f>
        <v>0</v>
      </c>
    </row>
    <row r="75" spans="2:5" ht="15.75">
      <c r="B75" s="202"/>
      <c r="C75" s="487" t="s">
        <v>774</v>
      </c>
      <c r="D75" s="421">
        <f>inputOth!$E$63</f>
        <v>0</v>
      </c>
      <c r="E75" s="167">
        <f>ROUND(IF(D75&gt;0,(E74*D75),0),0)</f>
        <v>0</v>
      </c>
    </row>
    <row r="76" spans="2:5" ht="15.75">
      <c r="B76" s="28"/>
      <c r="C76" s="675" t="str">
        <f>CONCATENATE("Amount of  ",$E$1-1," Ad Valorem Tax")</f>
        <v>Amount of  2011 Ad Valorem Tax</v>
      </c>
      <c r="D76" s="676"/>
      <c r="E76" s="294">
        <f>E74+E75</f>
        <v>0</v>
      </c>
    </row>
    <row r="77" spans="2:5" ht="15.75">
      <c r="B77" s="195" t="s">
        <v>63</v>
      </c>
      <c r="C77" s="295"/>
      <c r="D77" s="296"/>
      <c r="E77" s="28"/>
    </row>
    <row r="88" spans="3:4" ht="15.75" hidden="1">
      <c r="C88" s="24">
        <f>IF(C32&gt;C34,"See Tab A","")</f>
      </c>
      <c r="D88" s="24">
        <f>IF(D32&gt;D34,"See Tab C","")</f>
      </c>
    </row>
    <row r="89" spans="3:4" ht="15.75" hidden="1">
      <c r="C89" s="24">
        <f>IF(C33&lt;0,"See Tab B","")</f>
      </c>
      <c r="D89" s="24">
        <f>IF(D33&lt;0,"See Tab D","")</f>
      </c>
    </row>
    <row r="90" spans="3:4" ht="15.75" hidden="1">
      <c r="C90" s="24">
        <f>IF(C69&gt;C71,"See Tab A","")</f>
      </c>
      <c r="D90" s="24">
        <f>IF(D69&gt;D71,"See Tab C","")</f>
      </c>
    </row>
    <row r="91" spans="3:4" ht="15.75" hidden="1">
      <c r="C91" s="24">
        <f>IF(C70&lt;0,"See Tab B","")</f>
      </c>
      <c r="D91" s="24">
        <f>IF(D70&lt;0,"See Tab D","")</f>
      </c>
    </row>
  </sheetData>
  <sheetProtection sheet="1"/>
  <mergeCells count="7">
    <mergeCell ref="G31:I31"/>
    <mergeCell ref="C76:D76"/>
    <mergeCell ref="C39:D39"/>
    <mergeCell ref="C72:D72"/>
    <mergeCell ref="C73:D73"/>
    <mergeCell ref="C35:D35"/>
    <mergeCell ref="C36:D36"/>
  </mergeCells>
  <conditionalFormatting sqref="E30">
    <cfRule type="cellIs" priority="13" dxfId="140" operator="greaterThan" stopIfTrue="1">
      <formula>$E$32*0.1</formula>
    </cfRule>
  </conditionalFormatting>
  <conditionalFormatting sqref="E35">
    <cfRule type="cellIs" priority="14" dxfId="140" operator="greaterThan" stopIfTrue="1">
      <formula>$E$32/0.95-$E$32</formula>
    </cfRule>
  </conditionalFormatting>
  <conditionalFormatting sqref="D30">
    <cfRule type="cellIs" priority="15" dxfId="1" operator="greaterThan" stopIfTrue="1">
      <formula>$D$32*0.1</formula>
    </cfRule>
  </conditionalFormatting>
  <conditionalFormatting sqref="C30">
    <cfRule type="cellIs" priority="16" dxfId="1" operator="greaterThan" stopIfTrue="1">
      <formula>$C$32*0.1</formula>
    </cfRule>
  </conditionalFormatting>
  <conditionalFormatting sqref="D32">
    <cfRule type="cellIs" priority="17" dxfId="1" operator="greaterThan" stopIfTrue="1">
      <formula>$D$34</formula>
    </cfRule>
  </conditionalFormatting>
  <conditionalFormatting sqref="C32">
    <cfRule type="cellIs" priority="18" dxfId="1" operator="greaterThan" stopIfTrue="1">
      <formula>$C$34</formula>
    </cfRule>
  </conditionalFormatting>
  <conditionalFormatting sqref="C33">
    <cfRule type="cellIs" priority="19" dxfId="1" operator="lessThan" stopIfTrue="1">
      <formula>0</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18">
    <cfRule type="cellIs" priority="22" dxfId="140" operator="greaterThan" stopIfTrue="1">
      <formula>$C$20*0.1+E39</formula>
    </cfRule>
  </conditionalFormatting>
  <conditionalFormatting sqref="D33">
    <cfRule type="cellIs" priority="12" dxfId="0" operator="lessThan" stopIfTrue="1">
      <formula>0</formula>
    </cfRule>
  </conditionalFormatting>
  <conditionalFormatting sqref="E67">
    <cfRule type="cellIs" priority="11" dxfId="140" operator="greaterThan" stopIfTrue="1">
      <formula>$E$69*0.1</formula>
    </cfRule>
  </conditionalFormatting>
  <conditionalFormatting sqref="E72">
    <cfRule type="cellIs" priority="10" dxfId="140" operator="greaterThan" stopIfTrue="1">
      <formula>$E$69/0.95-$E$69</formula>
    </cfRule>
  </conditionalFormatting>
  <conditionalFormatting sqref="C67">
    <cfRule type="cellIs" priority="9" dxfId="1" operator="greaterThan" stopIfTrue="1">
      <formula>$C$69*0.1</formula>
    </cfRule>
  </conditionalFormatting>
  <conditionalFormatting sqref="D67">
    <cfRule type="cellIs" priority="8" dxfId="1" operator="greaterThan" stopIfTrue="1">
      <formula>$D$69*0.1</formula>
    </cfRule>
  </conditionalFormatting>
  <conditionalFormatting sqref="C69">
    <cfRule type="cellIs" priority="7" dxfId="1" operator="greaterThan" stopIfTrue="1">
      <formula>$C$71</formula>
    </cfRule>
  </conditionalFormatting>
  <conditionalFormatting sqref="D69">
    <cfRule type="cellIs" priority="6" dxfId="1" operator="greaterThan" stopIfTrue="1">
      <formula>$D$71</formula>
    </cfRule>
  </conditionalFormatting>
  <conditionalFormatting sqref="C70">
    <cfRule type="cellIs" priority="5" dxfId="1" operator="lessThan" stopIfTrue="1">
      <formula>0</formula>
    </cfRule>
  </conditionalFormatting>
  <conditionalFormatting sqref="D55">
    <cfRule type="cellIs" priority="4" dxfId="1" operator="greaterThan" stopIfTrue="1">
      <formula>$D$57*0.1</formula>
    </cfRule>
  </conditionalFormatting>
  <conditionalFormatting sqref="C55">
    <cfRule type="cellIs" priority="3" dxfId="1" operator="greaterThan" stopIfTrue="1">
      <formula>$C$57*0.1</formula>
    </cfRule>
  </conditionalFormatting>
  <conditionalFormatting sqref="E55">
    <cfRule type="cellIs" priority="2" dxfId="140" operator="greaterThan" stopIfTrue="1">
      <formula>$E$57*0.1+E76</formula>
    </cfRule>
  </conditionalFormatting>
  <conditionalFormatting sqref="D7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4" sqref="C4:E4"/>
    </sheetView>
  </sheetViews>
  <sheetFormatPr defaultColWidth="8.796875" defaultRowHeight="15"/>
  <cols>
    <col min="1" max="1" width="2.3984375" style="24" customWidth="1"/>
    <col min="2" max="2" width="31.09765625" style="24" customWidth="1"/>
    <col min="3" max="4" width="15.796875" style="24" customWidth="1"/>
    <col min="5" max="5" width="16.296875" style="24" customWidth="1"/>
    <col min="6" max="16384" width="8.8984375" style="24" customWidth="1"/>
  </cols>
  <sheetData>
    <row r="1" spans="2:5" ht="15.75">
      <c r="B1" s="186" t="str">
        <f>(inputPrYr!D3)</f>
        <v>City of Vining</v>
      </c>
      <c r="C1" s="28"/>
      <c r="D1" s="28"/>
      <c r="E1" s="141">
        <f>inputPrYr!$C$10</f>
        <v>2012</v>
      </c>
    </row>
    <row r="2" spans="2:5" ht="15.75">
      <c r="B2" s="28"/>
      <c r="C2" s="28"/>
      <c r="D2" s="28"/>
      <c r="E2" s="202"/>
    </row>
    <row r="3" spans="2:5" ht="15.75">
      <c r="B3" s="46" t="s">
        <v>106</v>
      </c>
      <c r="C3" s="272"/>
      <c r="D3" s="272"/>
      <c r="E3" s="143"/>
    </row>
    <row r="4" spans="2:5" ht="15.75">
      <c r="B4" s="34" t="s">
        <v>49</v>
      </c>
      <c r="C4" s="578" t="s">
        <v>69</v>
      </c>
      <c r="D4" s="579" t="s">
        <v>192</v>
      </c>
      <c r="E4" s="351" t="s">
        <v>193</v>
      </c>
    </row>
    <row r="5" spans="2:5" ht="15.75">
      <c r="B5" s="560">
        <f>(inputPrYr!B26)</f>
        <v>0</v>
      </c>
      <c r="C5" s="407">
        <f>inputPrYr!$C$10-2</f>
        <v>2010</v>
      </c>
      <c r="D5" s="407">
        <f>inputPrYr!$C$10-1</f>
        <v>2011</v>
      </c>
      <c r="E5" s="217">
        <f>inputPrYr!$C$10</f>
        <v>2012</v>
      </c>
    </row>
    <row r="6" spans="2:5" ht="15.75">
      <c r="B6" s="113" t="s">
        <v>163</v>
      </c>
      <c r="C6" s="415"/>
      <c r="D6" s="416">
        <f>C33</f>
        <v>0</v>
      </c>
      <c r="E6" s="167">
        <f>D33</f>
        <v>0</v>
      </c>
    </row>
    <row r="7" spans="2:5" ht="15.75">
      <c r="B7" s="274" t="s">
        <v>165</v>
      </c>
      <c r="C7" s="416"/>
      <c r="D7" s="416"/>
      <c r="E7" s="167"/>
    </row>
    <row r="8" spans="2:5" ht="15.75">
      <c r="B8" s="113" t="s">
        <v>50</v>
      </c>
      <c r="C8" s="415"/>
      <c r="D8" s="416">
        <f>inputPrYr!E26</f>
        <v>0</v>
      </c>
      <c r="E8" s="275" t="s">
        <v>37</v>
      </c>
    </row>
    <row r="9" spans="2:5" ht="15.75">
      <c r="B9" s="113" t="s">
        <v>51</v>
      </c>
      <c r="C9" s="415"/>
      <c r="D9" s="415"/>
      <c r="E9" s="52"/>
    </row>
    <row r="10" spans="2:5" ht="15.75">
      <c r="B10" s="113" t="s">
        <v>52</v>
      </c>
      <c r="C10" s="415"/>
      <c r="D10" s="415"/>
      <c r="E10" s="167" t="str">
        <f>Mvalloc!C11</f>
        <v>  </v>
      </c>
    </row>
    <row r="11" spans="2:5" ht="15.75">
      <c r="B11" s="113" t="s">
        <v>53</v>
      </c>
      <c r="C11" s="415"/>
      <c r="D11" s="415"/>
      <c r="E11" s="167" t="str">
        <f>Mvalloc!D11</f>
        <v>  </v>
      </c>
    </row>
    <row r="12" spans="2:5" ht="15.75">
      <c r="B12" s="169" t="s">
        <v>102</v>
      </c>
      <c r="C12" s="415"/>
      <c r="D12" s="415"/>
      <c r="E12" s="167" t="str">
        <f>Mvalloc!E11</f>
        <v>  </v>
      </c>
    </row>
    <row r="13" spans="2:5" ht="15.75">
      <c r="B13" s="278" t="s">
        <v>11</v>
      </c>
      <c r="C13" s="415"/>
      <c r="D13" s="415"/>
      <c r="E13" s="277" t="str">
        <f>Mvalloc!$F11</f>
        <v>  </v>
      </c>
    </row>
    <row r="14" spans="2:5" ht="15.75">
      <c r="B14" s="287"/>
      <c r="C14" s="415"/>
      <c r="D14" s="415"/>
      <c r="E14" s="52"/>
    </row>
    <row r="15" spans="2:5" ht="15.75">
      <c r="B15" s="287"/>
      <c r="C15" s="415"/>
      <c r="D15" s="415"/>
      <c r="E15" s="52"/>
    </row>
    <row r="16" spans="2:5" ht="15.75">
      <c r="B16" s="287"/>
      <c r="C16" s="415"/>
      <c r="D16" s="415"/>
      <c r="E16" s="52"/>
    </row>
    <row r="17" spans="2:5" ht="15.75">
      <c r="B17" s="308" t="s">
        <v>56</v>
      </c>
      <c r="C17" s="415"/>
      <c r="D17" s="415"/>
      <c r="E17" s="52"/>
    </row>
    <row r="18" spans="2:5" ht="15.75">
      <c r="B18" s="169" t="s">
        <v>142</v>
      </c>
      <c r="C18" s="415"/>
      <c r="D18" s="415"/>
      <c r="E18" s="52"/>
    </row>
    <row r="19" spans="2:5" ht="15.75">
      <c r="B19" s="169" t="s">
        <v>684</v>
      </c>
      <c r="C19" s="411">
        <f>IF(C20*0.1&lt;C18,"Exceed 10% Rule","")</f>
      </c>
      <c r="D19" s="411">
        <f>IF(D20*0.1&lt;D18,"Exceed 10% Rule","")</f>
      </c>
      <c r="E19" s="283">
        <f>IF(E20*0.1+E39&lt;E18,"Exceed 10% Rule","")</f>
      </c>
    </row>
    <row r="20" spans="2:5" ht="15.75">
      <c r="B20" s="284" t="s">
        <v>57</v>
      </c>
      <c r="C20" s="417">
        <f>SUM(C8:C18)</f>
        <v>0</v>
      </c>
      <c r="D20" s="417">
        <f>SUM(D8:D18)</f>
        <v>0</v>
      </c>
      <c r="E20" s="310">
        <f>SUM(E8:E18)</f>
        <v>0</v>
      </c>
    </row>
    <row r="21" spans="2:5" ht="15.75">
      <c r="B21" s="284" t="s">
        <v>58</v>
      </c>
      <c r="C21" s="417">
        <f>C6+C20</f>
        <v>0</v>
      </c>
      <c r="D21" s="417">
        <f>D6+D20</f>
        <v>0</v>
      </c>
      <c r="E21" s="310">
        <f>E6+E20</f>
        <v>0</v>
      </c>
    </row>
    <row r="22" spans="2:5" ht="15.75">
      <c r="B22" s="113" t="s">
        <v>59</v>
      </c>
      <c r="C22" s="416"/>
      <c r="D22" s="416"/>
      <c r="E22" s="167"/>
    </row>
    <row r="23" spans="2:5" ht="15.75">
      <c r="B23" s="287"/>
      <c r="C23" s="415"/>
      <c r="D23" s="415"/>
      <c r="E23" s="52"/>
    </row>
    <row r="24" spans="2:5" ht="15.75">
      <c r="B24" s="287"/>
      <c r="C24" s="415"/>
      <c r="D24" s="415"/>
      <c r="E24" s="52"/>
    </row>
    <row r="25" spans="2:5" ht="15.75">
      <c r="B25" s="287"/>
      <c r="C25" s="415"/>
      <c r="D25" s="415"/>
      <c r="E25" s="52"/>
    </row>
    <row r="26" spans="2:5" ht="15.75">
      <c r="B26" s="287"/>
      <c r="C26" s="415"/>
      <c r="D26" s="415"/>
      <c r="E26" s="52"/>
    </row>
    <row r="27" spans="2:5" ht="15.75">
      <c r="B27" s="287"/>
      <c r="C27" s="415"/>
      <c r="D27" s="415"/>
      <c r="E27" s="52"/>
    </row>
    <row r="28" spans="2:5" ht="15.75">
      <c r="B28" s="287"/>
      <c r="C28" s="415"/>
      <c r="D28" s="415"/>
      <c r="E28" s="52"/>
    </row>
    <row r="29" spans="2:5" ht="15.75">
      <c r="B29" s="169" t="s">
        <v>286</v>
      </c>
      <c r="C29" s="415"/>
      <c r="D29" s="415"/>
      <c r="E29" s="59">
        <f>nhood!E10</f>
      </c>
    </row>
    <row r="30" spans="2:5" ht="15.75">
      <c r="B30" s="169" t="s">
        <v>142</v>
      </c>
      <c r="C30" s="415"/>
      <c r="D30" s="415"/>
      <c r="E30" s="52"/>
    </row>
    <row r="31" spans="2:5" ht="15.75">
      <c r="B31" s="169" t="s">
        <v>685</v>
      </c>
      <c r="C31" s="411">
        <f>IF(C32*0.1&lt;C30,"Exceed 10% Rule","")</f>
      </c>
      <c r="D31" s="411">
        <f>IF(D32*0.1&lt;D30,"Exceed 10% Rule","")</f>
      </c>
      <c r="E31" s="283">
        <f>IF(E32*0.1&lt;E30,"Exceed 10% Rule","")</f>
      </c>
    </row>
    <row r="32" spans="2:5" ht="15.75">
      <c r="B32" s="284" t="s">
        <v>60</v>
      </c>
      <c r="C32" s="418">
        <f>SUM(C23:C30)</f>
        <v>0</v>
      </c>
      <c r="D32" s="418">
        <f>SUM(D23:D30)</f>
        <v>0</v>
      </c>
      <c r="E32" s="311">
        <f>SUM(E23:E30)</f>
        <v>0</v>
      </c>
    </row>
    <row r="33" spans="2:5" ht="15.75">
      <c r="B33" s="113" t="s">
        <v>164</v>
      </c>
      <c r="C33" s="419">
        <f>C21-C32</f>
        <v>0</v>
      </c>
      <c r="D33" s="419">
        <f>D21-D32</f>
        <v>0</v>
      </c>
      <c r="E33" s="275" t="s">
        <v>37</v>
      </c>
    </row>
    <row r="34" spans="2:6" ht="15.75">
      <c r="B34" s="195" t="str">
        <f>CONCATENATE("",E1-2,"/",E1-1," Budget Authority Amount:")</f>
        <v>2010/2011 Budget Authority Amount:</v>
      </c>
      <c r="C34" s="206">
        <f>inputOth!B80</f>
        <v>0</v>
      </c>
      <c r="D34" s="206">
        <f>inputPrYr!D26</f>
        <v>0</v>
      </c>
      <c r="E34" s="275" t="s">
        <v>37</v>
      </c>
      <c r="F34" s="289"/>
    </row>
    <row r="35" spans="2:6" ht="15.75">
      <c r="B35" s="195"/>
      <c r="C35" s="677" t="s">
        <v>772</v>
      </c>
      <c r="D35" s="678"/>
      <c r="E35" s="52"/>
      <c r="F35" s="289">
        <f>IF(E32/0.95-E32&lt;E35,"Exceeds 5%","")</f>
      </c>
    </row>
    <row r="36" spans="2:5" ht="15.75">
      <c r="B36" s="505" t="str">
        <f>CONCATENATE(C88,"     ",D88)</f>
        <v>     </v>
      </c>
      <c r="C36" s="679" t="s">
        <v>773</v>
      </c>
      <c r="D36" s="680"/>
      <c r="E36" s="167">
        <f>E32+E35</f>
        <v>0</v>
      </c>
    </row>
    <row r="37" spans="2:5" ht="15.75">
      <c r="B37" s="505" t="str">
        <f>CONCATENATE(C89,"     ",D89)</f>
        <v>     </v>
      </c>
      <c r="C37" s="290"/>
      <c r="D37" s="202" t="s">
        <v>61</v>
      </c>
      <c r="E37" s="59">
        <f>IF(E36-E21&gt;0,E36-E21,0)</f>
        <v>0</v>
      </c>
    </row>
    <row r="38" spans="2:5" ht="15.75">
      <c r="B38" s="202"/>
      <c r="C38" s="487" t="s">
        <v>774</v>
      </c>
      <c r="D38" s="421">
        <f>inputOth!$E$63</f>
        <v>0</v>
      </c>
      <c r="E38" s="167">
        <f>ROUND(IF(D38&gt;0,(E37*D38),0),0)</f>
        <v>0</v>
      </c>
    </row>
    <row r="39" spans="2:5" ht="15.75">
      <c r="B39" s="28"/>
      <c r="C39" s="675" t="str">
        <f>CONCATENATE("Amount of  ",$E$1-1," Ad Valorem Tax")</f>
        <v>Amount of  2011 Ad Valorem Tax</v>
      </c>
      <c r="D39" s="676"/>
      <c r="E39" s="294">
        <f>E37+E38</f>
        <v>0</v>
      </c>
    </row>
    <row r="40" spans="2:5" ht="15.75">
      <c r="B40" s="34" t="s">
        <v>49</v>
      </c>
      <c r="C40" s="272"/>
      <c r="D40" s="272"/>
      <c r="E40" s="272"/>
    </row>
    <row r="41" spans="2:5" ht="15.75">
      <c r="B41" s="28"/>
      <c r="C41" s="578" t="s">
        <v>69</v>
      </c>
      <c r="D41" s="579" t="s">
        <v>192</v>
      </c>
      <c r="E41" s="351" t="s">
        <v>193</v>
      </c>
    </row>
    <row r="42" spans="2:5" ht="15.75">
      <c r="B42" s="560">
        <f>(inputPrYr!B27)</f>
        <v>0</v>
      </c>
      <c r="C42" s="407">
        <f>inputPrYr!$C$10-2</f>
        <v>2010</v>
      </c>
      <c r="D42" s="407">
        <f>inputPrYr!$C$10-1</f>
        <v>2011</v>
      </c>
      <c r="E42" s="217">
        <f>inputPrYr!$C$10</f>
        <v>2012</v>
      </c>
    </row>
    <row r="43" spans="2:5" ht="15.75">
      <c r="B43" s="113" t="s">
        <v>163</v>
      </c>
      <c r="C43" s="415"/>
      <c r="D43" s="416">
        <f>C70</f>
        <v>0</v>
      </c>
      <c r="E43" s="167">
        <f>D70</f>
        <v>0</v>
      </c>
    </row>
    <row r="44" spans="2:5" ht="15.75">
      <c r="B44" s="274" t="s">
        <v>165</v>
      </c>
      <c r="C44" s="416"/>
      <c r="D44" s="416"/>
      <c r="E44" s="167"/>
    </row>
    <row r="45" spans="2:5" ht="15.75">
      <c r="B45" s="113" t="s">
        <v>50</v>
      </c>
      <c r="C45" s="415"/>
      <c r="D45" s="416">
        <f>inputPrYr!E27</f>
        <v>0</v>
      </c>
      <c r="E45" s="275" t="s">
        <v>37</v>
      </c>
    </row>
    <row r="46" spans="2:5" ht="15.75">
      <c r="B46" s="113" t="s">
        <v>51</v>
      </c>
      <c r="C46" s="415"/>
      <c r="D46" s="415"/>
      <c r="E46" s="52"/>
    </row>
    <row r="47" spans="2:5" ht="15.75">
      <c r="B47" s="113" t="s">
        <v>52</v>
      </c>
      <c r="C47" s="415"/>
      <c r="D47" s="415"/>
      <c r="E47" s="167" t="str">
        <f>Mvalloc!C12</f>
        <v>  </v>
      </c>
    </row>
    <row r="48" spans="2:5" ht="15.75">
      <c r="B48" s="113" t="s">
        <v>53</v>
      </c>
      <c r="C48" s="415"/>
      <c r="D48" s="415"/>
      <c r="E48" s="167" t="str">
        <f>Mvalloc!D12</f>
        <v>  </v>
      </c>
    </row>
    <row r="49" spans="2:5" ht="15.75">
      <c r="B49" s="169" t="s">
        <v>102</v>
      </c>
      <c r="C49" s="415"/>
      <c r="D49" s="415"/>
      <c r="E49" s="167" t="str">
        <f>Mvalloc!E12</f>
        <v>  </v>
      </c>
    </row>
    <row r="50" spans="2:5" ht="15.75">
      <c r="B50" s="278" t="s">
        <v>11</v>
      </c>
      <c r="C50" s="415"/>
      <c r="D50" s="415"/>
      <c r="E50" s="277" t="str">
        <f>Mvalloc!$F12</f>
        <v>  </v>
      </c>
    </row>
    <row r="51" spans="2:5" ht="15.75">
      <c r="B51" s="287"/>
      <c r="C51" s="415"/>
      <c r="D51" s="415"/>
      <c r="E51" s="52"/>
    </row>
    <row r="52" spans="2:5" ht="15.75">
      <c r="B52" s="287"/>
      <c r="C52" s="415"/>
      <c r="D52" s="415"/>
      <c r="E52" s="52"/>
    </row>
    <row r="53" spans="2:5" ht="15.75">
      <c r="B53" s="287"/>
      <c r="C53" s="415"/>
      <c r="D53" s="415"/>
      <c r="E53" s="52"/>
    </row>
    <row r="54" spans="2:5" ht="15.75">
      <c r="B54" s="308" t="s">
        <v>56</v>
      </c>
      <c r="C54" s="415"/>
      <c r="D54" s="415"/>
      <c r="E54" s="52"/>
    </row>
    <row r="55" spans="2:5" ht="15.75">
      <c r="B55" s="169" t="s">
        <v>142</v>
      </c>
      <c r="C55" s="415"/>
      <c r="D55" s="415"/>
      <c r="E55" s="52"/>
    </row>
    <row r="56" spans="2:5" ht="15.75">
      <c r="B56" s="169" t="s">
        <v>684</v>
      </c>
      <c r="C56" s="411">
        <f>IF(C57*0.1&lt;C55,"Exceed 10% Rule","")</f>
      </c>
      <c r="D56" s="411">
        <f>IF(D57*0.1&lt;D55,"Exceed 10% Rule","")</f>
      </c>
      <c r="E56" s="283">
        <f>IF(E57*0.1+E76&lt;E55,"Exceed 10% Rule","")</f>
      </c>
    </row>
    <row r="57" spans="2:5" ht="15.75">
      <c r="B57" s="284" t="s">
        <v>57</v>
      </c>
      <c r="C57" s="418">
        <f>SUM(C45:C55)</f>
        <v>0</v>
      </c>
      <c r="D57" s="418">
        <f>SUM(D45:D55)</f>
        <v>0</v>
      </c>
      <c r="E57" s="311">
        <f>SUM(E45:E55)</f>
        <v>0</v>
      </c>
    </row>
    <row r="58" spans="2:5" ht="15.75">
      <c r="B58" s="284" t="s">
        <v>58</v>
      </c>
      <c r="C58" s="418">
        <f>C43+C57</f>
        <v>0</v>
      </c>
      <c r="D58" s="418">
        <f>D43+D57</f>
        <v>0</v>
      </c>
      <c r="E58" s="311">
        <f>E43+E57</f>
        <v>0</v>
      </c>
    </row>
    <row r="59" spans="2:5" ht="15.75">
      <c r="B59" s="113" t="s">
        <v>59</v>
      </c>
      <c r="C59" s="416"/>
      <c r="D59" s="416"/>
      <c r="E59" s="167"/>
    </row>
    <row r="60" spans="2:5" ht="15.75">
      <c r="B60" s="287"/>
      <c r="C60" s="415"/>
      <c r="D60" s="415"/>
      <c r="E60" s="52" t="s">
        <v>25</v>
      </c>
    </row>
    <row r="61" spans="2:5" ht="15.75">
      <c r="B61" s="287"/>
      <c r="C61" s="415"/>
      <c r="D61" s="415"/>
      <c r="E61" s="52"/>
    </row>
    <row r="62" spans="2:5" ht="15.75">
      <c r="B62" s="287"/>
      <c r="C62" s="415"/>
      <c r="D62" s="415"/>
      <c r="E62" s="52"/>
    </row>
    <row r="63" spans="2:5" ht="15.75">
      <c r="B63" s="287"/>
      <c r="C63" s="415"/>
      <c r="D63" s="415"/>
      <c r="E63" s="52"/>
    </row>
    <row r="64" spans="2:5" ht="15.75">
      <c r="B64" s="287"/>
      <c r="C64" s="415"/>
      <c r="D64" s="415"/>
      <c r="E64" s="52"/>
    </row>
    <row r="65" spans="2:5" ht="15.75">
      <c r="B65" s="287"/>
      <c r="C65" s="415"/>
      <c r="D65" s="415"/>
      <c r="E65" s="52"/>
    </row>
    <row r="66" spans="2:5" ht="15.75">
      <c r="B66" s="169" t="s">
        <v>286</v>
      </c>
      <c r="C66" s="415"/>
      <c r="D66" s="415"/>
      <c r="E66" s="59">
        <f>nhood!E11</f>
      </c>
    </row>
    <row r="67" spans="2:5" ht="15.75">
      <c r="B67" s="169" t="s">
        <v>142</v>
      </c>
      <c r="C67" s="415"/>
      <c r="D67" s="415"/>
      <c r="E67" s="52"/>
    </row>
    <row r="68" spans="2:5" ht="15.75">
      <c r="B68" s="169" t="s">
        <v>685</v>
      </c>
      <c r="C68" s="411">
        <f>IF(C69*0.1&lt;C67,"Exceed 10% Rule","")</f>
      </c>
      <c r="D68" s="411">
        <f>IF(D69*0.1&lt;D67,"Exceed 10% Rule","")</f>
      </c>
      <c r="E68" s="283">
        <f>IF(E69*0.1&lt;E67,"Exceed 10% Rule","")</f>
      </c>
    </row>
    <row r="69" spans="2:5" ht="15.75">
      <c r="B69" s="284" t="s">
        <v>60</v>
      </c>
      <c r="C69" s="418">
        <f>SUM(C60:C67)</f>
        <v>0</v>
      </c>
      <c r="D69" s="418">
        <f>SUM(D60:D67)</f>
        <v>0</v>
      </c>
      <c r="E69" s="311">
        <f>SUM(E60:E67)</f>
        <v>0</v>
      </c>
    </row>
    <row r="70" spans="2:5" ht="15.75">
      <c r="B70" s="113" t="s">
        <v>164</v>
      </c>
      <c r="C70" s="419">
        <f>C58-C69</f>
        <v>0</v>
      </c>
      <c r="D70" s="419">
        <f>D58-D69</f>
        <v>0</v>
      </c>
      <c r="E70" s="275" t="s">
        <v>37</v>
      </c>
    </row>
    <row r="71" spans="2:6" ht="15.75">
      <c r="B71" s="195" t="str">
        <f>CONCATENATE("",E1-2,"/",E1-1," Budget Authority Amount:")</f>
        <v>2010/2011 Budget Authority Amount:</v>
      </c>
      <c r="C71" s="206">
        <f>inputOth!B81</f>
        <v>0</v>
      </c>
      <c r="D71" s="206">
        <f>inputPrYr!D27</f>
        <v>0</v>
      </c>
      <c r="E71" s="275" t="s">
        <v>37</v>
      </c>
      <c r="F71" s="289"/>
    </row>
    <row r="72" spans="2:6" ht="15.75">
      <c r="B72" s="195"/>
      <c r="C72" s="677" t="s">
        <v>772</v>
      </c>
      <c r="D72" s="678"/>
      <c r="E72" s="52"/>
      <c r="F72" s="289">
        <f>IF(E69/0.95-E69&lt;E72,"Exceeds 5%","")</f>
      </c>
    </row>
    <row r="73" spans="2:5" ht="15.75">
      <c r="B73" s="505" t="str">
        <f>CONCATENATE(C90,"     ",D90)</f>
        <v>     </v>
      </c>
      <c r="C73" s="679" t="s">
        <v>773</v>
      </c>
      <c r="D73" s="680"/>
      <c r="E73" s="167">
        <f>E69+E72</f>
        <v>0</v>
      </c>
    </row>
    <row r="74" spans="2:5" ht="15.75">
      <c r="B74" s="505" t="str">
        <f>CONCATENATE(C91,"     ",D91)</f>
        <v>     </v>
      </c>
      <c r="C74" s="290"/>
      <c r="D74" s="202" t="s">
        <v>61</v>
      </c>
      <c r="E74" s="59">
        <f>IF(E73-E58&gt;0,E73-E58,0)</f>
        <v>0</v>
      </c>
    </row>
    <row r="75" spans="2:5" ht="15.75">
      <c r="B75" s="202"/>
      <c r="C75" s="487" t="s">
        <v>774</v>
      </c>
      <c r="D75" s="421">
        <f>inputOth!$E$63</f>
        <v>0</v>
      </c>
      <c r="E75" s="167">
        <f>ROUND(IF(D75&gt;0,(E74*D75),0),0)</f>
        <v>0</v>
      </c>
    </row>
    <row r="76" spans="2:5" ht="15.75">
      <c r="B76" s="28"/>
      <c r="C76" s="675" t="str">
        <f>CONCATENATE("Amount of  ",$E$1-1," Ad Valorem Tax")</f>
        <v>Amount of  2011 Ad Valorem Tax</v>
      </c>
      <c r="D76" s="676"/>
      <c r="E76" s="294">
        <f>E74+E75</f>
        <v>0</v>
      </c>
    </row>
    <row r="77" spans="2:5" ht="15.75">
      <c r="B77" s="195" t="s">
        <v>63</v>
      </c>
      <c r="C77" s="295"/>
      <c r="D77" s="296"/>
      <c r="E77" s="28"/>
    </row>
    <row r="79" ht="15.75">
      <c r="B79" s="88"/>
    </row>
    <row r="88" spans="3:4" ht="15.75" hidden="1">
      <c r="C88" s="24">
        <f>IF(C32&gt;C34,"See Tab A","")</f>
      </c>
      <c r="D88" s="24">
        <f>IF(D32&gt;D34,"See Tab C","")</f>
      </c>
    </row>
    <row r="89" spans="3:4" ht="15.75" hidden="1">
      <c r="C89" s="24">
        <f>IF(C33&lt;0,"See Tab B","")</f>
      </c>
      <c r="D89" s="24">
        <f>IF(D33&lt;0,"See Tab D","")</f>
      </c>
    </row>
    <row r="90" spans="3:4" ht="15.75" hidden="1">
      <c r="C90" s="24">
        <f>IF(C69&gt;C71,"See Tab A","")</f>
      </c>
      <c r="D90" s="24">
        <f>IF(D69&gt;D71,"See Tab C","")</f>
      </c>
    </row>
    <row r="91" spans="3:4" ht="15.75" hidden="1">
      <c r="C91" s="24">
        <f>IF(C70&lt;0,"See Tab B","")</f>
      </c>
      <c r="D91" s="24">
        <f>IF(D70&lt;0,"See Tab D","")</f>
      </c>
    </row>
  </sheetData>
  <sheetProtection sheet="1"/>
  <mergeCells count="6">
    <mergeCell ref="C76:D76"/>
    <mergeCell ref="C39:D39"/>
    <mergeCell ref="C35:D35"/>
    <mergeCell ref="C36:D36"/>
    <mergeCell ref="C72:D72"/>
    <mergeCell ref="C73:D73"/>
  </mergeCells>
  <conditionalFormatting sqref="E67">
    <cfRule type="cellIs" priority="3" dxfId="140" operator="greaterThan" stopIfTrue="1">
      <formula>$E$69*0.1</formula>
    </cfRule>
  </conditionalFormatting>
  <conditionalFormatting sqref="E30">
    <cfRule type="cellIs" priority="4" dxfId="140" operator="greaterThan" stopIfTrue="1">
      <formula>$E$32*0.1</formula>
    </cfRule>
  </conditionalFormatting>
  <conditionalFormatting sqref="E35">
    <cfRule type="cellIs" priority="5" dxfId="140" operator="greaterThan" stopIfTrue="1">
      <formula>$E$32/0.95-$E$32</formula>
    </cfRule>
  </conditionalFormatting>
  <conditionalFormatting sqref="E72">
    <cfRule type="cellIs" priority="6" dxfId="140" operator="greaterThan" stopIfTrue="1">
      <formula>$E$69/0.95-$E$69</formula>
    </cfRule>
  </conditionalFormatting>
  <conditionalFormatting sqref="C67">
    <cfRule type="cellIs" priority="7" dxfId="1" operator="greaterThan" stopIfTrue="1">
      <formula>$C$69*0.1</formula>
    </cfRule>
  </conditionalFormatting>
  <conditionalFormatting sqref="D67">
    <cfRule type="cellIs" priority="8" dxfId="1" operator="greaterThan" stopIfTrue="1">
      <formula>$D$69*0.1</formula>
    </cfRule>
  </conditionalFormatting>
  <conditionalFormatting sqref="C69">
    <cfRule type="cellIs" priority="9" dxfId="1" operator="greaterThan" stopIfTrue="1">
      <formula>$C$71</formula>
    </cfRule>
  </conditionalFormatting>
  <conditionalFormatting sqref="D69">
    <cfRule type="cellIs" priority="10" dxfId="1" operator="greaterThan" stopIfTrue="1">
      <formula>$D$71</formula>
    </cfRule>
  </conditionalFormatting>
  <conditionalFormatting sqref="C70 C33">
    <cfRule type="cellIs" priority="11" dxfId="1" operator="lessThan" stopIfTrue="1">
      <formula>0</formula>
    </cfRule>
  </conditionalFormatting>
  <conditionalFormatting sqref="D55">
    <cfRule type="cellIs" priority="12" dxfId="1" operator="greaterThan" stopIfTrue="1">
      <formula>$D$57*0.1</formula>
    </cfRule>
  </conditionalFormatting>
  <conditionalFormatting sqref="C55">
    <cfRule type="cellIs" priority="13" dxfId="1" operator="greaterThan" stopIfTrue="1">
      <formula>$C$57*0.1</formula>
    </cfRule>
  </conditionalFormatting>
  <conditionalFormatting sqref="D18">
    <cfRule type="cellIs" priority="14" dxfId="1" operator="greaterThan" stopIfTrue="1">
      <formula>$D$20*0.1</formula>
    </cfRule>
  </conditionalFormatting>
  <conditionalFormatting sqref="C18">
    <cfRule type="cellIs" priority="15" dxfId="1" operator="greaterThan" stopIfTrue="1">
      <formula>$C$20*0.1</formula>
    </cfRule>
  </conditionalFormatting>
  <conditionalFormatting sqref="D30">
    <cfRule type="cellIs" priority="16" dxfId="1" operator="greaterThan" stopIfTrue="1">
      <formula>$D$32*0.1</formula>
    </cfRule>
  </conditionalFormatting>
  <conditionalFormatting sqref="C30">
    <cfRule type="cellIs" priority="17" dxfId="1" operator="greaterThan" stopIfTrue="1">
      <formula>$C$32*0.1</formula>
    </cfRule>
  </conditionalFormatting>
  <conditionalFormatting sqref="D32">
    <cfRule type="cellIs" priority="18" dxfId="1" operator="greaterThan" stopIfTrue="1">
      <formula>$D$34</formula>
    </cfRule>
  </conditionalFormatting>
  <conditionalFormatting sqref="C32">
    <cfRule type="cellIs" priority="19" dxfId="1" operator="greaterThan" stopIfTrue="1">
      <formula>$C$34</formula>
    </cfRule>
  </conditionalFormatting>
  <conditionalFormatting sqref="E55">
    <cfRule type="cellIs" priority="20" dxfId="140" operator="greaterThan" stopIfTrue="1">
      <formula>$E$57*0.1+E76</formula>
    </cfRule>
  </conditionalFormatting>
  <conditionalFormatting sqref="E18">
    <cfRule type="cellIs" priority="21" dxfId="140" operator="greaterThan" stopIfTrue="1">
      <formula>$E$20*0.1+E39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9" sqref="C9"/>
    </sheetView>
  </sheetViews>
  <sheetFormatPr defaultColWidth="8.796875" defaultRowHeight="15"/>
  <cols>
    <col min="1" max="1" width="2.3984375" style="24" customWidth="1"/>
    <col min="2" max="2" width="31.09765625" style="24" customWidth="1"/>
    <col min="3" max="4" width="15.796875" style="24" customWidth="1"/>
    <col min="5" max="5" width="16.09765625" style="24" customWidth="1"/>
    <col min="6" max="16384" width="8.8984375" style="24" customWidth="1"/>
  </cols>
  <sheetData>
    <row r="1" spans="2:5" ht="15.75">
      <c r="B1" s="186" t="str">
        <f>(inputPrYr!D3)</f>
        <v>City of Vining</v>
      </c>
      <c r="C1" s="28"/>
      <c r="D1" s="28"/>
      <c r="E1" s="141">
        <f>inputPrYr!$C$10</f>
        <v>2012</v>
      </c>
    </row>
    <row r="2" spans="2:5" ht="15.75">
      <c r="B2" s="28"/>
      <c r="C2" s="28"/>
      <c r="D2" s="28"/>
      <c r="E2" s="202"/>
    </row>
    <row r="3" spans="2:5" ht="15.75">
      <c r="B3" s="46" t="s">
        <v>106</v>
      </c>
      <c r="C3" s="152"/>
      <c r="D3" s="152"/>
      <c r="E3" s="143"/>
    </row>
    <row r="4" spans="2:5" ht="15.75">
      <c r="B4" s="34" t="s">
        <v>49</v>
      </c>
      <c r="C4" s="578" t="s">
        <v>69</v>
      </c>
      <c r="D4" s="579" t="s">
        <v>192</v>
      </c>
      <c r="E4" s="351" t="s">
        <v>193</v>
      </c>
    </row>
    <row r="5" spans="2:5" ht="15.75">
      <c r="B5" s="560">
        <f>(inputPrYr!B28)</f>
        <v>0</v>
      </c>
      <c r="C5" s="407">
        <f>inputPrYr!$C$10-2</f>
        <v>2010</v>
      </c>
      <c r="D5" s="407">
        <f>inputPrYr!$C$10-1</f>
        <v>2011</v>
      </c>
      <c r="E5" s="217">
        <f>inputPrYr!$C$10</f>
        <v>2012</v>
      </c>
    </row>
    <row r="6" spans="2:5" ht="15.75">
      <c r="B6" s="113" t="s">
        <v>163</v>
      </c>
      <c r="C6" s="415"/>
      <c r="D6" s="416">
        <f>C33</f>
        <v>0</v>
      </c>
      <c r="E6" s="167">
        <f>D33</f>
        <v>0</v>
      </c>
    </row>
    <row r="7" spans="2:5" ht="15.75">
      <c r="B7" s="274" t="s">
        <v>165</v>
      </c>
      <c r="C7" s="416"/>
      <c r="D7" s="416"/>
      <c r="E7" s="167"/>
    </row>
    <row r="8" spans="2:5" ht="15.75">
      <c r="B8" s="113" t="s">
        <v>50</v>
      </c>
      <c r="C8" s="415"/>
      <c r="D8" s="416">
        <f>inputPrYr!E28</f>
        <v>0</v>
      </c>
      <c r="E8" s="275" t="s">
        <v>37</v>
      </c>
    </row>
    <row r="9" spans="2:5" ht="15.75">
      <c r="B9" s="113" t="s">
        <v>51</v>
      </c>
      <c r="C9" s="415"/>
      <c r="D9" s="415"/>
      <c r="E9" s="52"/>
    </row>
    <row r="10" spans="2:5" ht="15.75">
      <c r="B10" s="113" t="s">
        <v>52</v>
      </c>
      <c r="C10" s="415"/>
      <c r="D10" s="415"/>
      <c r="E10" s="167" t="str">
        <f>Mvalloc!C13</f>
        <v>  </v>
      </c>
    </row>
    <row r="11" spans="2:5" ht="15.75">
      <c r="B11" s="113" t="s">
        <v>53</v>
      </c>
      <c r="C11" s="415"/>
      <c r="D11" s="415"/>
      <c r="E11" s="167" t="str">
        <f>Mvalloc!D13</f>
        <v>  </v>
      </c>
    </row>
    <row r="12" spans="2:5" ht="15.75">
      <c r="B12" s="169" t="s">
        <v>102</v>
      </c>
      <c r="C12" s="415"/>
      <c r="D12" s="415"/>
      <c r="E12" s="167" t="str">
        <f>Mvalloc!E13</f>
        <v>  </v>
      </c>
    </row>
    <row r="13" spans="2:5" ht="15.75">
      <c r="B13" s="278" t="s">
        <v>11</v>
      </c>
      <c r="C13" s="415"/>
      <c r="D13" s="415"/>
      <c r="E13" s="277" t="str">
        <f>Mvalloc!$F13</f>
        <v>  </v>
      </c>
    </row>
    <row r="14" spans="2:5" ht="15.75">
      <c r="B14" s="287"/>
      <c r="C14" s="415"/>
      <c r="D14" s="415"/>
      <c r="E14" s="52"/>
    </row>
    <row r="15" spans="2:5" ht="15.75">
      <c r="B15" s="287"/>
      <c r="C15" s="415"/>
      <c r="D15" s="415"/>
      <c r="E15" s="52"/>
    </row>
    <row r="16" spans="2:5" ht="15.75">
      <c r="B16" s="287"/>
      <c r="C16" s="415"/>
      <c r="D16" s="415"/>
      <c r="E16" s="52"/>
    </row>
    <row r="17" spans="2:5" ht="15.75">
      <c r="B17" s="308" t="s">
        <v>56</v>
      </c>
      <c r="C17" s="415"/>
      <c r="D17" s="415"/>
      <c r="E17" s="52"/>
    </row>
    <row r="18" spans="2:5" ht="15.75">
      <c r="B18" s="169" t="s">
        <v>142</v>
      </c>
      <c r="C18" s="415"/>
      <c r="D18" s="415"/>
      <c r="E18" s="52"/>
    </row>
    <row r="19" spans="2:5" ht="15.75">
      <c r="B19" s="169" t="s">
        <v>684</v>
      </c>
      <c r="C19" s="411">
        <f>IF(C20*0.1&lt;C18,"Exceed 10% Rule","")</f>
      </c>
      <c r="D19" s="411">
        <f>IF(D20*0.1&lt;D18,"Exceed 10% Rule","")</f>
      </c>
      <c r="E19" s="283">
        <f>IF(E20*0.1+E39&lt;E18,"Exceed 10% Rule","")</f>
      </c>
    </row>
    <row r="20" spans="2:5" ht="15.75">
      <c r="B20" s="284" t="s">
        <v>57</v>
      </c>
      <c r="C20" s="418">
        <f>SUM(C8:C18)</f>
        <v>0</v>
      </c>
      <c r="D20" s="418">
        <f>SUM(D8:D18)</f>
        <v>0</v>
      </c>
      <c r="E20" s="311">
        <f>SUM(E8:E18)</f>
        <v>0</v>
      </c>
    </row>
    <row r="21" spans="2:5" ht="15.75">
      <c r="B21" s="284" t="s">
        <v>58</v>
      </c>
      <c r="C21" s="418">
        <f>C6+C20</f>
        <v>0</v>
      </c>
      <c r="D21" s="418">
        <f>D6+D20</f>
        <v>0</v>
      </c>
      <c r="E21" s="311">
        <f>E6+E20</f>
        <v>0</v>
      </c>
    </row>
    <row r="22" spans="2:5" ht="15.75">
      <c r="B22" s="113" t="s">
        <v>59</v>
      </c>
      <c r="C22" s="416"/>
      <c r="D22" s="416"/>
      <c r="E22" s="167"/>
    </row>
    <row r="23" spans="2:5" ht="15.75">
      <c r="B23" s="287"/>
      <c r="C23" s="415"/>
      <c r="D23" s="415"/>
      <c r="E23" s="52"/>
    </row>
    <row r="24" spans="2:5" ht="15.75">
      <c r="B24" s="287"/>
      <c r="C24" s="415"/>
      <c r="D24" s="415"/>
      <c r="E24" s="52"/>
    </row>
    <row r="25" spans="2:5" ht="15.75">
      <c r="B25" s="287"/>
      <c r="C25" s="415"/>
      <c r="D25" s="415"/>
      <c r="E25" s="52"/>
    </row>
    <row r="26" spans="2:5" ht="15.75">
      <c r="B26" s="287"/>
      <c r="C26" s="415"/>
      <c r="D26" s="415"/>
      <c r="E26" s="52"/>
    </row>
    <row r="27" spans="2:5" ht="15.75">
      <c r="B27" s="287"/>
      <c r="C27" s="415"/>
      <c r="D27" s="415"/>
      <c r="E27" s="52"/>
    </row>
    <row r="28" spans="2:5" ht="15.75">
      <c r="B28" s="287"/>
      <c r="C28" s="415"/>
      <c r="D28" s="415"/>
      <c r="E28" s="52"/>
    </row>
    <row r="29" spans="2:5" ht="15.75">
      <c r="B29" s="169" t="s">
        <v>286</v>
      </c>
      <c r="C29" s="415"/>
      <c r="D29" s="415"/>
      <c r="E29" s="59">
        <f>nhood!E12</f>
      </c>
    </row>
    <row r="30" spans="2:5" ht="15.75">
      <c r="B30" s="169" t="s">
        <v>142</v>
      </c>
      <c r="C30" s="415"/>
      <c r="D30" s="415"/>
      <c r="E30" s="52"/>
    </row>
    <row r="31" spans="2:5" ht="15.75">
      <c r="B31" s="169" t="s">
        <v>685</v>
      </c>
      <c r="C31" s="411">
        <f>IF(C32*0.1&lt;C30,"Exceed 10% Rule","")</f>
      </c>
      <c r="D31" s="411">
        <f>IF(D32*0.1&lt;D30,"Exceed 10% Rule","")</f>
      </c>
      <c r="E31" s="283">
        <f>IF(E32*0.1&lt;E30,"Exceed 10% Rule","")</f>
      </c>
    </row>
    <row r="32" spans="2:5" ht="15.75">
      <c r="B32" s="284" t="s">
        <v>60</v>
      </c>
      <c r="C32" s="418">
        <f>SUM(C23:C30)</f>
        <v>0</v>
      </c>
      <c r="D32" s="418">
        <f>SUM(D23:D30)</f>
        <v>0</v>
      </c>
      <c r="E32" s="311">
        <f>SUM(E23:E30)</f>
        <v>0</v>
      </c>
    </row>
    <row r="33" spans="2:5" ht="15.75">
      <c r="B33" s="113" t="s">
        <v>164</v>
      </c>
      <c r="C33" s="419">
        <f>C21-C32</f>
        <v>0</v>
      </c>
      <c r="D33" s="419">
        <f>D21-D32</f>
        <v>0</v>
      </c>
      <c r="E33" s="275" t="s">
        <v>37</v>
      </c>
    </row>
    <row r="34" spans="2:6" ht="15.75">
      <c r="B34" s="195" t="str">
        <f>CONCATENATE("",E1-2,"/",E1-1," Budget Authority Amount:")</f>
        <v>2010/2011 Budget Authority Amount:</v>
      </c>
      <c r="C34" s="206">
        <f>inputOth!B82</f>
        <v>0</v>
      </c>
      <c r="D34" s="206">
        <f>inputPrYr!D28</f>
        <v>0</v>
      </c>
      <c r="E34" s="275" t="s">
        <v>37</v>
      </c>
      <c r="F34" s="289"/>
    </row>
    <row r="35" spans="2:6" ht="15.75">
      <c r="B35" s="195"/>
      <c r="C35" s="677" t="s">
        <v>772</v>
      </c>
      <c r="D35" s="678"/>
      <c r="E35" s="52"/>
      <c r="F35" s="289">
        <f>IF(E32/0.95-E32&lt;E35,"Exceeds 5%","")</f>
      </c>
    </row>
    <row r="36" spans="2:5" ht="15.75">
      <c r="B36" s="505" t="str">
        <f>CONCATENATE(C88,"     ",D88)</f>
        <v>     </v>
      </c>
      <c r="C36" s="679" t="s">
        <v>773</v>
      </c>
      <c r="D36" s="680"/>
      <c r="E36" s="167">
        <f>E32+E35</f>
        <v>0</v>
      </c>
    </row>
    <row r="37" spans="2:5" ht="15.75">
      <c r="B37" s="505" t="str">
        <f>CONCATENATE(C89,"     ",D89)</f>
        <v>     </v>
      </c>
      <c r="C37" s="290"/>
      <c r="D37" s="202" t="s">
        <v>61</v>
      </c>
      <c r="E37" s="59">
        <f>IF(E36-E21&gt;0,E36-E21,0)</f>
        <v>0</v>
      </c>
    </row>
    <row r="38" spans="2:5" ht="15.75">
      <c r="B38" s="202"/>
      <c r="C38" s="487" t="s">
        <v>774</v>
      </c>
      <c r="D38" s="421">
        <f>inputOth!$E$63</f>
        <v>0</v>
      </c>
      <c r="E38" s="167">
        <f>ROUND(IF(D38&gt;0,(E37*D38),0),0)</f>
        <v>0</v>
      </c>
    </row>
    <row r="39" spans="2:5" ht="15.75">
      <c r="B39" s="28"/>
      <c r="C39" s="675" t="str">
        <f>CONCATENATE("Amount of  ",$E$1-1," Ad Valorem Tax")</f>
        <v>Amount of  2011 Ad Valorem Tax</v>
      </c>
      <c r="D39" s="676"/>
      <c r="E39" s="294">
        <f>E37+E38</f>
        <v>0</v>
      </c>
    </row>
    <row r="40" spans="2:5" ht="15.75">
      <c r="B40" s="34" t="s">
        <v>49</v>
      </c>
      <c r="C40" s="152"/>
      <c r="D40" s="152"/>
      <c r="E40" s="152"/>
    </row>
    <row r="41" spans="2:5" ht="15.75">
      <c r="B41" s="28"/>
      <c r="C41" s="578" t="s">
        <v>69</v>
      </c>
      <c r="D41" s="579" t="s">
        <v>192</v>
      </c>
      <c r="E41" s="351" t="s">
        <v>193</v>
      </c>
    </row>
    <row r="42" spans="2:5" ht="15.75">
      <c r="B42" s="560">
        <f>(inputPrYr!B29)</f>
        <v>0</v>
      </c>
      <c r="C42" s="407">
        <f>inputPrYr!$C$10-2</f>
        <v>2010</v>
      </c>
      <c r="D42" s="407">
        <f>inputPrYr!$C$10-1</f>
        <v>2011</v>
      </c>
      <c r="E42" s="217">
        <f>inputPrYr!$C$10</f>
        <v>2012</v>
      </c>
    </row>
    <row r="43" spans="2:5" ht="15.75">
      <c r="B43" s="113" t="s">
        <v>163</v>
      </c>
      <c r="C43" s="415"/>
      <c r="D43" s="416">
        <f>C70</f>
        <v>0</v>
      </c>
      <c r="E43" s="167">
        <f>D70</f>
        <v>0</v>
      </c>
    </row>
    <row r="44" spans="2:5" ht="15.75">
      <c r="B44" s="274" t="s">
        <v>165</v>
      </c>
      <c r="C44" s="416"/>
      <c r="D44" s="416"/>
      <c r="E44" s="167"/>
    </row>
    <row r="45" spans="2:5" ht="15.75">
      <c r="B45" s="113" t="s">
        <v>50</v>
      </c>
      <c r="C45" s="415"/>
      <c r="D45" s="416">
        <f>inputPrYr!E29</f>
        <v>0</v>
      </c>
      <c r="E45" s="275" t="s">
        <v>37</v>
      </c>
    </row>
    <row r="46" spans="2:5" ht="15.75">
      <c r="B46" s="113" t="s">
        <v>51</v>
      </c>
      <c r="C46" s="415"/>
      <c r="D46" s="415"/>
      <c r="E46" s="52"/>
    </row>
    <row r="47" spans="2:5" ht="15.75">
      <c r="B47" s="113" t="s">
        <v>52</v>
      </c>
      <c r="C47" s="415"/>
      <c r="D47" s="415"/>
      <c r="E47" s="167" t="e">
        <f>Mvalloc!#REF!</f>
        <v>#REF!</v>
      </c>
    </row>
    <row r="48" spans="2:5" ht="15.75">
      <c r="B48" s="113" t="s">
        <v>53</v>
      </c>
      <c r="C48" s="415"/>
      <c r="D48" s="415"/>
      <c r="E48" s="167" t="e">
        <f>Mvalloc!#REF!</f>
        <v>#REF!</v>
      </c>
    </row>
    <row r="49" spans="2:5" ht="15.75">
      <c r="B49" s="169" t="s">
        <v>102</v>
      </c>
      <c r="C49" s="415"/>
      <c r="D49" s="415"/>
      <c r="E49" s="167" t="e">
        <f>Mvalloc!#REF!</f>
        <v>#REF!</v>
      </c>
    </row>
    <row r="50" spans="2:5" ht="15.75">
      <c r="B50" s="278" t="s">
        <v>11</v>
      </c>
      <c r="C50" s="415"/>
      <c r="D50" s="415"/>
      <c r="E50" s="277" t="e">
        <f>Mvalloc!#REF!</f>
        <v>#REF!</v>
      </c>
    </row>
    <row r="51" spans="2:5" ht="15.75">
      <c r="B51" s="287"/>
      <c r="C51" s="415"/>
      <c r="D51" s="415"/>
      <c r="E51" s="52"/>
    </row>
    <row r="52" spans="2:5" ht="15.75">
      <c r="B52" s="287"/>
      <c r="C52" s="415"/>
      <c r="D52" s="415"/>
      <c r="E52" s="52"/>
    </row>
    <row r="53" spans="2:5" ht="15.75">
      <c r="B53" s="287"/>
      <c r="C53" s="415"/>
      <c r="D53" s="415"/>
      <c r="E53" s="52"/>
    </row>
    <row r="54" spans="2:5" ht="15.75">
      <c r="B54" s="308" t="s">
        <v>56</v>
      </c>
      <c r="C54" s="415"/>
      <c r="D54" s="415"/>
      <c r="E54" s="52"/>
    </row>
    <row r="55" spans="2:5" ht="15.75">
      <c r="B55" s="169" t="s">
        <v>142</v>
      </c>
      <c r="C55" s="415"/>
      <c r="D55" s="415"/>
      <c r="E55" s="52"/>
    </row>
    <row r="56" spans="2:5" ht="15.75">
      <c r="B56" s="169" t="s">
        <v>287</v>
      </c>
      <c r="C56" s="411">
        <f>IF(C57*0.1&lt;C55,"Exceed 10% Rule","")</f>
      </c>
      <c r="D56" s="411">
        <f>IF(D57*0.1&lt;D55,"Exceed 10% Rule","")</f>
      </c>
      <c r="E56" s="283" t="e">
        <f>IF(E57*0.1+E76&lt;E55,"Exceed 10% Rule","")</f>
        <v>#REF!</v>
      </c>
    </row>
    <row r="57" spans="2:5" ht="15.75">
      <c r="B57" s="284" t="s">
        <v>57</v>
      </c>
      <c r="C57" s="418">
        <f>SUM(C45:C55)</f>
        <v>0</v>
      </c>
      <c r="D57" s="418">
        <f>SUM(D45:D55)</f>
        <v>0</v>
      </c>
      <c r="E57" s="311" t="e">
        <f>SUM(E45:E55)</f>
        <v>#REF!</v>
      </c>
    </row>
    <row r="58" spans="2:5" ht="15.75">
      <c r="B58" s="284" t="s">
        <v>58</v>
      </c>
      <c r="C58" s="418">
        <f>C43+C57</f>
        <v>0</v>
      </c>
      <c r="D58" s="418">
        <f>D43+D57</f>
        <v>0</v>
      </c>
      <c r="E58" s="311" t="e">
        <f>E43+E57</f>
        <v>#REF!</v>
      </c>
    </row>
    <row r="59" spans="2:5" ht="15.75">
      <c r="B59" s="113" t="s">
        <v>59</v>
      </c>
      <c r="C59" s="416"/>
      <c r="D59" s="416"/>
      <c r="E59" s="167"/>
    </row>
    <row r="60" spans="2:5" ht="15.75">
      <c r="B60" s="287"/>
      <c r="C60" s="415"/>
      <c r="D60" s="415"/>
      <c r="E60" s="52"/>
    </row>
    <row r="61" spans="2:5" ht="15.75">
      <c r="B61" s="287"/>
      <c r="C61" s="415"/>
      <c r="D61" s="415"/>
      <c r="E61" s="52"/>
    </row>
    <row r="62" spans="2:5" ht="15.75">
      <c r="B62" s="287"/>
      <c r="C62" s="415"/>
      <c r="D62" s="415"/>
      <c r="E62" s="52"/>
    </row>
    <row r="63" spans="2:5" ht="15.75">
      <c r="B63" s="287"/>
      <c r="C63" s="415"/>
      <c r="D63" s="415"/>
      <c r="E63" s="52"/>
    </row>
    <row r="64" spans="2:5" ht="15.75">
      <c r="B64" s="287"/>
      <c r="C64" s="415"/>
      <c r="D64" s="415"/>
      <c r="E64" s="52"/>
    </row>
    <row r="65" spans="2:5" ht="15.75">
      <c r="B65" s="287"/>
      <c r="C65" s="415"/>
      <c r="D65" s="415"/>
      <c r="E65" s="52"/>
    </row>
    <row r="66" spans="2:5" ht="15.75">
      <c r="B66" s="169" t="s">
        <v>286</v>
      </c>
      <c r="C66" s="415"/>
      <c r="D66" s="415"/>
      <c r="E66" s="59">
        <f>nhood!E13</f>
      </c>
    </row>
    <row r="67" spans="2:5" ht="15.75">
      <c r="B67" s="169" t="s">
        <v>142</v>
      </c>
      <c r="C67" s="415"/>
      <c r="D67" s="415"/>
      <c r="E67" s="52"/>
    </row>
    <row r="68" spans="2:5" ht="15.75">
      <c r="B68" s="169" t="s">
        <v>288</v>
      </c>
      <c r="C68" s="411">
        <f>IF(C69*0.1&lt;C67,"Exceed 10% Rule","")</f>
      </c>
      <c r="D68" s="411">
        <f>IF(D69*0.1&lt;D67,"Exceed 10% Rule","")</f>
      </c>
      <c r="E68" s="283">
        <f>IF(E69*0.1&lt;E67,"Exceed 10% Rule","")</f>
      </c>
    </row>
    <row r="69" spans="2:5" ht="15.75">
      <c r="B69" s="284" t="s">
        <v>60</v>
      </c>
      <c r="C69" s="418">
        <f>SUM(C60:C67)</f>
        <v>0</v>
      </c>
      <c r="D69" s="418">
        <f>SUM(D60:D67)</f>
        <v>0</v>
      </c>
      <c r="E69" s="311">
        <f>SUM(E60:E67)</f>
        <v>0</v>
      </c>
    </row>
    <row r="70" spans="2:5" ht="15.75">
      <c r="B70" s="113" t="s">
        <v>164</v>
      </c>
      <c r="C70" s="419">
        <f>C58-C69</f>
        <v>0</v>
      </c>
      <c r="D70" s="419">
        <f>D58-D69</f>
        <v>0</v>
      </c>
      <c r="E70" s="275" t="s">
        <v>37</v>
      </c>
    </row>
    <row r="71" spans="2:6" ht="15.75">
      <c r="B71" s="195" t="str">
        <f>CONCATENATE("",E1-2,"/",E1-1," Budget Authority Amount:")</f>
        <v>2010/2011 Budget Authority Amount:</v>
      </c>
      <c r="C71" s="206">
        <f>inputOth!B83</f>
        <v>0</v>
      </c>
      <c r="D71" s="206">
        <f>inputPrYr!D29</f>
        <v>0</v>
      </c>
      <c r="E71" s="275" t="s">
        <v>37</v>
      </c>
      <c r="F71" s="289"/>
    </row>
    <row r="72" spans="2:6" ht="15.75">
      <c r="B72" s="195"/>
      <c r="C72" s="677" t="s">
        <v>772</v>
      </c>
      <c r="D72" s="678"/>
      <c r="E72" s="52"/>
      <c r="F72" s="289">
        <f>IF(E69/0.95-E69&lt;E72,"Exceeds 5%","")</f>
      </c>
    </row>
    <row r="73" spans="2:5" ht="15.75">
      <c r="B73" s="505" t="str">
        <f>CONCATENATE(C90,"     ",D90)</f>
        <v>     </v>
      </c>
      <c r="C73" s="679" t="s">
        <v>773</v>
      </c>
      <c r="D73" s="680"/>
      <c r="E73" s="167">
        <f>E69+E72</f>
        <v>0</v>
      </c>
    </row>
    <row r="74" spans="2:5" ht="15.75">
      <c r="B74" s="505" t="str">
        <f>CONCATENATE(C91,"     ",D91)</f>
        <v>     </v>
      </c>
      <c r="C74" s="290"/>
      <c r="D74" s="202" t="s">
        <v>61</v>
      </c>
      <c r="E74" s="59" t="e">
        <f>IF(E73-E58&gt;0,E73-E58,0)</f>
        <v>#REF!</v>
      </c>
    </row>
    <row r="75" spans="2:5" ht="15.75">
      <c r="B75" s="202"/>
      <c r="C75" s="487" t="s">
        <v>774</v>
      </c>
      <c r="D75" s="421">
        <f>inputOth!$E$63</f>
        <v>0</v>
      </c>
      <c r="E75" s="167">
        <f>ROUND(IF(D75&gt;0,(E74*D75),0),0)</f>
        <v>0</v>
      </c>
    </row>
    <row r="76" spans="2:5" ht="15.75">
      <c r="B76" s="28"/>
      <c r="C76" s="675" t="str">
        <f>CONCATENATE("Amount of  ",$E$1-1," Ad Valorem Tax")</f>
        <v>Amount of  2011 Ad Valorem Tax</v>
      </c>
      <c r="D76" s="676"/>
      <c r="E76" s="294" t="e">
        <f>E74+E75</f>
        <v>#REF!</v>
      </c>
    </row>
    <row r="77" spans="2:5" ht="15.75">
      <c r="B77" s="28"/>
      <c r="C77" s="28"/>
      <c r="D77" s="28"/>
      <c r="E77" s="28"/>
    </row>
    <row r="78" spans="2:5" ht="15.75">
      <c r="B78" s="195" t="s">
        <v>63</v>
      </c>
      <c r="C78" s="295"/>
      <c r="D78" s="28"/>
      <c r="E78" s="28"/>
    </row>
    <row r="80" ht="15.75">
      <c r="B80" s="88"/>
    </row>
    <row r="88" spans="3:4" ht="15.75" hidden="1">
      <c r="C88" s="24">
        <f>IF(C32&gt;C34,"See Tab A","")</f>
      </c>
      <c r="D88" s="24">
        <f>IF(D32&gt;D34,"See Tab C","")</f>
      </c>
    </row>
    <row r="89" spans="3:4" ht="15.75" hidden="1">
      <c r="C89" s="24">
        <f>IF(C33&lt;0,"See Tab B","")</f>
      </c>
      <c r="D89" s="24">
        <f>IF(D33&lt;0,"See Tab D","")</f>
      </c>
    </row>
    <row r="90" spans="3:4" ht="15.75" hidden="1">
      <c r="C90" s="24">
        <f>IF(C69&gt;C71,"See Tab A","")</f>
      </c>
      <c r="D90" s="24">
        <f>IF(D69&gt;D71,"See Tab C","")</f>
      </c>
    </row>
    <row r="91" spans="3:4" ht="15.75" hidden="1">
      <c r="C91" s="24">
        <f>IF(C70&lt;0,"See Tab B","")</f>
      </c>
      <c r="D91" s="24">
        <f>IF(D70&lt;0,"See Tab D","")</f>
      </c>
    </row>
  </sheetData>
  <sheetProtection sheet="1"/>
  <mergeCells count="6">
    <mergeCell ref="C39:D39"/>
    <mergeCell ref="C76:D76"/>
    <mergeCell ref="C35:D35"/>
    <mergeCell ref="C36:D36"/>
    <mergeCell ref="C72:D72"/>
    <mergeCell ref="C73:D73"/>
  </mergeCells>
  <conditionalFormatting sqref="E67">
    <cfRule type="cellIs" priority="3" dxfId="140" operator="greaterThan" stopIfTrue="1">
      <formula>$E$69*0.1</formula>
    </cfRule>
  </conditionalFormatting>
  <conditionalFormatting sqref="E30">
    <cfRule type="cellIs" priority="4" dxfId="140" operator="greaterThan" stopIfTrue="1">
      <formula>$E$32*0.1</formula>
    </cfRule>
  </conditionalFormatting>
  <conditionalFormatting sqref="E72">
    <cfRule type="cellIs" priority="5" dxfId="140" operator="greaterThan" stopIfTrue="1">
      <formula>$E$69/0.95-$E$69</formula>
    </cfRule>
  </conditionalFormatting>
  <conditionalFormatting sqref="E35">
    <cfRule type="cellIs" priority="6" dxfId="140" operator="greaterThan" stopIfTrue="1">
      <formula>$E$32/0.95-$E$32</formula>
    </cfRule>
  </conditionalFormatting>
  <conditionalFormatting sqref="D69">
    <cfRule type="cellIs" priority="7" dxfId="1" operator="greaterThan" stopIfTrue="1">
      <formula>$D$71</formula>
    </cfRule>
  </conditionalFormatting>
  <conditionalFormatting sqref="C69">
    <cfRule type="cellIs" priority="8" dxfId="1" operator="greaterThan" stopIfTrue="1">
      <formula>$C$71</formula>
    </cfRule>
  </conditionalFormatting>
  <conditionalFormatting sqref="D67">
    <cfRule type="cellIs" priority="9" dxfId="1" operator="greaterThan" stopIfTrue="1">
      <formula>$D$69*0.1</formula>
    </cfRule>
  </conditionalFormatting>
  <conditionalFormatting sqref="C67">
    <cfRule type="cellIs" priority="10" dxfId="1" operator="greaterThan" stopIfTrue="1">
      <formula>$C$69*0.1</formula>
    </cfRule>
  </conditionalFormatting>
  <conditionalFormatting sqref="D30">
    <cfRule type="cellIs" priority="11" dxfId="1" operator="greaterThan" stopIfTrue="1">
      <formula>$D$32*0.1</formula>
    </cfRule>
  </conditionalFormatting>
  <conditionalFormatting sqref="C30">
    <cfRule type="cellIs" priority="12" dxfId="1" operator="greaterThan" stopIfTrue="1">
      <formula>$C$32*0.1</formula>
    </cfRule>
  </conditionalFormatting>
  <conditionalFormatting sqref="D18">
    <cfRule type="cellIs" priority="13" dxfId="1" operator="greaterThan" stopIfTrue="1">
      <formula>$D$20*0.1</formula>
    </cfRule>
  </conditionalFormatting>
  <conditionalFormatting sqref="C18">
    <cfRule type="cellIs" priority="14" dxfId="1" operator="greaterThan" stopIfTrue="1">
      <formula>$C$20*0.1</formula>
    </cfRule>
  </conditionalFormatting>
  <conditionalFormatting sqref="D32">
    <cfRule type="cellIs" priority="15" dxfId="1" operator="greaterThan" stopIfTrue="1">
      <formula>$D$34</formula>
    </cfRule>
  </conditionalFormatting>
  <conditionalFormatting sqref="C32">
    <cfRule type="cellIs" priority="16" dxfId="1" operator="greaterThan" stopIfTrue="1">
      <formula>$C$34</formula>
    </cfRule>
  </conditionalFormatting>
  <conditionalFormatting sqref="C33 C70">
    <cfRule type="cellIs" priority="17" dxfId="1" operator="lessThan" stopIfTrue="1">
      <formula>0</formula>
    </cfRule>
  </conditionalFormatting>
  <conditionalFormatting sqref="D55">
    <cfRule type="cellIs" priority="18" dxfId="1" operator="greaterThan" stopIfTrue="1">
      <formula>$D$57*0.1</formula>
    </cfRule>
  </conditionalFormatting>
  <conditionalFormatting sqref="C55">
    <cfRule type="cellIs" priority="19" dxfId="1" operator="greaterThan" stopIfTrue="1">
      <formula>$C$57*0.1</formula>
    </cfRule>
  </conditionalFormatting>
  <conditionalFormatting sqref="E55">
    <cfRule type="cellIs" priority="20" dxfId="140" operator="greaterThan" stopIfTrue="1">
      <formula>$E$57*0.1+E76</formula>
    </cfRule>
  </conditionalFormatting>
  <conditionalFormatting sqref="E18">
    <cfRule type="cellIs" priority="21" dxfId="140" operator="greaterThan" stopIfTrue="1">
      <formula>$E$20*0.1+E39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58">
      <selection activeCell="E30" sqref="E30"/>
    </sheetView>
  </sheetViews>
  <sheetFormatPr defaultColWidth="8.796875" defaultRowHeight="15"/>
  <cols>
    <col min="1" max="1" width="15.796875" style="24" customWidth="1"/>
    <col min="2" max="2" width="20.796875" style="24" customWidth="1"/>
    <col min="3" max="3" width="9.796875" style="24" customWidth="1"/>
    <col min="4" max="4" width="15.09765625" style="24" customWidth="1"/>
    <col min="5" max="5" width="15.796875" style="24" customWidth="1"/>
    <col min="6" max="16384" width="8.8984375" style="24" customWidth="1"/>
  </cols>
  <sheetData>
    <row r="1" spans="1:5" ht="15.75">
      <c r="A1" s="609" t="s">
        <v>267</v>
      </c>
      <c r="B1" s="610"/>
      <c r="C1" s="610"/>
      <c r="D1" s="610"/>
      <c r="E1" s="610"/>
    </row>
    <row r="2" spans="1:5" ht="15.75">
      <c r="A2" s="25"/>
      <c r="B2" s="26"/>
      <c r="C2" s="26"/>
      <c r="D2" s="23"/>
      <c r="E2" s="26"/>
    </row>
    <row r="3" spans="1:5" ht="15.75">
      <c r="A3" s="27" t="s">
        <v>262</v>
      </c>
      <c r="B3" s="28"/>
      <c r="C3" s="28"/>
      <c r="D3" s="29" t="s">
        <v>850</v>
      </c>
      <c r="E3" s="30"/>
    </row>
    <row r="4" spans="1:5" ht="15.75">
      <c r="A4" s="27" t="s">
        <v>308</v>
      </c>
      <c r="B4" s="28"/>
      <c r="C4" s="28"/>
      <c r="D4" s="31" t="s">
        <v>851</v>
      </c>
      <c r="E4" s="32"/>
    </row>
    <row r="5" spans="1:5" ht="15.75">
      <c r="A5" s="27" t="s">
        <v>263</v>
      </c>
      <c r="B5" s="28"/>
      <c r="C5" s="28"/>
      <c r="D5" s="33"/>
      <c r="E5" s="28"/>
    </row>
    <row r="6" spans="1:5" ht="15.75">
      <c r="A6" s="27" t="s">
        <v>264</v>
      </c>
      <c r="B6" s="28"/>
      <c r="C6" s="28"/>
      <c r="D6" s="29" t="s">
        <v>852</v>
      </c>
      <c r="E6" s="30"/>
    </row>
    <row r="7" spans="1:5" ht="15.75">
      <c r="A7" s="27" t="s">
        <v>265</v>
      </c>
      <c r="B7" s="28"/>
      <c r="C7" s="28"/>
      <c r="D7" s="31"/>
      <c r="E7" s="32"/>
    </row>
    <row r="8" spans="1:5" ht="15.75">
      <c r="A8" s="27" t="s">
        <v>266</v>
      </c>
      <c r="B8" s="28"/>
      <c r="C8" s="28"/>
      <c r="D8" s="31"/>
      <c r="E8" s="32"/>
    </row>
    <row r="9" spans="1:5" ht="15.75">
      <c r="A9" s="34"/>
      <c r="B9" s="28"/>
      <c r="C9" s="28"/>
      <c r="D9" s="33"/>
      <c r="E9" s="28"/>
    </row>
    <row r="10" spans="1:5" ht="15.75">
      <c r="A10" s="27" t="s">
        <v>190</v>
      </c>
      <c r="B10" s="28"/>
      <c r="C10" s="35">
        <v>2012</v>
      </c>
      <c r="D10" s="33"/>
      <c r="E10" s="36"/>
    </row>
    <row r="11" spans="1:5" ht="15.75">
      <c r="A11" s="28"/>
      <c r="B11" s="28"/>
      <c r="C11" s="28"/>
      <c r="D11" s="28"/>
      <c r="E11" s="28"/>
    </row>
    <row r="12" spans="1:5" ht="15.75">
      <c r="A12" s="37" t="s">
        <v>367</v>
      </c>
      <c r="B12" s="38"/>
      <c r="C12" s="38"/>
      <c r="D12" s="38"/>
      <c r="E12" s="38"/>
    </row>
    <row r="13" spans="1:5" ht="15.75">
      <c r="A13" s="37" t="s">
        <v>366</v>
      </c>
      <c r="B13" s="38"/>
      <c r="C13" s="38"/>
      <c r="D13" s="38"/>
      <c r="E13" s="38"/>
    </row>
    <row r="14" spans="1:5" ht="15.75">
      <c r="A14" s="39"/>
      <c r="B14" s="38"/>
      <c r="C14" s="38"/>
      <c r="D14" s="38"/>
      <c r="E14" s="38"/>
    </row>
    <row r="15" spans="1:5" ht="15.75">
      <c r="A15" s="607" t="s">
        <v>235</v>
      </c>
      <c r="B15" s="608"/>
      <c r="C15" s="608"/>
      <c r="D15" s="608"/>
      <c r="E15" s="608"/>
    </row>
    <row r="16" spans="1:5" ht="15.75">
      <c r="A16" s="39"/>
      <c r="B16" s="38"/>
      <c r="C16" s="38"/>
      <c r="D16" s="38"/>
      <c r="E16" s="38"/>
    </row>
    <row r="17" spans="1:5" ht="15.75">
      <c r="A17" s="41" t="s">
        <v>236</v>
      </c>
      <c r="B17" s="42"/>
      <c r="C17" s="28"/>
      <c r="D17" s="28"/>
      <c r="E17" s="28"/>
    </row>
    <row r="18" spans="1:5" ht="15.75">
      <c r="A18" s="43" t="str">
        <f>CONCATENATE("the ",C10-1," Budget, Certificate Page:")</f>
        <v>the 2011 Budget, Certificate Page:</v>
      </c>
      <c r="B18" s="44"/>
      <c r="C18" s="45"/>
      <c r="D18" s="28"/>
      <c r="E18" s="28"/>
    </row>
    <row r="19" spans="1:5" ht="15.75">
      <c r="A19" s="43" t="s">
        <v>369</v>
      </c>
      <c r="B19" s="44"/>
      <c r="C19" s="45"/>
      <c r="D19" s="28"/>
      <c r="E19" s="28"/>
    </row>
    <row r="20" spans="1:5" ht="15.75">
      <c r="A20" s="46"/>
      <c r="B20" s="28"/>
      <c r="C20" s="28"/>
      <c r="D20" s="47">
        <f>$C$10-1</f>
        <v>2011</v>
      </c>
      <c r="E20" s="47">
        <f>$C$10-2</f>
        <v>2010</v>
      </c>
    </row>
    <row r="21" spans="1:5" ht="15.75">
      <c r="A21" s="34" t="s">
        <v>16</v>
      </c>
      <c r="B21" s="28"/>
      <c r="C21" s="48" t="s">
        <v>17</v>
      </c>
      <c r="D21" s="49" t="s">
        <v>368</v>
      </c>
      <c r="E21" s="49" t="s">
        <v>310</v>
      </c>
    </row>
    <row r="22" spans="1:5" ht="15.75">
      <c r="A22" s="28"/>
      <c r="B22" s="50" t="s">
        <v>18</v>
      </c>
      <c r="C22" s="51" t="s">
        <v>166</v>
      </c>
      <c r="D22" s="52">
        <v>26100</v>
      </c>
      <c r="E22" s="52">
        <v>8358</v>
      </c>
    </row>
    <row r="23" spans="1:5" ht="15.75">
      <c r="A23" s="28"/>
      <c r="B23" s="50" t="s">
        <v>339</v>
      </c>
      <c r="C23" s="51" t="s">
        <v>191</v>
      </c>
      <c r="D23" s="52"/>
      <c r="E23" s="52"/>
    </row>
    <row r="24" spans="1:5" ht="15.75">
      <c r="A24" s="34" t="s">
        <v>19</v>
      </c>
      <c r="B24" s="28"/>
      <c r="C24" s="28"/>
      <c r="D24" s="53"/>
      <c r="E24" s="53"/>
    </row>
    <row r="25" spans="1:5" ht="15.75">
      <c r="A25" s="28"/>
      <c r="B25" s="54"/>
      <c r="C25" s="424"/>
      <c r="D25" s="52"/>
      <c r="E25" s="52"/>
    </row>
    <row r="26" spans="1:5" ht="15.75">
      <c r="A26" s="28"/>
      <c r="B26" s="55"/>
      <c r="C26" s="425"/>
      <c r="D26" s="52"/>
      <c r="E26" s="52"/>
    </row>
    <row r="27" spans="1:5" ht="15.75">
      <c r="A27" s="28"/>
      <c r="B27" s="55"/>
      <c r="C27" s="425"/>
      <c r="D27" s="52"/>
      <c r="E27" s="52"/>
    </row>
    <row r="28" spans="1:5" ht="15.75">
      <c r="A28" s="28"/>
      <c r="B28" s="55"/>
      <c r="C28" s="425"/>
      <c r="D28" s="52"/>
      <c r="E28" s="52"/>
    </row>
    <row r="29" spans="1:5" ht="15.75">
      <c r="A29" s="28"/>
      <c r="B29" s="55"/>
      <c r="C29" s="425"/>
      <c r="D29" s="554"/>
      <c r="E29" s="52"/>
    </row>
    <row r="30" spans="1:5" ht="15.75">
      <c r="A30" s="56" t="str">
        <f>CONCATENATE("Total Tax Levy Funds for ",C10-1," Budgeted Year")</f>
        <v>Total Tax Levy Funds for 2011 Budgeted Year</v>
      </c>
      <c r="B30" s="57"/>
      <c r="C30" s="57"/>
      <c r="D30" s="58"/>
      <c r="E30" s="59">
        <f>SUM(E22:E29)</f>
        <v>8358</v>
      </c>
    </row>
    <row r="31" spans="1:5" ht="15.75">
      <c r="A31" s="64"/>
      <c r="B31" s="36"/>
      <c r="C31" s="36"/>
      <c r="D31" s="193"/>
      <c r="E31" s="28"/>
    </row>
    <row r="32" spans="1:5" ht="15.75">
      <c r="A32" s="34" t="s">
        <v>20</v>
      </c>
      <c r="B32" s="28"/>
      <c r="C32" s="28"/>
      <c r="D32" s="28"/>
      <c r="E32" s="28"/>
    </row>
    <row r="33" spans="1:5" ht="15.75">
      <c r="A33" s="28"/>
      <c r="B33" s="60" t="s">
        <v>21</v>
      </c>
      <c r="C33" s="36"/>
      <c r="D33" s="61">
        <v>4520</v>
      </c>
      <c r="E33" s="36"/>
    </row>
    <row r="34" spans="1:5" ht="15.75">
      <c r="A34" s="28"/>
      <c r="B34" s="62" t="s">
        <v>853</v>
      </c>
      <c r="C34" s="36"/>
      <c r="D34" s="52">
        <v>6327</v>
      </c>
      <c r="E34" s="36"/>
    </row>
    <row r="35" spans="1:5" ht="15.75">
      <c r="A35" s="28"/>
      <c r="B35" s="62"/>
      <c r="C35" s="36"/>
      <c r="D35" s="52"/>
      <c r="E35" s="36"/>
    </row>
    <row r="36" spans="1:5" ht="15.75">
      <c r="A36" s="28"/>
      <c r="B36" s="62"/>
      <c r="C36" s="36"/>
      <c r="D36" s="52"/>
      <c r="E36" s="36"/>
    </row>
    <row r="37" spans="1:5" ht="15.75">
      <c r="A37" s="28"/>
      <c r="B37" s="62"/>
      <c r="C37" s="36"/>
      <c r="D37" s="52"/>
      <c r="E37" s="36"/>
    </row>
    <row r="38" spans="1:5" ht="15.75">
      <c r="A38" s="28"/>
      <c r="B38" s="62"/>
      <c r="C38" s="36"/>
      <c r="D38" s="52"/>
      <c r="E38" s="36"/>
    </row>
    <row r="39" spans="1:5" ht="15.75">
      <c r="A39" s="28" t="s">
        <v>338</v>
      </c>
      <c r="B39" s="63"/>
      <c r="C39" s="36"/>
      <c r="D39" s="36"/>
      <c r="E39" s="36"/>
    </row>
    <row r="40" spans="1:5" ht="15.75">
      <c r="A40" s="64"/>
      <c r="B40" s="54"/>
      <c r="C40" s="65"/>
      <c r="D40" s="61"/>
      <c r="E40" s="66"/>
    </row>
    <row r="41" spans="1:5" ht="15.75">
      <c r="A41" s="56" t="str">
        <f>CONCATENATE("Total Expenditures for ",C10-1," Budgeted Year")</f>
        <v>Total Expenditures for 2011 Budgeted Year</v>
      </c>
      <c r="B41" s="67"/>
      <c r="C41" s="57"/>
      <c r="D41" s="59">
        <f>SUM(D22:D23,D25:D29,D33:D38,D40)</f>
        <v>36947</v>
      </c>
      <c r="E41" s="66"/>
    </row>
    <row r="42" spans="1:5" ht="15.75">
      <c r="A42" s="64" t="s">
        <v>248</v>
      </c>
      <c r="B42" s="36"/>
      <c r="C42" s="36"/>
      <c r="D42" s="36"/>
      <c r="E42" s="28"/>
    </row>
    <row r="43" spans="1:5" ht="15.75">
      <c r="A43" s="68">
        <v>1</v>
      </c>
      <c r="B43" s="54" t="s">
        <v>854</v>
      </c>
      <c r="C43" s="36"/>
      <c r="D43" s="36"/>
      <c r="E43" s="28"/>
    </row>
    <row r="44" spans="1:5" ht="15.75">
      <c r="A44" s="68">
        <v>2</v>
      </c>
      <c r="B44" s="54"/>
      <c r="C44" s="36"/>
      <c r="D44" s="36"/>
      <c r="E44" s="28"/>
    </row>
    <row r="45" spans="1:5" ht="15.75">
      <c r="A45" s="68">
        <v>3</v>
      </c>
      <c r="B45" s="54"/>
      <c r="C45" s="36"/>
      <c r="D45" s="36"/>
      <c r="E45" s="28"/>
    </row>
    <row r="46" spans="1:5" ht="15.75">
      <c r="A46" s="68">
        <v>4</v>
      </c>
      <c r="B46" s="54"/>
      <c r="C46" s="36"/>
      <c r="D46" s="36"/>
      <c r="E46" s="28"/>
    </row>
    <row r="47" spans="1:5" ht="15.75">
      <c r="A47" s="68">
        <v>5</v>
      </c>
      <c r="B47" s="54"/>
      <c r="C47" s="36"/>
      <c r="D47" s="36"/>
      <c r="E47" s="28"/>
    </row>
    <row r="48" spans="1:5" ht="15.75">
      <c r="A48" s="69"/>
      <c r="B48" s="36"/>
      <c r="C48" s="36"/>
      <c r="D48" s="36"/>
      <c r="E48" s="28"/>
    </row>
    <row r="49" spans="1:5" ht="18" customHeight="1">
      <c r="A49" s="28"/>
      <c r="B49" s="28"/>
      <c r="C49" s="28"/>
      <c r="D49" s="28"/>
      <c r="E49" s="28"/>
    </row>
    <row r="50" spans="1:5" ht="15.75">
      <c r="A50" s="41" t="s">
        <v>236</v>
      </c>
      <c r="B50" s="42"/>
      <c r="C50" s="28"/>
      <c r="D50" s="70" t="str">
        <f>CONCATENATE("",C10-3," Tax Rate")</f>
        <v>2009 Tax Rate</v>
      </c>
      <c r="E50" s="28"/>
    </row>
    <row r="51" spans="1:5" ht="15.75">
      <c r="A51" s="43" t="str">
        <f>CONCATENATE("the ",C10-1," Budget, Budget Summary Page")</f>
        <v>the 2011 Budget, Budget Summary Page</v>
      </c>
      <c r="B51" s="44"/>
      <c r="C51" s="28"/>
      <c r="D51" s="71" t="str">
        <f>CONCATENATE("(",C10-2," Column)")</f>
        <v>(2010 Column)</v>
      </c>
      <c r="E51" s="28"/>
    </row>
    <row r="52" spans="1:5" ht="15.75">
      <c r="A52" s="28"/>
      <c r="B52" s="72" t="str">
        <f>B22</f>
        <v>General</v>
      </c>
      <c r="C52" s="160"/>
      <c r="D52" s="73">
        <v>47.228</v>
      </c>
      <c r="E52" s="28"/>
    </row>
    <row r="53" spans="1:5" ht="15.75">
      <c r="A53" s="28"/>
      <c r="B53" s="72" t="str">
        <f>B23</f>
        <v>Debt Service</v>
      </c>
      <c r="C53" s="36"/>
      <c r="D53" s="73"/>
      <c r="E53" s="28"/>
    </row>
    <row r="54" spans="1:5" ht="15.75">
      <c r="A54" s="28"/>
      <c r="B54" s="72">
        <f>B25</f>
        <v>0</v>
      </c>
      <c r="C54" s="36"/>
      <c r="D54" s="73"/>
      <c r="E54" s="28"/>
    </row>
    <row r="55" spans="1:5" ht="15.75">
      <c r="A55" s="28"/>
      <c r="B55" s="72">
        <f>B26</f>
        <v>0</v>
      </c>
      <c r="C55" s="36"/>
      <c r="D55" s="73"/>
      <c r="E55" s="28"/>
    </row>
    <row r="56" spans="1:5" ht="15.75">
      <c r="A56" s="28"/>
      <c r="B56" s="72">
        <f>B27</f>
        <v>0</v>
      </c>
      <c r="C56" s="36"/>
      <c r="D56" s="73"/>
      <c r="E56" s="28"/>
    </row>
    <row r="57" spans="1:5" ht="15.75">
      <c r="A57" s="28"/>
      <c r="B57" s="72">
        <f>B28</f>
        <v>0</v>
      </c>
      <c r="C57" s="36"/>
      <c r="D57" s="73"/>
      <c r="E57" s="28"/>
    </row>
    <row r="58" spans="1:5" ht="15.75">
      <c r="A58" s="28"/>
      <c r="B58" s="72">
        <f>B29</f>
        <v>0</v>
      </c>
      <c r="C58" s="36"/>
      <c r="D58" s="73"/>
      <c r="E58" s="28"/>
    </row>
    <row r="59" spans="1:5" ht="15.75">
      <c r="A59" s="56" t="s">
        <v>22</v>
      </c>
      <c r="B59" s="57"/>
      <c r="C59" s="74"/>
      <c r="D59" s="75">
        <f>SUM(D52:D58)</f>
        <v>47.228</v>
      </c>
      <c r="E59" s="28"/>
    </row>
    <row r="60" spans="1:5" ht="15.75">
      <c r="A60" s="28"/>
      <c r="B60" s="28"/>
      <c r="C60" s="28"/>
      <c r="D60" s="28"/>
      <c r="E60" s="28"/>
    </row>
    <row r="61" spans="1:5" ht="15.75">
      <c r="A61" s="76" t="str">
        <f>CONCATENATE("Total Tax Levied (",C10-2," budget column)")</f>
        <v>Total Tax Levied (2010 budget column)</v>
      </c>
      <c r="B61" s="77"/>
      <c r="C61" s="57"/>
      <c r="D61" s="74"/>
      <c r="E61" s="52">
        <v>6913</v>
      </c>
    </row>
    <row r="62" spans="1:5" ht="15.75">
      <c r="A62" s="76" t="str">
        <f>CONCATENATE("Assessed Valuation  (",C10-2," budget column)")</f>
        <v>Assessed Valuation  (2010 budget column)</v>
      </c>
      <c r="B62" s="78"/>
      <c r="C62" s="79"/>
      <c r="D62" s="80"/>
      <c r="E62" s="52">
        <v>146374</v>
      </c>
    </row>
    <row r="63" spans="1:5" ht="15.75">
      <c r="A63" s="28"/>
      <c r="B63" s="28"/>
      <c r="C63" s="28"/>
      <c r="D63" s="45"/>
      <c r="E63" s="53"/>
    </row>
    <row r="64" spans="1:5" ht="15.75">
      <c r="A64" s="81" t="s">
        <v>259</v>
      </c>
      <c r="B64" s="81"/>
      <c r="C64" s="25"/>
      <c r="D64" s="82">
        <f>C10-3</f>
        <v>2009</v>
      </c>
      <c r="E64" s="83">
        <f>C10-2</f>
        <v>2010</v>
      </c>
    </row>
    <row r="65" spans="1:5" ht="15.75">
      <c r="A65" s="84" t="s">
        <v>204</v>
      </c>
      <c r="B65" s="84"/>
      <c r="C65" s="85"/>
      <c r="D65" s="61"/>
      <c r="E65" s="61"/>
    </row>
    <row r="66" spans="1:5" ht="15.75">
      <c r="A66" s="86" t="s">
        <v>205</v>
      </c>
      <c r="B66" s="86"/>
      <c r="C66" s="87"/>
      <c r="D66" s="61"/>
      <c r="E66" s="61"/>
    </row>
    <row r="67" spans="1:5" ht="15.75">
      <c r="A67" s="86" t="s">
        <v>206</v>
      </c>
      <c r="B67" s="86"/>
      <c r="C67" s="87"/>
      <c r="D67" s="61"/>
      <c r="E67" s="61"/>
    </row>
    <row r="68" spans="1:5" ht="15.75">
      <c r="A68" s="86" t="s">
        <v>207</v>
      </c>
      <c r="B68" s="86"/>
      <c r="C68" s="87"/>
      <c r="D68" s="61"/>
      <c r="E68" s="61"/>
    </row>
    <row r="75" spans="1:5" s="88" customFormat="1" ht="15.75">
      <c r="A75" s="24"/>
      <c r="B75" s="24"/>
      <c r="C75" s="24"/>
      <c r="D75" s="24"/>
      <c r="E75" s="24"/>
    </row>
  </sheetData>
  <sheetProtection sheet="1"/>
  <mergeCells count="2">
    <mergeCell ref="A15:E15"/>
    <mergeCell ref="A1:E1"/>
  </mergeCells>
  <printOptions/>
  <pageMargins left="0.5" right="0.5" top="0.75" bottom="0.5" header="0.5" footer="0.5"/>
  <pageSetup blackAndWhite="1" fitToHeight="1" fitToWidth="1" horizontalDpi="600" verticalDpi="600" orientation="portrait" scale="71" r:id="rId1"/>
</worksheet>
</file>

<file path=xl/worksheets/sheet20.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35" sqref="E35"/>
    </sheetView>
  </sheetViews>
  <sheetFormatPr defaultColWidth="8.796875" defaultRowHeight="15"/>
  <cols>
    <col min="1" max="1" width="2.3984375" style="24" customWidth="1"/>
    <col min="2" max="2" width="31.09765625" style="24" customWidth="1"/>
    <col min="3" max="4" width="15.796875" style="24" customWidth="1"/>
    <col min="5" max="5" width="16.296875" style="24" customWidth="1"/>
    <col min="6" max="16384" width="8.8984375" style="24" customWidth="1"/>
  </cols>
  <sheetData>
    <row r="1" spans="2:5" ht="15.75">
      <c r="B1" s="186" t="str">
        <f>(inputPrYr!D3)</f>
        <v>City of Vining</v>
      </c>
      <c r="C1" s="28"/>
      <c r="D1" s="28"/>
      <c r="E1" s="141">
        <f>inputPrYr!$C$10</f>
        <v>2012</v>
      </c>
    </row>
    <row r="2" spans="2:5" ht="15.75">
      <c r="B2" s="28"/>
      <c r="C2" s="28"/>
      <c r="D2" s="28"/>
      <c r="E2" s="202"/>
    </row>
    <row r="3" spans="2:5" ht="15.75">
      <c r="B3" s="46" t="s">
        <v>107</v>
      </c>
      <c r="C3" s="152"/>
      <c r="D3" s="152"/>
      <c r="E3" s="143"/>
    </row>
    <row r="4" spans="2:5" ht="15.75">
      <c r="B4" s="34" t="s">
        <v>49</v>
      </c>
      <c r="C4" s="580" t="s">
        <v>69</v>
      </c>
      <c r="D4" s="351" t="s">
        <v>192</v>
      </c>
      <c r="E4" s="351" t="s">
        <v>193</v>
      </c>
    </row>
    <row r="5" spans="2:5" ht="15.75">
      <c r="B5" s="560">
        <f>(inputPrYr!B35)</f>
        <v>0</v>
      </c>
      <c r="C5" s="299">
        <f>inputPrYr!$C$10-2</f>
        <v>2010</v>
      </c>
      <c r="D5" s="299">
        <f>inputPrYr!$C$10-1</f>
        <v>2011</v>
      </c>
      <c r="E5" s="217">
        <f>inputPrYr!$C$10</f>
        <v>2012</v>
      </c>
    </row>
    <row r="6" spans="2:5" ht="15.75">
      <c r="B6" s="113" t="s">
        <v>163</v>
      </c>
      <c r="C6" s="52"/>
      <c r="D6" s="167">
        <f>C30</f>
        <v>0</v>
      </c>
      <c r="E6" s="167">
        <f>D30</f>
        <v>0</v>
      </c>
    </row>
    <row r="7" spans="2:5" ht="15.75">
      <c r="B7" s="274" t="s">
        <v>165</v>
      </c>
      <c r="C7" s="167"/>
      <c r="D7" s="167"/>
      <c r="E7" s="167"/>
    </row>
    <row r="8" spans="2:5" ht="15.75">
      <c r="B8" s="287"/>
      <c r="C8" s="52"/>
      <c r="D8" s="52"/>
      <c r="E8" s="52"/>
    </row>
    <row r="9" spans="2:5" ht="15.75">
      <c r="B9" s="287"/>
      <c r="C9" s="52"/>
      <c r="D9" s="52"/>
      <c r="E9" s="52"/>
    </row>
    <row r="10" spans="2:5" ht="15.75">
      <c r="B10" s="287"/>
      <c r="C10" s="52"/>
      <c r="D10" s="52"/>
      <c r="E10" s="52"/>
    </row>
    <row r="11" spans="2:5" ht="15.75">
      <c r="B11" s="287"/>
      <c r="C11" s="52"/>
      <c r="D11" s="52"/>
      <c r="E11" s="52"/>
    </row>
    <row r="12" spans="2:5" ht="15.75">
      <c r="B12" s="308" t="s">
        <v>56</v>
      </c>
      <c r="C12" s="52"/>
      <c r="D12" s="52"/>
      <c r="E12" s="52"/>
    </row>
    <row r="13" spans="2:5" ht="15.75">
      <c r="B13" s="169" t="s">
        <v>142</v>
      </c>
      <c r="C13" s="52"/>
      <c r="D13" s="306"/>
      <c r="E13" s="306"/>
    </row>
    <row r="14" spans="2:5" ht="15.75">
      <c r="B14" s="169" t="s">
        <v>684</v>
      </c>
      <c r="C14" s="548">
        <f>IF(C15*0.1&lt;C13,"Exceed 10% Rule","")</f>
      </c>
      <c r="D14" s="309">
        <f>IF(D15*0.1&lt;D13,"Exceed 10% Rule","")</f>
      </c>
      <c r="E14" s="309">
        <f>IF(E15*0.1&lt;E13,"Exceed 10% Rule","")</f>
      </c>
    </row>
    <row r="15" spans="2:5" ht="15.75">
      <c r="B15" s="284" t="s">
        <v>57</v>
      </c>
      <c r="C15" s="311">
        <f>SUM(C8:C13)</f>
        <v>0</v>
      </c>
      <c r="D15" s="311">
        <f>SUM(D8:D13)</f>
        <v>0</v>
      </c>
      <c r="E15" s="311">
        <f>SUM(E8:E13)</f>
        <v>0</v>
      </c>
    </row>
    <row r="16" spans="2:5" ht="15.75">
      <c r="B16" s="284" t="s">
        <v>58</v>
      </c>
      <c r="C16" s="311">
        <f>C6+C15</f>
        <v>0</v>
      </c>
      <c r="D16" s="311">
        <f>D6+D15</f>
        <v>0</v>
      </c>
      <c r="E16" s="311">
        <f>E6+E15</f>
        <v>0</v>
      </c>
    </row>
    <row r="17" spans="2:5" ht="15.75">
      <c r="B17" s="113" t="s">
        <v>59</v>
      </c>
      <c r="C17" s="167"/>
      <c r="D17" s="167"/>
      <c r="E17" s="167"/>
    </row>
    <row r="18" spans="2:5" ht="15.75">
      <c r="B18" s="287" t="s">
        <v>172</v>
      </c>
      <c r="C18" s="52"/>
      <c r="D18" s="52"/>
      <c r="E18" s="52"/>
    </row>
    <row r="19" spans="2:5" ht="15.75">
      <c r="B19" s="287" t="s">
        <v>175</v>
      </c>
      <c r="C19" s="52"/>
      <c r="D19" s="52"/>
      <c r="E19" s="52"/>
    </row>
    <row r="20" spans="2:5" ht="15.75">
      <c r="B20" s="287"/>
      <c r="C20" s="52"/>
      <c r="D20" s="52"/>
      <c r="E20" s="52"/>
    </row>
    <row r="21" spans="2:5" ht="15.75">
      <c r="B21" s="287"/>
      <c r="C21" s="52"/>
      <c r="D21" s="52"/>
      <c r="E21" s="52"/>
    </row>
    <row r="22" spans="2:5" ht="15.75">
      <c r="B22" s="287"/>
      <c r="C22" s="52"/>
      <c r="D22" s="52"/>
      <c r="E22" s="52"/>
    </row>
    <row r="23" spans="2:5" ht="15.75">
      <c r="B23" s="287"/>
      <c r="C23" s="52"/>
      <c r="D23" s="52"/>
      <c r="E23" s="52"/>
    </row>
    <row r="24" spans="2:5" ht="15.75">
      <c r="B24" s="287"/>
      <c r="C24" s="52"/>
      <c r="D24" s="52"/>
      <c r="E24" s="52"/>
    </row>
    <row r="25" spans="2:5" ht="15.75">
      <c r="B25" s="287"/>
      <c r="C25" s="52"/>
      <c r="D25" s="52"/>
      <c r="E25" s="52"/>
    </row>
    <row r="26" spans="2:5" ht="15.75">
      <c r="B26" s="287"/>
      <c r="C26" s="52"/>
      <c r="D26" s="52"/>
      <c r="E26" s="52"/>
    </row>
    <row r="27" spans="2:5" ht="15.75">
      <c r="B27" s="169" t="s">
        <v>142</v>
      </c>
      <c r="C27" s="52"/>
      <c r="D27" s="306"/>
      <c r="E27" s="306"/>
    </row>
    <row r="28" spans="2:5" ht="15.75">
      <c r="B28" s="169" t="s">
        <v>685</v>
      </c>
      <c r="C28" s="548">
        <f>IF(C29*0.1&lt;C27,"Exceed 10% Rule","")</f>
      </c>
      <c r="D28" s="309">
        <f>IF(D29*0.1&lt;D27,"Exceed 10% Rule","")</f>
      </c>
      <c r="E28" s="309">
        <f>IF(E29*0.1&lt;E27,"Exceed 10% Rule","")</f>
      </c>
    </row>
    <row r="29" spans="2:5" ht="15.75">
      <c r="B29" s="284" t="s">
        <v>60</v>
      </c>
      <c r="C29" s="311">
        <f>SUM(C18:C27)</f>
        <v>0</v>
      </c>
      <c r="D29" s="311">
        <f>SUM(D18:D27)</f>
        <v>0</v>
      </c>
      <c r="E29" s="311">
        <f>SUM(E18:E27)</f>
        <v>0</v>
      </c>
    </row>
    <row r="30" spans="2:5" ht="15.75">
      <c r="B30" s="113" t="s">
        <v>164</v>
      </c>
      <c r="C30" s="59">
        <f>C16-C29</f>
        <v>0</v>
      </c>
      <c r="D30" s="59">
        <f>D16-D29</f>
        <v>0</v>
      </c>
      <c r="E30" s="59">
        <f>E16-E29</f>
        <v>0</v>
      </c>
    </row>
    <row r="31" spans="2:5" ht="15.75">
      <c r="B31" s="547" t="str">
        <f>CONCATENATE("",E1-2,"/",E1-1," Budget Authority Amount:")</f>
        <v>2010/2011 Budget Authority Amount:</v>
      </c>
      <c r="C31" s="206">
        <f>inputOth!B86</f>
        <v>0</v>
      </c>
      <c r="D31" s="206">
        <f>inputPrYr!D35</f>
        <v>0</v>
      </c>
      <c r="E31" s="431">
        <f>IF(E30&lt;0,"See Tab E","")</f>
      </c>
    </row>
    <row r="32" spans="2:5" ht="15.75">
      <c r="B32" s="195"/>
      <c r="C32" s="290">
        <f>IF(C29&gt;C31,"See Tab A","")</f>
      </c>
      <c r="D32" s="290">
        <f>IF(D29&gt;D31,"See Tab C","")</f>
      </c>
      <c r="E32" s="316"/>
    </row>
    <row r="33" spans="2:5" ht="15.75">
      <c r="B33" s="195"/>
      <c r="C33" s="290">
        <f>IF(C30&lt;0,"See Tab B","")</f>
      </c>
      <c r="D33" s="290">
        <f>IF(D30&lt;0,"See Tab D","")</f>
      </c>
      <c r="E33" s="316"/>
    </row>
    <row r="34" spans="2:5" ht="15.75">
      <c r="B34" s="28"/>
      <c r="C34" s="316"/>
      <c r="D34" s="316"/>
      <c r="E34" s="316"/>
    </row>
    <row r="35" spans="2:5" ht="15.75">
      <c r="B35" s="34" t="s">
        <v>49</v>
      </c>
      <c r="C35" s="580" t="s">
        <v>69</v>
      </c>
      <c r="D35" s="351" t="s">
        <v>192</v>
      </c>
      <c r="E35" s="351" t="s">
        <v>193</v>
      </c>
    </row>
    <row r="36" spans="2:5" ht="15.75">
      <c r="B36" s="560">
        <f>(inputPrYr!B36)</f>
        <v>0</v>
      </c>
      <c r="C36" s="299">
        <f>inputPrYr!$C$10-2</f>
        <v>2010</v>
      </c>
      <c r="D36" s="299">
        <f>inputPrYr!$C$10-1</f>
        <v>2011</v>
      </c>
      <c r="E36" s="217">
        <f>inputPrYr!$C$10</f>
        <v>2012</v>
      </c>
    </row>
    <row r="37" spans="2:5" ht="15.75">
      <c r="B37" s="113" t="s">
        <v>163</v>
      </c>
      <c r="C37" s="52"/>
      <c r="D37" s="167">
        <f>C61</f>
        <v>0</v>
      </c>
      <c r="E37" s="167">
        <f>D61</f>
        <v>0</v>
      </c>
    </row>
    <row r="38" spans="2:5" ht="15.75">
      <c r="B38" s="274" t="s">
        <v>165</v>
      </c>
      <c r="C38" s="167"/>
      <c r="D38" s="167"/>
      <c r="E38" s="167"/>
    </row>
    <row r="39" spans="2:5" ht="15.75">
      <c r="B39" s="287"/>
      <c r="C39" s="52"/>
      <c r="D39" s="52"/>
      <c r="E39" s="52"/>
    </row>
    <row r="40" spans="2:5" ht="15.75">
      <c r="B40" s="287"/>
      <c r="C40" s="52"/>
      <c r="D40" s="52"/>
      <c r="E40" s="52"/>
    </row>
    <row r="41" spans="2:5" ht="15.75">
      <c r="B41" s="287"/>
      <c r="C41" s="52"/>
      <c r="D41" s="52"/>
      <c r="E41" s="52"/>
    </row>
    <row r="42" spans="2:5" ht="15.75">
      <c r="B42" s="287"/>
      <c r="C42" s="52"/>
      <c r="D42" s="52"/>
      <c r="E42" s="52"/>
    </row>
    <row r="43" spans="2:5" ht="15.75">
      <c r="B43" s="308" t="s">
        <v>56</v>
      </c>
      <c r="C43" s="52"/>
      <c r="D43" s="52"/>
      <c r="E43" s="52"/>
    </row>
    <row r="44" spans="2:5" ht="15.75">
      <c r="B44" s="169" t="s">
        <v>142</v>
      </c>
      <c r="C44" s="52"/>
      <c r="D44" s="52"/>
      <c r="E44" s="52"/>
    </row>
    <row r="45" spans="2:5" ht="15.75">
      <c r="B45" s="169" t="s">
        <v>684</v>
      </c>
      <c r="C45" s="548">
        <f>IF(C46*0.1&lt;C44,"Exceed 10% Rule","")</f>
      </c>
      <c r="D45" s="309">
        <f>IF(D46*0.1&lt;D44,"Exceed 10% Rule","")</f>
      </c>
      <c r="E45" s="309">
        <f>IF(E46*0.1&lt;E44,"Exceed 10% Rule","")</f>
      </c>
    </row>
    <row r="46" spans="2:5" ht="15.75">
      <c r="B46" s="284" t="s">
        <v>57</v>
      </c>
      <c r="C46" s="311">
        <f>SUM(C39:C44)</f>
        <v>0</v>
      </c>
      <c r="D46" s="311">
        <f>SUM(D39:D44)</f>
        <v>0</v>
      </c>
      <c r="E46" s="311">
        <f>SUM(E39:E44)</f>
        <v>0</v>
      </c>
    </row>
    <row r="47" spans="2:5" ht="15.75">
      <c r="B47" s="284" t="s">
        <v>58</v>
      </c>
      <c r="C47" s="311">
        <f>C37+C46</f>
        <v>0</v>
      </c>
      <c r="D47" s="311">
        <f>D37+D46</f>
        <v>0</v>
      </c>
      <c r="E47" s="311">
        <f>E37+E46</f>
        <v>0</v>
      </c>
    </row>
    <row r="48" spans="2:5" ht="15.75">
      <c r="B48" s="113" t="s">
        <v>59</v>
      </c>
      <c r="C48" s="167"/>
      <c r="D48" s="167"/>
      <c r="E48" s="167"/>
    </row>
    <row r="49" spans="2:5" ht="15.75">
      <c r="B49" s="287" t="s">
        <v>172</v>
      </c>
      <c r="C49" s="52"/>
      <c r="D49" s="52"/>
      <c r="E49" s="52"/>
    </row>
    <row r="50" spans="2:5" ht="15.75">
      <c r="B50" s="287" t="s">
        <v>173</v>
      </c>
      <c r="C50" s="52"/>
      <c r="D50" s="52"/>
      <c r="E50" s="52"/>
    </row>
    <row r="51" spans="2:5" ht="15.75">
      <c r="B51" s="287"/>
      <c r="C51" s="52"/>
      <c r="D51" s="52"/>
      <c r="E51" s="52"/>
    </row>
    <row r="52" spans="2:5" ht="15.75">
      <c r="B52" s="287"/>
      <c r="C52" s="52"/>
      <c r="D52" s="52"/>
      <c r="E52" s="52"/>
    </row>
    <row r="53" spans="2:5" ht="15.75">
      <c r="B53" s="287"/>
      <c r="C53" s="52"/>
      <c r="D53" s="52"/>
      <c r="E53" s="52"/>
    </row>
    <row r="54" spans="2:5" ht="15.75">
      <c r="B54" s="287"/>
      <c r="C54" s="52"/>
      <c r="D54" s="52"/>
      <c r="E54" s="52"/>
    </row>
    <row r="55" spans="2:5" ht="15.75">
      <c r="B55" s="287"/>
      <c r="C55" s="52"/>
      <c r="D55" s="52"/>
      <c r="E55" s="52"/>
    </row>
    <row r="56" spans="2:5" ht="15.75">
      <c r="B56" s="287"/>
      <c r="C56" s="52"/>
      <c r="D56" s="52"/>
      <c r="E56" s="52"/>
    </row>
    <row r="57" spans="2:5" ht="15.75">
      <c r="B57" s="287"/>
      <c r="C57" s="52"/>
      <c r="D57" s="52"/>
      <c r="E57" s="52"/>
    </row>
    <row r="58" spans="2:5" ht="15.75">
      <c r="B58" s="169" t="s">
        <v>142</v>
      </c>
      <c r="C58" s="52"/>
      <c r="D58" s="306"/>
      <c r="E58" s="306"/>
    </row>
    <row r="59" spans="2:5" ht="15.75">
      <c r="B59" s="169" t="s">
        <v>685</v>
      </c>
      <c r="C59" s="548">
        <f>IF(C60*0.1&lt;C58,"Exceed 10% Rule","")</f>
      </c>
      <c r="D59" s="309">
        <f>IF(D60*0.1&lt;D58,"Exceed 10% Rule","")</f>
      </c>
      <c r="E59" s="309">
        <f>IF(E60*0.1&lt;E58,"Exceed 10% Rule","")</f>
      </c>
    </row>
    <row r="60" spans="2:5" ht="15.75">
      <c r="B60" s="284" t="s">
        <v>60</v>
      </c>
      <c r="C60" s="311">
        <f>SUM(C49:C58)</f>
        <v>0</v>
      </c>
      <c r="D60" s="311">
        <f>SUM(D49:D58)</f>
        <v>0</v>
      </c>
      <c r="E60" s="311">
        <f>SUM(E49:E58)</f>
        <v>0</v>
      </c>
    </row>
    <row r="61" spans="2:5" ht="15.75">
      <c r="B61" s="113" t="s">
        <v>164</v>
      </c>
      <c r="C61" s="59">
        <f>C47-C60</f>
        <v>0</v>
      </c>
      <c r="D61" s="59">
        <f>D47-D60</f>
        <v>0</v>
      </c>
      <c r="E61" s="59">
        <f>E47-E60</f>
        <v>0</v>
      </c>
    </row>
    <row r="62" spans="2:5" ht="15.75">
      <c r="B62" s="547" t="str">
        <f>CONCATENATE("",E1-2,"/",E1-1," Budget Authority Amount:")</f>
        <v>2010/2011 Budget Authority Amount:</v>
      </c>
      <c r="C62" s="206">
        <f>inputOth!B87</f>
        <v>0</v>
      </c>
      <c r="D62" s="206">
        <f>inputPrYr!D36</f>
        <v>0</v>
      </c>
      <c r="E62" s="431">
        <f>IF(E61&lt;0,"See Tab E","")</f>
      </c>
    </row>
    <row r="63" spans="2:5" ht="15.75">
      <c r="B63" s="195"/>
      <c r="C63" s="290">
        <f>IF(C60&gt;C62,"See Tab A","")</f>
      </c>
      <c r="D63" s="290">
        <f>IF(D60&gt;D62,"See Tab C","")</f>
      </c>
      <c r="E63" s="28"/>
    </row>
    <row r="64" spans="2:5" ht="15.75">
      <c r="B64" s="195"/>
      <c r="C64" s="290">
        <f>IF(C61&lt;0,"See Tab B","")</f>
      </c>
      <c r="D64" s="290">
        <f>IF(D61&lt;0,"See Tab D","")</f>
      </c>
      <c r="E64" s="28"/>
    </row>
    <row r="65" spans="2:5" ht="15.75">
      <c r="B65" s="28"/>
      <c r="C65" s="28"/>
      <c r="D65" s="28"/>
      <c r="E65" s="28"/>
    </row>
    <row r="66" spans="2:5" ht="15.75">
      <c r="B66" s="195" t="s">
        <v>63</v>
      </c>
      <c r="C66" s="295"/>
      <c r="D66" s="28"/>
      <c r="E66" s="28"/>
    </row>
  </sheetData>
  <sheetProtection sheet="1" objects="1" scenarios="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C27">
    <cfRule type="cellIs" priority="7" dxfId="140" operator="greaterThan" stopIfTrue="1">
      <formula>$C$29*0.1</formula>
    </cfRule>
  </conditionalFormatting>
  <conditionalFormatting sqref="D27">
    <cfRule type="cellIs" priority="8" dxfId="140" operator="greaterThan" stopIfTrue="1">
      <formula>$D$29*0.1</formula>
    </cfRule>
  </conditionalFormatting>
  <conditionalFormatting sqref="E27">
    <cfRule type="cellIs" priority="9" dxfId="140" operator="greaterThan" stopIfTrue="1">
      <formula>$E$29*0.1</formula>
    </cfRule>
  </conditionalFormatting>
  <conditionalFormatting sqref="C13">
    <cfRule type="cellIs" priority="10" dxfId="140" operator="greaterThan" stopIfTrue="1">
      <formula>$C$15*0.1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E30 C30 E61 C61">
    <cfRule type="cellIs" priority="13" dxfId="1" operator="lessThan" stopIfTrue="1">
      <formula>0</formula>
    </cfRule>
  </conditionalFormatting>
  <conditionalFormatting sqref="C29">
    <cfRule type="cellIs" priority="14" dxfId="1" operator="greaterThan" stopIfTrue="1">
      <formula>$C$31</formula>
    </cfRule>
  </conditionalFormatting>
  <conditionalFormatting sqref="D29">
    <cfRule type="cellIs" priority="15" dxfId="1" operator="greaterThan" stopIfTrue="1">
      <formula>$D$31</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D44">
    <cfRule type="cellIs" priority="18" dxfId="1" operator="greaterThan" stopIfTrue="1">
      <formula>$D$46*0.1</formula>
    </cfRule>
  </conditionalFormatting>
  <conditionalFormatting sqref="E44">
    <cfRule type="cellIs" priority="19" dxfId="1" operator="greaterThan" stopIfTrue="1">
      <formula>$E$46*0.1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4" sqref="C4"/>
    </sheetView>
  </sheetViews>
  <sheetFormatPr defaultColWidth="8.796875" defaultRowHeight="15"/>
  <cols>
    <col min="1" max="1" width="2.3984375" style="24" customWidth="1"/>
    <col min="2" max="2" width="31.09765625" style="24" customWidth="1"/>
    <col min="3" max="4" width="15.796875" style="24" customWidth="1"/>
    <col min="5" max="5" width="16.296875" style="24" customWidth="1"/>
    <col min="6" max="16384" width="8.8984375" style="24" customWidth="1"/>
  </cols>
  <sheetData>
    <row r="1" spans="2:5" ht="15.75">
      <c r="B1" s="186" t="str">
        <f>(inputPrYr!D3)</f>
        <v>City of Vining</v>
      </c>
      <c r="C1" s="28"/>
      <c r="D1" s="28"/>
      <c r="E1" s="141">
        <f>inputPrYr!$C$10</f>
        <v>2012</v>
      </c>
    </row>
    <row r="2" spans="2:5" ht="15.75">
      <c r="B2" s="28"/>
      <c r="C2" s="28"/>
      <c r="D2" s="28"/>
      <c r="E2" s="202"/>
    </row>
    <row r="3" spans="2:5" ht="15.75">
      <c r="B3" s="46" t="s">
        <v>107</v>
      </c>
      <c r="C3" s="313"/>
      <c r="D3" s="313"/>
      <c r="E3" s="314"/>
    </row>
    <row r="4" spans="2:5" ht="15.75">
      <c r="B4" s="34" t="s">
        <v>49</v>
      </c>
      <c r="C4" s="580" t="s">
        <v>69</v>
      </c>
      <c r="D4" s="351" t="s">
        <v>192</v>
      </c>
      <c r="E4" s="351" t="s">
        <v>193</v>
      </c>
    </row>
    <row r="5" spans="2:5" ht="15.75">
      <c r="B5" s="560">
        <f>(inputPrYr!B37)</f>
        <v>0</v>
      </c>
      <c r="C5" s="299">
        <f>inputPrYr!$C$10-2</f>
        <v>2010</v>
      </c>
      <c r="D5" s="299">
        <f>inputPrYr!$C$10-1</f>
        <v>2011</v>
      </c>
      <c r="E5" s="217">
        <f>inputPrYr!$C$10</f>
        <v>2012</v>
      </c>
    </row>
    <row r="6" spans="2:5" ht="15.75">
      <c r="B6" s="113" t="s">
        <v>163</v>
      </c>
      <c r="C6" s="52"/>
      <c r="D6" s="167">
        <f>C30</f>
        <v>0</v>
      </c>
      <c r="E6" s="167">
        <f>D30</f>
        <v>0</v>
      </c>
    </row>
    <row r="7" spans="2:5" ht="15.75">
      <c r="B7" s="274" t="s">
        <v>165</v>
      </c>
      <c r="C7" s="72"/>
      <c r="D7" s="72"/>
      <c r="E7" s="72"/>
    </row>
    <row r="8" spans="2:5" ht="15.75">
      <c r="B8" s="287"/>
      <c r="C8" s="302"/>
      <c r="D8" s="302"/>
      <c r="E8" s="302"/>
    </row>
    <row r="9" spans="2:5" ht="15.75">
      <c r="B9" s="287"/>
      <c r="C9" s="302"/>
      <c r="D9" s="302"/>
      <c r="E9" s="302"/>
    </row>
    <row r="10" spans="2:5" ht="15.75">
      <c r="B10" s="318"/>
      <c r="C10" s="319"/>
      <c r="D10" s="319"/>
      <c r="E10" s="319"/>
    </row>
    <row r="11" spans="2:5" ht="15.75">
      <c r="B11" s="287"/>
      <c r="C11" s="302"/>
      <c r="D11" s="302"/>
      <c r="E11" s="302"/>
    </row>
    <row r="12" spans="2:5" ht="15.75">
      <c r="B12" s="308" t="s">
        <v>56</v>
      </c>
      <c r="C12" s="302"/>
      <c r="D12" s="302"/>
      <c r="E12" s="302"/>
    </row>
    <row r="13" spans="2:5" ht="15.75">
      <c r="B13" s="169" t="s">
        <v>142</v>
      </c>
      <c r="C13" s="302"/>
      <c r="D13" s="317"/>
      <c r="E13" s="317"/>
    </row>
    <row r="14" spans="2:5" ht="15.75">
      <c r="B14" s="169" t="s">
        <v>684</v>
      </c>
      <c r="C14" s="548">
        <f>IF(C15*0.1&lt;C13,"Exceed 10% Rule","")</f>
      </c>
      <c r="D14" s="309">
        <f>IF(D15*0.1&lt;D13,"Exceed 10% Rule","")</f>
      </c>
      <c r="E14" s="309">
        <f>IF(E15*0.1&lt;E13,"Exceed 10% Rule","")</f>
      </c>
    </row>
    <row r="15" spans="2:5" ht="15.75">
      <c r="B15" s="284" t="s">
        <v>57</v>
      </c>
      <c r="C15" s="311">
        <f>SUM(C8:C13)</f>
        <v>0</v>
      </c>
      <c r="D15" s="311">
        <f>SUM(D8:D13)</f>
        <v>0</v>
      </c>
      <c r="E15" s="311">
        <f>SUM(E8:E13)</f>
        <v>0</v>
      </c>
    </row>
    <row r="16" spans="2:5" ht="15.75">
      <c r="B16" s="284" t="s">
        <v>58</v>
      </c>
      <c r="C16" s="311">
        <f>C6+C15</f>
        <v>0</v>
      </c>
      <c r="D16" s="311">
        <f>D6+D15</f>
        <v>0</v>
      </c>
      <c r="E16" s="311">
        <f>E6+E15</f>
        <v>0</v>
      </c>
    </row>
    <row r="17" spans="2:5" ht="15.75">
      <c r="B17" s="113" t="s">
        <v>59</v>
      </c>
      <c r="C17" s="72"/>
      <c r="D17" s="72"/>
      <c r="E17" s="72"/>
    </row>
    <row r="18" spans="2:5" ht="15.75">
      <c r="B18" s="287" t="s">
        <v>172</v>
      </c>
      <c r="C18" s="302"/>
      <c r="D18" s="302"/>
      <c r="E18" s="302"/>
    </row>
    <row r="19" spans="2:5" ht="15.75">
      <c r="B19" s="287" t="s">
        <v>175</v>
      </c>
      <c r="C19" s="302"/>
      <c r="D19" s="302"/>
      <c r="E19" s="302"/>
    </row>
    <row r="20" spans="2:5" ht="15.75">
      <c r="B20" s="287"/>
      <c r="C20" s="319"/>
      <c r="D20" s="319"/>
      <c r="E20" s="319"/>
    </row>
    <row r="21" spans="2:5" ht="15.75">
      <c r="B21" s="287"/>
      <c r="C21" s="302"/>
      <c r="D21" s="302"/>
      <c r="E21" s="302"/>
    </row>
    <row r="22" spans="2:5" ht="15.75">
      <c r="B22" s="287"/>
      <c r="C22" s="302"/>
      <c r="D22" s="302"/>
      <c r="E22" s="302"/>
    </row>
    <row r="23" spans="2:5" ht="15.75">
      <c r="B23" s="287"/>
      <c r="C23" s="302"/>
      <c r="D23" s="302"/>
      <c r="E23" s="302"/>
    </row>
    <row r="24" spans="2:5" ht="15.75">
      <c r="B24" s="287"/>
      <c r="C24" s="302"/>
      <c r="D24" s="302"/>
      <c r="E24" s="302"/>
    </row>
    <row r="25" spans="2:5" ht="15.75">
      <c r="B25" s="287"/>
      <c r="C25" s="302"/>
      <c r="D25" s="302"/>
      <c r="E25" s="302"/>
    </row>
    <row r="26" spans="2:5" ht="15.75">
      <c r="B26" s="287"/>
      <c r="C26" s="302"/>
      <c r="D26" s="302"/>
      <c r="E26" s="302"/>
    </row>
    <row r="27" spans="2:5" ht="15.75">
      <c r="B27" s="169" t="s">
        <v>142</v>
      </c>
      <c r="C27" s="302"/>
      <c r="D27" s="317"/>
      <c r="E27" s="317"/>
    </row>
    <row r="28" spans="2:5" ht="15.75">
      <c r="B28" s="169" t="s">
        <v>685</v>
      </c>
      <c r="C28" s="548">
        <f>IF(C29*0.1&lt;C27,"Exceed 10% Rule","")</f>
      </c>
      <c r="D28" s="309">
        <f>IF(D29*0.1&lt;D27,"Exceed 10% Rule","")</f>
      </c>
      <c r="E28" s="309">
        <f>IF(E29*0.1&lt;E27,"Exceed 10% Rule","")</f>
      </c>
    </row>
    <row r="29" spans="2:5" ht="15.75">
      <c r="B29" s="284" t="s">
        <v>60</v>
      </c>
      <c r="C29" s="311">
        <f>SUM(C18:C27)</f>
        <v>0</v>
      </c>
      <c r="D29" s="311">
        <f>SUM(D18:D27)</f>
        <v>0</v>
      </c>
      <c r="E29" s="311">
        <f>SUM(E18:E27)</f>
        <v>0</v>
      </c>
    </row>
    <row r="30" spans="2:5" ht="15.75">
      <c r="B30" s="113" t="s">
        <v>164</v>
      </c>
      <c r="C30" s="59">
        <f>C16-C29</f>
        <v>0</v>
      </c>
      <c r="D30" s="59">
        <f>D16-D29</f>
        <v>0</v>
      </c>
      <c r="E30" s="59">
        <f>E16-E29</f>
        <v>0</v>
      </c>
    </row>
    <row r="31" spans="2:5" ht="15.75">
      <c r="B31" s="547" t="str">
        <f>CONCATENATE("",E1-2,"/",E1-1," Budget Authority Amount:")</f>
        <v>2010/2011 Budget Authority Amount:</v>
      </c>
      <c r="C31" s="206">
        <f>inputOth!B88</f>
        <v>0</v>
      </c>
      <c r="D31" s="206">
        <f>inputPrYr!D37</f>
        <v>0</v>
      </c>
      <c r="E31" s="431">
        <f>IF(E30&lt;0,"See Tab E","")</f>
      </c>
    </row>
    <row r="32" spans="2:5" ht="15.75">
      <c r="B32" s="195"/>
      <c r="C32" s="290">
        <f>IF(C29&gt;C31,"See Tab A","")</f>
      </c>
      <c r="D32" s="290">
        <f>IF(D29&gt;D31,"See Tab C","")</f>
      </c>
      <c r="E32" s="193"/>
    </row>
    <row r="33" spans="2:5" ht="15.75">
      <c r="B33" s="195"/>
      <c r="C33" s="290">
        <f>IF(C30&lt;0,"See Tab B","")</f>
      </c>
      <c r="D33" s="290">
        <f>IF(D30&lt;0,"See Tab D","")</f>
      </c>
      <c r="E33" s="193"/>
    </row>
    <row r="34" spans="2:5" ht="15.75">
      <c r="B34" s="28"/>
      <c r="C34" s="193"/>
      <c r="D34" s="193"/>
      <c r="E34" s="193"/>
    </row>
    <row r="35" spans="2:5" ht="15.75">
      <c r="B35" s="34" t="s">
        <v>49</v>
      </c>
      <c r="C35" s="580" t="s">
        <v>69</v>
      </c>
      <c r="D35" s="351" t="s">
        <v>192</v>
      </c>
      <c r="E35" s="351" t="s">
        <v>193</v>
      </c>
    </row>
    <row r="36" spans="2:5" ht="15.75">
      <c r="B36" s="560">
        <f>(inputPrYr!B38)</f>
        <v>0</v>
      </c>
      <c r="C36" s="299">
        <f>inputPrYr!$C$10-2</f>
        <v>2010</v>
      </c>
      <c r="D36" s="299">
        <f>inputPrYr!$C$10-1</f>
        <v>2011</v>
      </c>
      <c r="E36" s="217">
        <f>inputPrYr!$C$10</f>
        <v>2012</v>
      </c>
    </row>
    <row r="37" spans="2:5" ht="15.75">
      <c r="B37" s="113" t="s">
        <v>163</v>
      </c>
      <c r="C37" s="52"/>
      <c r="D37" s="167">
        <f>C61</f>
        <v>0</v>
      </c>
      <c r="E37" s="167">
        <f>D61</f>
        <v>0</v>
      </c>
    </row>
    <row r="38" spans="2:5" ht="15.75">
      <c r="B38" s="274" t="s">
        <v>165</v>
      </c>
      <c r="C38" s="72"/>
      <c r="D38" s="72"/>
      <c r="E38" s="72"/>
    </row>
    <row r="39" spans="2:5" ht="15.75">
      <c r="B39" s="287"/>
      <c r="C39" s="302"/>
      <c r="D39" s="302"/>
      <c r="E39" s="302"/>
    </row>
    <row r="40" spans="2:5" ht="15.75">
      <c r="B40" s="287"/>
      <c r="C40" s="302"/>
      <c r="D40" s="302"/>
      <c r="E40" s="302"/>
    </row>
    <row r="41" spans="2:5" ht="15.75">
      <c r="B41" s="318"/>
      <c r="C41" s="319"/>
      <c r="D41" s="319"/>
      <c r="E41" s="319"/>
    </row>
    <row r="42" spans="2:5" ht="15.75">
      <c r="B42" s="287"/>
      <c r="C42" s="302"/>
      <c r="D42" s="302"/>
      <c r="E42" s="302"/>
    </row>
    <row r="43" spans="2:5" ht="15.75">
      <c r="B43" s="308" t="s">
        <v>56</v>
      </c>
      <c r="C43" s="302"/>
      <c r="D43" s="302"/>
      <c r="E43" s="302"/>
    </row>
    <row r="44" spans="2:5" ht="15.75">
      <c r="B44" s="169" t="s">
        <v>142</v>
      </c>
      <c r="C44" s="302"/>
      <c r="D44" s="317"/>
      <c r="E44" s="317"/>
    </row>
    <row r="45" spans="2:5" ht="15.75">
      <c r="B45" s="169" t="s">
        <v>684</v>
      </c>
      <c r="C45" s="548">
        <f>IF(C46*0.1&lt;C44,"Exceed 10% Rule","")</f>
      </c>
      <c r="D45" s="309">
        <f>IF(D46*0.1&lt;D44,"Exceed 10% Rule","")</f>
      </c>
      <c r="E45" s="309">
        <f>IF(E46*0.1&lt;E44,"Exceed 10% Rule","")</f>
      </c>
    </row>
    <row r="46" spans="2:5" ht="15.75">
      <c r="B46" s="284" t="s">
        <v>57</v>
      </c>
      <c r="C46" s="311">
        <f>SUM(C39:C44)</f>
        <v>0</v>
      </c>
      <c r="D46" s="311">
        <f>SUM(D39:D44)</f>
        <v>0</v>
      </c>
      <c r="E46" s="311">
        <f>SUM(E39:E44)</f>
        <v>0</v>
      </c>
    </row>
    <row r="47" spans="2:5" ht="15.75">
      <c r="B47" s="284" t="s">
        <v>58</v>
      </c>
      <c r="C47" s="311">
        <f>C37+C46</f>
        <v>0</v>
      </c>
      <c r="D47" s="311">
        <f>D37+D46</f>
        <v>0</v>
      </c>
      <c r="E47" s="311">
        <f>E37+E46</f>
        <v>0</v>
      </c>
    </row>
    <row r="48" spans="2:5" ht="15.75">
      <c r="B48" s="113" t="s">
        <v>59</v>
      </c>
      <c r="C48" s="72"/>
      <c r="D48" s="72"/>
      <c r="E48" s="72"/>
    </row>
    <row r="49" spans="2:5" ht="15.75">
      <c r="B49" s="287" t="s">
        <v>172</v>
      </c>
      <c r="C49" s="302"/>
      <c r="D49" s="302"/>
      <c r="E49" s="302"/>
    </row>
    <row r="50" spans="2:5" ht="15.75">
      <c r="B50" s="287" t="s">
        <v>173</v>
      </c>
      <c r="C50" s="302"/>
      <c r="D50" s="302"/>
      <c r="E50" s="302"/>
    </row>
    <row r="51" spans="2:5" ht="15.75">
      <c r="B51" s="287"/>
      <c r="C51" s="302"/>
      <c r="D51" s="302"/>
      <c r="E51" s="302"/>
    </row>
    <row r="52" spans="2:5" ht="15.75">
      <c r="B52" s="287"/>
      <c r="C52" s="302"/>
      <c r="D52" s="302"/>
      <c r="E52" s="302"/>
    </row>
    <row r="53" spans="2:5" ht="15.75">
      <c r="B53" s="287"/>
      <c r="C53" s="302"/>
      <c r="D53" s="302"/>
      <c r="E53" s="302"/>
    </row>
    <row r="54" spans="2:5" ht="15.75">
      <c r="B54" s="287"/>
      <c r="C54" s="302"/>
      <c r="D54" s="302"/>
      <c r="E54" s="302"/>
    </row>
    <row r="55" spans="2:5" ht="15.75">
      <c r="B55" s="287"/>
      <c r="C55" s="319"/>
      <c r="D55" s="319"/>
      <c r="E55" s="319"/>
    </row>
    <row r="56" spans="2:5" ht="15.75">
      <c r="B56" s="287"/>
      <c r="C56" s="302"/>
      <c r="D56" s="319"/>
      <c r="E56" s="319"/>
    </row>
    <row r="57" spans="2:5" ht="15.75">
      <c r="B57" s="287"/>
      <c r="C57" s="302"/>
      <c r="D57" s="319"/>
      <c r="E57" s="319"/>
    </row>
    <row r="58" spans="2:5" ht="15.75">
      <c r="B58" s="169" t="s">
        <v>142</v>
      </c>
      <c r="C58" s="302"/>
      <c r="D58" s="317"/>
      <c r="E58" s="317"/>
    </row>
    <row r="59" spans="2:5" ht="15.75">
      <c r="B59" s="169" t="s">
        <v>685</v>
      </c>
      <c r="C59" s="548">
        <f>IF(C60*0.1&lt;C58,"Exceed 10% Rule","")</f>
      </c>
      <c r="D59" s="309">
        <f>IF(D60*0.1&lt;D58,"Exceed 10% Rule","")</f>
      </c>
      <c r="E59" s="309">
        <f>IF(E60*0.1&lt;E58,"Exceed 10% Rule","")</f>
      </c>
    </row>
    <row r="60" spans="2:5" ht="15.75">
      <c r="B60" s="284" t="s">
        <v>60</v>
      </c>
      <c r="C60" s="311">
        <f>SUM(C49:C58)</f>
        <v>0</v>
      </c>
      <c r="D60" s="311">
        <f>SUM(D49:D58)</f>
        <v>0</v>
      </c>
      <c r="E60" s="311">
        <f>SUM(E49:E58)</f>
        <v>0</v>
      </c>
    </row>
    <row r="61" spans="2:5" ht="15.75">
      <c r="B61" s="113" t="s">
        <v>164</v>
      </c>
      <c r="C61" s="59">
        <f>C47-C60</f>
        <v>0</v>
      </c>
      <c r="D61" s="59">
        <f>D47-D60</f>
        <v>0</v>
      </c>
      <c r="E61" s="59">
        <f>E47-E60</f>
        <v>0</v>
      </c>
    </row>
    <row r="62" spans="2:5" ht="15.75">
      <c r="B62" s="547" t="str">
        <f>CONCATENATE("",E1-2,"/",E1-1," Budget Authority Amount:")</f>
        <v>2010/2011 Budget Authority Amount:</v>
      </c>
      <c r="C62" s="206">
        <f>inputOth!B89</f>
        <v>0</v>
      </c>
      <c r="D62" s="206">
        <f>inputPrYr!D38</f>
        <v>0</v>
      </c>
      <c r="E62" s="431">
        <f>IF(E61&lt;0,"See Tab E","")</f>
      </c>
    </row>
    <row r="63" spans="2:5" ht="15.75">
      <c r="B63" s="195"/>
      <c r="C63" s="290">
        <f>IF(C60&gt;C62,"See Tab A","")</f>
      </c>
      <c r="D63" s="290">
        <f>IF(D60&gt;D62,"See Tab C","")</f>
      </c>
      <c r="E63" s="28"/>
    </row>
    <row r="64" spans="2:5" ht="15.75">
      <c r="B64" s="195"/>
      <c r="C64" s="290">
        <f>IF(C61&lt;0,"See Tab B","")</f>
      </c>
      <c r="D64" s="290">
        <f>IF(D61&lt;0,"See Tab D","")</f>
      </c>
      <c r="E64" s="28"/>
    </row>
    <row r="65" spans="2:5" ht="15.75">
      <c r="B65" s="28"/>
      <c r="C65" s="28"/>
      <c r="D65" s="28"/>
      <c r="E65" s="28"/>
    </row>
    <row r="66" spans="2:5" ht="15.75">
      <c r="B66" s="195" t="s">
        <v>63</v>
      </c>
      <c r="C66" s="295"/>
      <c r="D66" s="28"/>
      <c r="E66" s="28"/>
    </row>
  </sheetData>
  <sheetProtection sheet="1" objects="1" scenarios="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D44">
    <cfRule type="cellIs" priority="7" dxfId="140" operator="greaterThan" stopIfTrue="1">
      <formula>$D$46*0.1</formula>
    </cfRule>
  </conditionalFormatting>
  <conditionalFormatting sqref="E44">
    <cfRule type="cellIs" priority="8" dxfId="140" operator="greaterThan" stopIfTrue="1">
      <formula>$E$46*0.1</formula>
    </cfRule>
  </conditionalFormatting>
  <conditionalFormatting sqref="C27">
    <cfRule type="cellIs" priority="9" dxfId="140" operator="greaterThan" stopIfTrue="1">
      <formula>$C$29*0.1</formula>
    </cfRule>
  </conditionalFormatting>
  <conditionalFormatting sqref="D27">
    <cfRule type="cellIs" priority="10" dxfId="140" operator="greaterThan" stopIfTrue="1">
      <formula>$D$29*0.1</formula>
    </cfRule>
  </conditionalFormatting>
  <conditionalFormatting sqref="E27">
    <cfRule type="cellIs" priority="11" dxfId="140" operator="greaterThan" stopIfTrue="1">
      <formula>$E$29*0.1</formula>
    </cfRule>
  </conditionalFormatting>
  <conditionalFormatting sqref="C13">
    <cfRule type="cellIs" priority="12" dxfId="140" operator="greaterThan" stopIfTrue="1">
      <formula>$C$15*0.1</formula>
    </cfRule>
  </conditionalFormatting>
  <conditionalFormatting sqref="D13">
    <cfRule type="cellIs" priority="13" dxfId="140" operator="greaterThan" stopIfTrue="1">
      <formula>$D$15*0.1</formula>
    </cfRule>
  </conditionalFormatting>
  <conditionalFormatting sqref="E13">
    <cfRule type="cellIs" priority="14" dxfId="140" operator="greaterThan" stopIfTrue="1">
      <formula>$F$15*0.1</formula>
    </cfRule>
  </conditionalFormatting>
  <conditionalFormatting sqref="C61 E61 E30 C30">
    <cfRule type="cellIs" priority="15" dxfId="1" operator="lessThan" stopIfTrue="1">
      <formula>0</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C29">
    <cfRule type="cellIs" priority="18" dxfId="1" operator="greaterThan" stopIfTrue="1">
      <formula>$C$31</formula>
    </cfRule>
  </conditionalFormatting>
  <conditionalFormatting sqref="D29">
    <cfRule type="cellIs" priority="19" dxfId="1" operator="greaterThan" stopIfTrue="1">
      <formula>$D$31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B5" sqref="B5"/>
    </sheetView>
  </sheetViews>
  <sheetFormatPr defaultColWidth="8.796875" defaultRowHeight="15"/>
  <cols>
    <col min="1" max="1" width="2.3984375" style="88" customWidth="1"/>
    <col min="2" max="2" width="31.09765625" style="88" customWidth="1"/>
    <col min="3" max="4" width="15.796875" style="88" customWidth="1"/>
    <col min="5" max="5" width="16.19921875" style="88" customWidth="1"/>
    <col min="6" max="16384" width="8.8984375" style="88" customWidth="1"/>
  </cols>
  <sheetData>
    <row r="1" spans="2:5" ht="15.75">
      <c r="B1" s="186" t="str">
        <f>(inputPrYr!D3)</f>
        <v>City of Vining</v>
      </c>
      <c r="C1" s="28"/>
      <c r="D1" s="28"/>
      <c r="E1" s="141">
        <f>inputPrYr!$C$10</f>
        <v>2012</v>
      </c>
    </row>
    <row r="2" spans="2:5" ht="15.75">
      <c r="B2" s="28"/>
      <c r="C2" s="28"/>
      <c r="D2" s="28"/>
      <c r="E2" s="202"/>
    </row>
    <row r="3" spans="2:5" ht="15.75">
      <c r="B3" s="46" t="s">
        <v>107</v>
      </c>
      <c r="C3" s="313"/>
      <c r="D3" s="313"/>
      <c r="E3" s="314"/>
    </row>
    <row r="4" spans="2:5" ht="15.75">
      <c r="B4" s="34" t="s">
        <v>49</v>
      </c>
      <c r="C4" s="580" t="s">
        <v>69</v>
      </c>
      <c r="D4" s="351" t="s">
        <v>192</v>
      </c>
      <c r="E4" s="351" t="s">
        <v>193</v>
      </c>
    </row>
    <row r="5" spans="2:5" ht="15.75">
      <c r="B5" s="560">
        <f>(inputPrYr!B40)</f>
        <v>0</v>
      </c>
      <c r="C5" s="299">
        <f>inputPrYr!$C$10-2</f>
        <v>2010</v>
      </c>
      <c r="D5" s="299">
        <f>inputPrYr!$C$10-1</f>
        <v>2011</v>
      </c>
      <c r="E5" s="217">
        <f>inputPrYr!$C$10</f>
        <v>2012</v>
      </c>
    </row>
    <row r="6" spans="2:5" ht="15.75">
      <c r="B6" s="113" t="s">
        <v>163</v>
      </c>
      <c r="C6" s="52"/>
      <c r="D6" s="167">
        <f>C48</f>
        <v>0</v>
      </c>
      <c r="E6" s="167">
        <f>D48</f>
        <v>0</v>
      </c>
    </row>
    <row r="7" spans="2:5" ht="15.75">
      <c r="B7" s="274" t="s">
        <v>165</v>
      </c>
      <c r="C7" s="72"/>
      <c r="D7" s="72"/>
      <c r="E7" s="72"/>
    </row>
    <row r="8" spans="2:5" ht="15.75">
      <c r="B8" s="287"/>
      <c r="C8" s="302"/>
      <c r="D8" s="302"/>
      <c r="E8" s="302"/>
    </row>
    <row r="9" spans="2:5" ht="15.75">
      <c r="B9" s="287"/>
      <c r="C9" s="302"/>
      <c r="D9" s="302"/>
      <c r="E9" s="302"/>
    </row>
    <row r="10" spans="2:5" ht="15.75">
      <c r="B10" s="287"/>
      <c r="C10" s="302"/>
      <c r="D10" s="302"/>
      <c r="E10" s="302"/>
    </row>
    <row r="11" spans="2:5" ht="15.75">
      <c r="B11" s="287"/>
      <c r="C11" s="302"/>
      <c r="D11" s="302"/>
      <c r="E11" s="302"/>
    </row>
    <row r="12" spans="2:5" ht="15.75">
      <c r="B12" s="287"/>
      <c r="C12" s="302"/>
      <c r="D12" s="302"/>
      <c r="E12" s="302"/>
    </row>
    <row r="13" spans="2:5" ht="15.75">
      <c r="B13" s="287"/>
      <c r="C13" s="302"/>
      <c r="D13" s="302"/>
      <c r="E13" s="302"/>
    </row>
    <row r="14" spans="2:5" ht="15.75">
      <c r="B14" s="318"/>
      <c r="C14" s="319"/>
      <c r="D14" s="319"/>
      <c r="E14" s="319"/>
    </row>
    <row r="15" spans="2:5" ht="15.75">
      <c r="B15" s="287"/>
      <c r="C15" s="302"/>
      <c r="D15" s="302"/>
      <c r="E15" s="302"/>
    </row>
    <row r="16" spans="2:5" ht="15.75">
      <c r="B16" s="308" t="s">
        <v>56</v>
      </c>
      <c r="C16" s="302"/>
      <c r="D16" s="302"/>
      <c r="E16" s="302"/>
    </row>
    <row r="17" spans="2:5" ht="15.75">
      <c r="B17" s="169" t="s">
        <v>142</v>
      </c>
      <c r="C17" s="302"/>
      <c r="D17" s="317"/>
      <c r="E17" s="317"/>
    </row>
    <row r="18" spans="2:5" ht="15.75">
      <c r="B18" s="169" t="s">
        <v>684</v>
      </c>
      <c r="C18" s="548">
        <f>IF(C19*0.1&lt;C17,"Exceed 10% Rule","")</f>
      </c>
      <c r="D18" s="309">
        <f>IF(D19*0.1&lt;D17,"Exceed 10% Rule","")</f>
      </c>
      <c r="E18" s="309">
        <f>IF(E19*0.1&lt;E17,"Exceed 10% Rule","")</f>
      </c>
    </row>
    <row r="19" spans="2:5" ht="15.75">
      <c r="B19" s="284" t="s">
        <v>57</v>
      </c>
      <c r="C19" s="311">
        <f>SUM(C8:C17)</f>
        <v>0</v>
      </c>
      <c r="D19" s="311">
        <f>SUM(D8:D17)</f>
        <v>0</v>
      </c>
      <c r="E19" s="311">
        <f>SUM(E8:E17)</f>
        <v>0</v>
      </c>
    </row>
    <row r="20" spans="2:5" ht="15.75">
      <c r="B20" s="284" t="s">
        <v>58</v>
      </c>
      <c r="C20" s="311">
        <f>C6+C19</f>
        <v>0</v>
      </c>
      <c r="D20" s="311">
        <f>D6+D19</f>
        <v>0</v>
      </c>
      <c r="E20" s="311">
        <f>E6+E19</f>
        <v>0</v>
      </c>
    </row>
    <row r="21" spans="2:5" ht="15.75">
      <c r="B21" s="113" t="s">
        <v>59</v>
      </c>
      <c r="C21" s="72"/>
      <c r="D21" s="72"/>
      <c r="E21" s="72"/>
    </row>
    <row r="22" spans="2:5" ht="15.75">
      <c r="B22" s="287" t="s">
        <v>172</v>
      </c>
      <c r="C22" s="302"/>
      <c r="D22" s="302"/>
      <c r="E22" s="302"/>
    </row>
    <row r="23" spans="2:5" ht="15.75">
      <c r="B23" s="287" t="s">
        <v>175</v>
      </c>
      <c r="C23" s="302"/>
      <c r="D23" s="302"/>
      <c r="E23" s="302"/>
    </row>
    <row r="24" spans="2:5" ht="15.75">
      <c r="B24" s="287"/>
      <c r="C24" s="319"/>
      <c r="D24" s="319"/>
      <c r="E24" s="319"/>
    </row>
    <row r="25" spans="2:5" ht="15.75">
      <c r="B25" s="287"/>
      <c r="C25" s="319"/>
      <c r="D25" s="319"/>
      <c r="E25" s="319"/>
    </row>
    <row r="26" spans="2:5" ht="15.75">
      <c r="B26" s="287"/>
      <c r="C26" s="319"/>
      <c r="D26" s="319"/>
      <c r="E26" s="319"/>
    </row>
    <row r="27" spans="2:5" ht="15.75">
      <c r="B27" s="287"/>
      <c r="C27" s="319"/>
      <c r="D27" s="319"/>
      <c r="E27" s="319"/>
    </row>
    <row r="28" spans="2:5" ht="15.75">
      <c r="B28" s="287"/>
      <c r="C28" s="319"/>
      <c r="D28" s="319"/>
      <c r="E28" s="319"/>
    </row>
    <row r="29" spans="2:5" ht="15.75">
      <c r="B29" s="287"/>
      <c r="C29" s="319"/>
      <c r="D29" s="319"/>
      <c r="E29" s="319"/>
    </row>
    <row r="30" spans="2:5" ht="15.75">
      <c r="B30" s="287"/>
      <c r="C30" s="319"/>
      <c r="D30" s="319"/>
      <c r="E30" s="319"/>
    </row>
    <row r="31" spans="2:5" ht="15.75">
      <c r="B31" s="287"/>
      <c r="C31" s="319"/>
      <c r="D31" s="319"/>
      <c r="E31" s="319"/>
    </row>
    <row r="32" spans="2:5" ht="15.75">
      <c r="B32" s="287"/>
      <c r="C32" s="319"/>
      <c r="D32" s="319"/>
      <c r="E32" s="319"/>
    </row>
    <row r="33" spans="2:5" ht="15.75">
      <c r="B33" s="287"/>
      <c r="C33" s="319"/>
      <c r="D33" s="319"/>
      <c r="E33" s="319"/>
    </row>
    <row r="34" spans="2:5" ht="15.75">
      <c r="B34" s="287"/>
      <c r="C34" s="319"/>
      <c r="D34" s="319"/>
      <c r="E34" s="319"/>
    </row>
    <row r="35" spans="2:5" ht="15.75">
      <c r="B35" s="287"/>
      <c r="C35" s="302"/>
      <c r="D35" s="302"/>
      <c r="E35" s="302"/>
    </row>
    <row r="36" spans="2:5" ht="15.75">
      <c r="B36" s="287"/>
      <c r="C36" s="302"/>
      <c r="D36" s="302"/>
      <c r="E36" s="302"/>
    </row>
    <row r="37" spans="2:5" ht="15.75">
      <c r="B37" s="287"/>
      <c r="C37" s="302"/>
      <c r="D37" s="302"/>
      <c r="E37" s="302"/>
    </row>
    <row r="38" spans="2:5" ht="15.75">
      <c r="B38" s="287"/>
      <c r="C38" s="302"/>
      <c r="D38" s="302"/>
      <c r="E38" s="302"/>
    </row>
    <row r="39" spans="2:5" ht="15.75">
      <c r="B39" s="287"/>
      <c r="C39" s="302"/>
      <c r="D39" s="302"/>
      <c r="E39" s="302"/>
    </row>
    <row r="40" spans="2:5" ht="15.75">
      <c r="B40" s="287"/>
      <c r="C40" s="302"/>
      <c r="D40" s="302"/>
      <c r="E40" s="302"/>
    </row>
    <row r="41" spans="2:5" ht="15.75">
      <c r="B41" s="287"/>
      <c r="C41" s="302"/>
      <c r="D41" s="302"/>
      <c r="E41" s="302"/>
    </row>
    <row r="42" spans="2:5" ht="15.75">
      <c r="B42" s="287"/>
      <c r="C42" s="302"/>
      <c r="D42" s="302"/>
      <c r="E42" s="302"/>
    </row>
    <row r="43" spans="2:5" ht="15.75">
      <c r="B43" s="287"/>
      <c r="C43" s="302"/>
      <c r="D43" s="302"/>
      <c r="E43" s="302"/>
    </row>
    <row r="44" spans="2:5" ht="15.75">
      <c r="B44" s="287"/>
      <c r="C44" s="302"/>
      <c r="D44" s="302"/>
      <c r="E44" s="302"/>
    </row>
    <row r="45" spans="2:5" ht="15.75">
      <c r="B45" s="169" t="s">
        <v>142</v>
      </c>
      <c r="C45" s="302"/>
      <c r="D45" s="302"/>
      <c r="E45" s="302"/>
    </row>
    <row r="46" spans="2:5" ht="15.75">
      <c r="B46" s="169" t="s">
        <v>685</v>
      </c>
      <c r="C46" s="548">
        <f>IF(C47*0.1&lt;C45,"Exceed 10% Rule","")</f>
      </c>
      <c r="D46" s="309">
        <f>IF(D47*0.1&lt;D45,"Exceed 10% Rule","")</f>
      </c>
      <c r="E46" s="309">
        <f>IF(E47*0.1&lt;E45,"Exceed 10% Rule","")</f>
      </c>
    </row>
    <row r="47" spans="2:5" ht="15.75">
      <c r="B47" s="284" t="s">
        <v>60</v>
      </c>
      <c r="C47" s="311">
        <f>SUM(C22:C45)</f>
        <v>0</v>
      </c>
      <c r="D47" s="311">
        <f>SUM(D22:D45)</f>
        <v>0</v>
      </c>
      <c r="E47" s="311">
        <f>SUM(E22:E45)</f>
        <v>0</v>
      </c>
    </row>
    <row r="48" spans="2:5" ht="15.75">
      <c r="B48" s="113" t="s">
        <v>164</v>
      </c>
      <c r="C48" s="59">
        <f>C20-C47</f>
        <v>0</v>
      </c>
      <c r="D48" s="59">
        <f>D20-D47</f>
        <v>0</v>
      </c>
      <c r="E48" s="59">
        <f>E20-E47</f>
        <v>0</v>
      </c>
    </row>
    <row r="49" spans="2:5" ht="15.75">
      <c r="B49" s="547" t="str">
        <f>CONCATENATE("",E1-2,"/",E1-1," Budget Authority Amount:")</f>
        <v>2010/2011 Budget Authority Amount:</v>
      </c>
      <c r="C49" s="206">
        <f>inputOth!B90</f>
        <v>0</v>
      </c>
      <c r="D49" s="206">
        <f>inputPrYr!D40</f>
        <v>0</v>
      </c>
      <c r="E49" s="431">
        <f>IF(E48&lt;0,"See Tab E","")</f>
      </c>
    </row>
    <row r="50" spans="2:5" ht="15.75">
      <c r="B50" s="195"/>
      <c r="C50" s="290">
        <f>IF(C47&gt;C49,"See Tab A","")</f>
      </c>
      <c r="D50" s="290">
        <f>IF(D47&gt;D49,"See Tab C","")</f>
      </c>
      <c r="E50" s="90"/>
    </row>
    <row r="51" spans="2:5" ht="15.75">
      <c r="B51" s="195"/>
      <c r="C51" s="290">
        <f>IF(C48&lt;0,"See Tab B","")</f>
      </c>
      <c r="D51" s="290">
        <f>IF(D48&lt;0,"See Tab D","")</f>
      </c>
      <c r="E51" s="90"/>
    </row>
    <row r="52" spans="2:5" ht="15">
      <c r="B52" s="90"/>
      <c r="C52" s="90"/>
      <c r="D52" s="90"/>
      <c r="E52" s="90"/>
    </row>
    <row r="53" spans="2:5" ht="15.75">
      <c r="B53" s="195" t="s">
        <v>63</v>
      </c>
      <c r="C53" s="295"/>
      <c r="D53" s="90"/>
      <c r="E53" s="90"/>
    </row>
  </sheetData>
  <sheetProtection sheet="1" objects="1" scenarios="1"/>
  <conditionalFormatting sqref="C45">
    <cfRule type="cellIs" priority="2" dxfId="140" operator="greaterThan" stopIfTrue="1">
      <formula>$C$47*0.1</formula>
    </cfRule>
  </conditionalFormatting>
  <conditionalFormatting sqref="D45">
    <cfRule type="cellIs" priority="3" dxfId="140" operator="greaterThan" stopIfTrue="1">
      <formula>$D$47*0.1</formula>
    </cfRule>
  </conditionalFormatting>
  <conditionalFormatting sqref="E45">
    <cfRule type="cellIs" priority="4" dxfId="140" operator="greaterThan" stopIfTrue="1">
      <formula>$E$47*0.1</formula>
    </cfRule>
  </conditionalFormatting>
  <conditionalFormatting sqref="C17">
    <cfRule type="cellIs" priority="5" dxfId="140" operator="greaterThan" stopIfTrue="1">
      <formula>$C$19*0.1</formula>
    </cfRule>
  </conditionalFormatting>
  <conditionalFormatting sqref="D17">
    <cfRule type="cellIs" priority="6" dxfId="140" operator="greaterThan" stopIfTrue="1">
      <formula>#REF!*0.1</formula>
    </cfRule>
  </conditionalFormatting>
  <conditionalFormatting sqref="E17">
    <cfRule type="cellIs" priority="7" dxfId="140" operator="greaterThan" stopIfTrue="1">
      <formula>$E$19*0.1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9"/>
  <sheetViews>
    <sheetView zoomScalePageLayoutView="0" workbookViewId="0" topLeftCell="A1">
      <selection activeCell="A2" sqref="A2"/>
    </sheetView>
  </sheetViews>
  <sheetFormatPr defaultColWidth="8.796875" defaultRowHeight="15"/>
  <cols>
    <col min="1" max="1" width="70.59765625" style="369" customWidth="1"/>
    <col min="2" max="16384" width="8.8984375" style="369" customWidth="1"/>
  </cols>
  <sheetData>
    <row r="1" ht="18.75">
      <c r="A1" s="224" t="s">
        <v>392</v>
      </c>
    </row>
    <row r="2" ht="15.75">
      <c r="A2" s="225"/>
    </row>
    <row r="3" ht="47.25">
      <c r="A3" s="226" t="s">
        <v>393</v>
      </c>
    </row>
    <row r="4" ht="15.75">
      <c r="A4" s="227"/>
    </row>
    <row r="5" ht="15.75">
      <c r="A5" s="225"/>
    </row>
    <row r="6" ht="31.5">
      <c r="A6" s="226" t="s">
        <v>394</v>
      </c>
    </row>
    <row r="7" ht="15.75">
      <c r="A7" s="225"/>
    </row>
    <row r="8" ht="15.75">
      <c r="A8" s="227"/>
    </row>
    <row r="9" ht="31.5">
      <c r="A9" s="226" t="s">
        <v>395</v>
      </c>
    </row>
    <row r="10" ht="15.75">
      <c r="A10" s="225"/>
    </row>
    <row r="11" ht="15.75">
      <c r="A11" s="227"/>
    </row>
    <row r="12" ht="47.25">
      <c r="A12" s="226" t="s">
        <v>396</v>
      </c>
    </row>
    <row r="13" ht="15.75">
      <c r="A13" s="225"/>
    </row>
    <row r="14" ht="15.75">
      <c r="A14" s="225"/>
    </row>
    <row r="15" ht="47.25">
      <c r="A15" s="226" t="s">
        <v>397</v>
      </c>
    </row>
    <row r="16" ht="15.75">
      <c r="A16" s="225"/>
    </row>
    <row r="17" ht="15.75">
      <c r="A17" s="225"/>
    </row>
    <row r="18" ht="47.25">
      <c r="A18" s="226" t="s">
        <v>398</v>
      </c>
    </row>
    <row r="19" ht="15.75">
      <c r="A19" s="225"/>
    </row>
    <row r="20" ht="15.75">
      <c r="A20" s="225"/>
    </row>
    <row r="21" ht="31.5">
      <c r="A21" s="226" t="s">
        <v>399</v>
      </c>
    </row>
    <row r="22" ht="15.75">
      <c r="A22" s="225"/>
    </row>
    <row r="23" ht="15.75">
      <c r="A23" s="225"/>
    </row>
    <row r="24" ht="47.25">
      <c r="A24" s="226" t="s">
        <v>400</v>
      </c>
    </row>
    <row r="25" ht="15.75">
      <c r="A25" s="227"/>
    </row>
    <row r="26" ht="15.75">
      <c r="A26" s="227"/>
    </row>
    <row r="27" ht="47.25">
      <c r="A27" s="226" t="s">
        <v>401</v>
      </c>
    </row>
    <row r="28" ht="15.75">
      <c r="A28" s="225"/>
    </row>
    <row r="29" ht="15.75">
      <c r="A29" s="225"/>
    </row>
    <row r="30" ht="31.5">
      <c r="A30" s="226" t="s">
        <v>402</v>
      </c>
    </row>
    <row r="31" ht="15.75">
      <c r="A31" s="225"/>
    </row>
    <row r="32" ht="15.75">
      <c r="A32" s="225"/>
    </row>
    <row r="33" ht="31.5">
      <c r="A33" s="226" t="s">
        <v>403</v>
      </c>
    </row>
    <row r="34" ht="15.75">
      <c r="A34" s="227"/>
    </row>
    <row r="35" ht="15.75">
      <c r="A35" s="227"/>
    </row>
    <row r="36" ht="31.5">
      <c r="A36" s="226" t="s">
        <v>404</v>
      </c>
    </row>
    <row r="37" ht="15.75">
      <c r="A37" s="227"/>
    </row>
    <row r="38" ht="15.75">
      <c r="A38" s="225"/>
    </row>
    <row r="39" ht="63">
      <c r="A39" s="226" t="s">
        <v>405</v>
      </c>
    </row>
    <row r="40" ht="15.75">
      <c r="A40" s="225"/>
    </row>
    <row r="41" ht="15.75">
      <c r="A41" s="225"/>
    </row>
    <row r="42" ht="47.25">
      <c r="A42" s="226" t="s">
        <v>406</v>
      </c>
    </row>
    <row r="43" ht="15.75">
      <c r="A43" s="227"/>
    </row>
    <row r="44" ht="15.75">
      <c r="A44" s="225"/>
    </row>
    <row r="45" ht="47.25">
      <c r="A45" s="226" t="s">
        <v>407</v>
      </c>
    </row>
    <row r="46" ht="15.75">
      <c r="A46" s="225"/>
    </row>
    <row r="47" ht="15.75">
      <c r="A47" s="225"/>
    </row>
    <row r="48" ht="31.5">
      <c r="A48" s="226" t="s">
        <v>408</v>
      </c>
    </row>
    <row r="49" ht="15.75">
      <c r="A49" s="225"/>
    </row>
    <row r="50" ht="15.75">
      <c r="A50" s="225"/>
    </row>
    <row r="51" ht="31.5">
      <c r="A51" s="226" t="s">
        <v>409</v>
      </c>
    </row>
    <row r="52" ht="15.75">
      <c r="A52" s="225"/>
    </row>
    <row r="53" ht="15.75">
      <c r="A53" s="225"/>
    </row>
    <row r="54" ht="63">
      <c r="A54" s="226" t="s">
        <v>410</v>
      </c>
    </row>
    <row r="55" ht="15.75">
      <c r="A55" s="227"/>
    </row>
    <row r="56" ht="15.75">
      <c r="A56" s="227"/>
    </row>
    <row r="57" ht="47.25">
      <c r="A57" s="226" t="s">
        <v>411</v>
      </c>
    </row>
    <row r="58" ht="15.75">
      <c r="A58" s="225"/>
    </row>
    <row r="59" ht="15.75">
      <c r="A59" s="225"/>
    </row>
    <row r="60" ht="31.5">
      <c r="A60" s="226" t="s">
        <v>412</v>
      </c>
    </row>
    <row r="61" ht="15.75">
      <c r="A61" s="225"/>
    </row>
    <row r="62" ht="15.75">
      <c r="A62" s="225"/>
    </row>
    <row r="63" ht="47.25">
      <c r="A63" s="226" t="s">
        <v>413</v>
      </c>
    </row>
    <row r="64" ht="15.75">
      <c r="A64" s="227"/>
    </row>
    <row r="65" ht="15.75">
      <c r="A65" s="227"/>
    </row>
    <row r="66" ht="47.25">
      <c r="A66" s="226" t="s">
        <v>414</v>
      </c>
    </row>
    <row r="67" ht="15.75">
      <c r="A67" s="225"/>
    </row>
    <row r="68" ht="15.75">
      <c r="A68" s="225"/>
    </row>
    <row r="69" ht="47.25">
      <c r="A69" s="226" t="s">
        <v>415</v>
      </c>
    </row>
  </sheetData>
  <sheetProtection sheet="1" objects="1" scenarios="1"/>
  <printOptions/>
  <pageMargins left="0.7" right="0.7" top="0.75" bottom="0.75" header="0.3" footer="0.3"/>
  <pageSetup horizontalDpi="600" verticalDpi="600" orientation="portrait" r:id="rId1"/>
  <headerFooter>
    <oddFooter>&amp;Lrevised 10/5/09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E33" sqref="E33"/>
    </sheetView>
  </sheetViews>
  <sheetFormatPr defaultColWidth="8.796875" defaultRowHeight="15"/>
  <cols>
    <col min="1" max="1" width="12" style="88" customWidth="1"/>
    <col min="2" max="2" width="19.69921875" style="88" customWidth="1"/>
    <col min="3" max="5" width="11.796875" style="88" customWidth="1"/>
    <col min="6" max="16384" width="8.8984375" style="88" customWidth="1"/>
  </cols>
  <sheetData>
    <row r="1" spans="1:6" ht="15.75">
      <c r="A1" s="356" t="str">
        <f>inputPrYr!D3</f>
        <v>City of Vining</v>
      </c>
      <c r="B1" s="25"/>
      <c r="C1" s="25"/>
      <c r="D1" s="25"/>
      <c r="E1" s="25"/>
      <c r="F1" s="25">
        <f>inputPrYr!C10</f>
        <v>2012</v>
      </c>
    </row>
    <row r="2" spans="1:6" ht="15.75">
      <c r="A2" s="356"/>
      <c r="B2" s="25"/>
      <c r="C2" s="25"/>
      <c r="D2" s="25"/>
      <c r="E2" s="25"/>
      <c r="F2" s="25"/>
    </row>
    <row r="3" spans="1:6" ht="15.75">
      <c r="A3" s="25"/>
      <c r="B3" s="25"/>
      <c r="C3" s="25"/>
      <c r="D3" s="25"/>
      <c r="E3" s="25"/>
      <c r="F3" s="25"/>
    </row>
    <row r="4" spans="1:6" ht="15.75">
      <c r="A4" s="28"/>
      <c r="B4" s="661" t="str">
        <f>CONCATENATE("",F1," Neighborhood Revitalization Rebate")</f>
        <v>2012 Neighborhood Revitalization Rebate</v>
      </c>
      <c r="C4" s="700"/>
      <c r="D4" s="700"/>
      <c r="E4" s="701"/>
      <c r="F4" s="25"/>
    </row>
    <row r="5" spans="1:6" ht="15.75">
      <c r="A5" s="28"/>
      <c r="B5" s="28"/>
      <c r="C5" s="28"/>
      <c r="D5" s="28"/>
      <c r="E5" s="28"/>
      <c r="F5" s="25"/>
    </row>
    <row r="6" spans="1:6" ht="51.75" customHeight="1">
      <c r="A6" s="28"/>
      <c r="B6" s="357" t="str">
        <f>CONCATENATE("Budgeted Funds               for ",F1,"")</f>
        <v>Budgeted Funds               for 2012</v>
      </c>
      <c r="C6" s="357" t="str">
        <f>CONCATENATE("",F1-1," Ad Valorem before Rebate**")</f>
        <v>2011 Ad Valorem before Rebate**</v>
      </c>
      <c r="D6" s="358" t="str">
        <f>CONCATENATE("",F1-1," Mil Rate before Rebate")</f>
        <v>2011 Mil Rate before Rebate</v>
      </c>
      <c r="E6" s="359" t="str">
        <f>CONCATENATE("Estimate ",F1," NR Rebate")</f>
        <v>Estimate 2012 NR Rebate</v>
      </c>
      <c r="F6" s="25"/>
    </row>
    <row r="7" spans="1:6" ht="15.75">
      <c r="A7" s="28"/>
      <c r="B7" s="50" t="str">
        <f>inputPrYr!B22</f>
        <v>General</v>
      </c>
      <c r="C7" s="360"/>
      <c r="D7" s="361">
        <f aca="true" t="shared" si="0" ref="D7:D12">IF(C7&gt;0,C7/$D$19,"")</f>
      </c>
      <c r="E7" s="206">
        <f aca="true" t="shared" si="1" ref="E7:E12">IF(C7&gt;0,ROUND(D7*$D$23,0),"")</f>
      </c>
      <c r="F7" s="25"/>
    </row>
    <row r="8" spans="1:6" ht="15.75">
      <c r="A8" s="28"/>
      <c r="B8" s="50" t="str">
        <f>IF(inputPrYr!B23&gt;"",inputPrYr!B23,"")</f>
        <v>Debt Service</v>
      </c>
      <c r="C8" s="360"/>
      <c r="D8" s="361">
        <f t="shared" si="0"/>
      </c>
      <c r="E8" s="206">
        <f t="shared" si="1"/>
      </c>
      <c r="F8" s="25"/>
    </row>
    <row r="9" spans="1:6" ht="15.75">
      <c r="A9" s="28"/>
      <c r="B9" s="72" t="str">
        <f>IF((inputPrYr!$B25&gt;"  "),(inputPrYr!$B25),"  ")</f>
        <v>  </v>
      </c>
      <c r="C9" s="360"/>
      <c r="D9" s="361">
        <f t="shared" si="0"/>
      </c>
      <c r="E9" s="206">
        <f t="shared" si="1"/>
      </c>
      <c r="F9" s="25"/>
    </row>
    <row r="10" spans="1:6" ht="15.75">
      <c r="A10" s="28"/>
      <c r="B10" s="72" t="str">
        <f>IF((inputPrYr!$B26&gt;"  "),(inputPrYr!$B26),"  ")</f>
        <v>  </v>
      </c>
      <c r="C10" s="360"/>
      <c r="D10" s="361">
        <f t="shared" si="0"/>
      </c>
      <c r="E10" s="206">
        <f t="shared" si="1"/>
      </c>
      <c r="F10" s="25"/>
    </row>
    <row r="11" spans="1:6" ht="15.75">
      <c r="A11" s="28"/>
      <c r="B11" s="72" t="str">
        <f>IF((inputPrYr!$B27&gt;"  "),(inputPrYr!$B27),"  ")</f>
        <v>  </v>
      </c>
      <c r="C11" s="360"/>
      <c r="D11" s="361">
        <f t="shared" si="0"/>
      </c>
      <c r="E11" s="206">
        <f t="shared" si="1"/>
      </c>
      <c r="F11" s="25"/>
    </row>
    <row r="12" spans="1:6" ht="15.75">
      <c r="A12" s="28"/>
      <c r="B12" s="72" t="str">
        <f>IF((inputPrYr!$B28&gt;"  "),(inputPrYr!$B28),"  ")</f>
        <v>  </v>
      </c>
      <c r="C12" s="360"/>
      <c r="D12" s="361">
        <f t="shared" si="0"/>
      </c>
      <c r="E12" s="206">
        <f t="shared" si="1"/>
      </c>
      <c r="F12" s="25"/>
    </row>
    <row r="13" spans="1:6" ht="15.75">
      <c r="A13" s="28"/>
      <c r="B13" s="72" t="str">
        <f>IF((inputPrYr!$B29&gt;"  "),(inputPrYr!$B29),"  ")</f>
        <v>  </v>
      </c>
      <c r="C13" s="423"/>
      <c r="D13" s="361">
        <f>IF(C13&gt;0,C13/$D$19,"")</f>
      </c>
      <c r="E13" s="206">
        <f>IF(C13&gt;0,ROUND(D13*$D$23,0),"")</f>
      </c>
      <c r="F13" s="25"/>
    </row>
    <row r="14" spans="1:6" ht="16.5" thickBot="1">
      <c r="A14" s="28"/>
      <c r="B14" s="51" t="s">
        <v>43</v>
      </c>
      <c r="C14" s="362">
        <f>SUM(C7:C13)</f>
        <v>0</v>
      </c>
      <c r="D14" s="363">
        <f>SUM(D7:D13)</f>
        <v>0</v>
      </c>
      <c r="E14" s="362">
        <f>SUM(E7:E13)</f>
        <v>0</v>
      </c>
      <c r="F14" s="25"/>
    </row>
    <row r="15" spans="1:6" ht="16.5" thickTop="1">
      <c r="A15" s="28"/>
      <c r="B15" s="28"/>
      <c r="C15" s="28"/>
      <c r="D15" s="28"/>
      <c r="E15" s="28"/>
      <c r="F15" s="25"/>
    </row>
    <row r="16" spans="1:6" ht="15.75">
      <c r="A16" s="28"/>
      <c r="B16" s="28"/>
      <c r="C16" s="28"/>
      <c r="D16" s="28"/>
      <c r="E16" s="28"/>
      <c r="F16" s="25"/>
    </row>
    <row r="17" spans="1:6" ht="15.75">
      <c r="A17" s="702" t="str">
        <f>CONCATENATE("",F1-1," July 1 Valuation:")</f>
        <v>2011 July 1 Valuation:</v>
      </c>
      <c r="B17" s="676"/>
      <c r="C17" s="702"/>
      <c r="D17" s="353">
        <f>(inputOth!B14)</f>
        <v>182951</v>
      </c>
      <c r="E17" s="28"/>
      <c r="F17" s="25"/>
    </row>
    <row r="18" spans="1:6" ht="15.75">
      <c r="A18" s="28"/>
      <c r="B18" s="28"/>
      <c r="C18" s="28"/>
      <c r="D18" s="28"/>
      <c r="E18" s="28"/>
      <c r="F18" s="25"/>
    </row>
    <row r="19" spans="1:6" ht="15.75">
      <c r="A19" s="28"/>
      <c r="B19" s="702" t="s">
        <v>389</v>
      </c>
      <c r="C19" s="702"/>
      <c r="D19" s="364">
        <f>IF(D17&gt;0,(D17*0.001),"")</f>
        <v>182.951</v>
      </c>
      <c r="E19" s="28"/>
      <c r="F19" s="25"/>
    </row>
    <row r="20" spans="1:6" ht="15.75">
      <c r="A20" s="28"/>
      <c r="B20" s="195"/>
      <c r="C20" s="195"/>
      <c r="D20" s="365"/>
      <c r="E20" s="28"/>
      <c r="F20" s="25"/>
    </row>
    <row r="21" spans="1:6" ht="15.75">
      <c r="A21" s="699" t="s">
        <v>390</v>
      </c>
      <c r="B21" s="701"/>
      <c r="C21" s="701"/>
      <c r="D21" s="366">
        <f>inputOth!E25</f>
        <v>13662</v>
      </c>
      <c r="E21" s="90"/>
      <c r="F21" s="90"/>
    </row>
    <row r="22" spans="1:6" ht="15">
      <c r="A22" s="90"/>
      <c r="B22" s="90"/>
      <c r="C22" s="90"/>
      <c r="D22" s="26"/>
      <c r="E22" s="90"/>
      <c r="F22" s="90"/>
    </row>
    <row r="23" spans="1:6" ht="15.75">
      <c r="A23" s="90"/>
      <c r="B23" s="699" t="s">
        <v>391</v>
      </c>
      <c r="C23" s="676"/>
      <c r="D23" s="367">
        <f>IF(D21&gt;0,(D21*0.001),"")</f>
        <v>13.662</v>
      </c>
      <c r="E23" s="90"/>
      <c r="F23" s="90"/>
    </row>
    <row r="24" spans="1:6" ht="15">
      <c r="A24" s="90"/>
      <c r="B24" s="90"/>
      <c r="C24" s="90"/>
      <c r="D24" s="90"/>
      <c r="E24" s="90"/>
      <c r="F24" s="90"/>
    </row>
    <row r="25" spans="1:6" ht="15">
      <c r="A25" s="90"/>
      <c r="B25" s="90"/>
      <c r="C25" s="90"/>
      <c r="D25" s="90"/>
      <c r="E25" s="90"/>
      <c r="F25" s="90"/>
    </row>
    <row r="26" spans="1:6" ht="15">
      <c r="A26" s="90"/>
      <c r="B26" s="90"/>
      <c r="C26" s="90"/>
      <c r="D26" s="90"/>
      <c r="E26" s="90"/>
      <c r="F26" s="90"/>
    </row>
    <row r="27" spans="1:6" ht="15.75">
      <c r="A27" s="403" t="str">
        <f>CONCATENATE("**This information comes from the ",F1," Budget Summary page.  See instructions tab #11 for completing")</f>
        <v>**This information comes from the 2012 Budget Summary page.  See instructions tab #11 for completing</v>
      </c>
      <c r="B27" s="90"/>
      <c r="C27" s="90"/>
      <c r="D27" s="90"/>
      <c r="E27" s="90"/>
      <c r="F27" s="90"/>
    </row>
    <row r="28" spans="1:6" ht="15.75">
      <c r="A28" s="403" t="s">
        <v>667</v>
      </c>
      <c r="B28" s="90"/>
      <c r="C28" s="90"/>
      <c r="D28" s="90"/>
      <c r="E28" s="90"/>
      <c r="F28" s="90"/>
    </row>
    <row r="29" spans="1:6" ht="15.75">
      <c r="A29" s="403"/>
      <c r="B29" s="90"/>
      <c r="C29" s="90"/>
      <c r="D29" s="90"/>
      <c r="E29" s="90"/>
      <c r="F29" s="90"/>
    </row>
    <row r="30" spans="1:6" ht="15.75">
      <c r="A30" s="403"/>
      <c r="B30" s="90"/>
      <c r="C30" s="90"/>
      <c r="D30" s="90"/>
      <c r="E30" s="90"/>
      <c r="F30" s="90"/>
    </row>
    <row r="31" spans="1:6" ht="15.75">
      <c r="A31" s="403"/>
      <c r="B31" s="90"/>
      <c r="C31" s="90"/>
      <c r="D31" s="90"/>
      <c r="E31" s="90"/>
      <c r="F31" s="90"/>
    </row>
    <row r="32" spans="1:6" ht="15.75">
      <c r="A32" s="403"/>
      <c r="B32" s="90"/>
      <c r="C32" s="90"/>
      <c r="D32" s="90"/>
      <c r="E32" s="90"/>
      <c r="F32" s="90"/>
    </row>
    <row r="33" spans="1:6" ht="15.75">
      <c r="A33" s="403"/>
      <c r="B33" s="90"/>
      <c r="C33" s="90"/>
      <c r="D33" s="90"/>
      <c r="E33" s="90"/>
      <c r="F33" s="90"/>
    </row>
    <row r="34" spans="1:6" ht="15">
      <c r="A34" s="90"/>
      <c r="B34" s="90"/>
      <c r="C34" s="90"/>
      <c r="D34" s="90"/>
      <c r="E34" s="90"/>
      <c r="F34" s="90"/>
    </row>
    <row r="35" spans="1:6" ht="15.75">
      <c r="A35" s="90"/>
      <c r="B35" s="292" t="s">
        <v>63</v>
      </c>
      <c r="C35" s="295">
        <v>11</v>
      </c>
      <c r="D35" s="90"/>
      <c r="E35" s="90"/>
      <c r="F35" s="90"/>
    </row>
  </sheetData>
  <sheetProtection sheet="1" objects="1" scenarios="1"/>
  <mergeCells count="5">
    <mergeCell ref="B23:C23"/>
    <mergeCell ref="B4:E4"/>
    <mergeCell ref="A17:C17"/>
    <mergeCell ref="B19:C19"/>
    <mergeCell ref="A21:C21"/>
  </mergeCells>
  <printOptions/>
  <pageMargins left="0.75" right="0.75" top="1" bottom="1" header="0.5" footer="0.5"/>
  <pageSetup blackAndWhite="1" fitToHeight="1" fitToWidth="1" horizontalDpi="600" verticalDpi="600" orientation="portrait" scale="98"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23" sqref="A23"/>
    </sheetView>
  </sheetViews>
  <sheetFormatPr defaultColWidth="8.796875" defaultRowHeight="15"/>
  <sheetData>
    <row r="1" spans="1:7" ht="16.5" customHeight="1">
      <c r="A1" s="703" t="s">
        <v>176</v>
      </c>
      <c r="B1" s="703"/>
      <c r="C1" s="703"/>
      <c r="D1" s="703"/>
      <c r="E1" s="703"/>
      <c r="F1" s="703"/>
      <c r="G1" s="703"/>
    </row>
    <row r="2" spans="1:7" ht="16.5" customHeight="1">
      <c r="A2" s="703"/>
      <c r="B2" s="703"/>
      <c r="C2" s="703"/>
      <c r="D2" s="703"/>
      <c r="E2" s="703"/>
      <c r="F2" s="703"/>
      <c r="G2" s="703"/>
    </row>
    <row r="3" spans="1:7" ht="16.5" customHeight="1">
      <c r="A3" s="704"/>
      <c r="B3" s="704"/>
      <c r="C3" s="704"/>
      <c r="D3" s="704"/>
      <c r="E3" s="704"/>
      <c r="F3" s="704"/>
      <c r="G3" s="704"/>
    </row>
    <row r="4" spans="1:7" ht="16.5" customHeight="1">
      <c r="A4" s="705" t="str">
        <f>CONCATENATE("AN ORDINANCE ATTESTING TO AN INCREASE IN TAX REVENUES FOR BUDGET YEAR ",(inputPrYr!$C$10)," FOR THE ",(inputPrYr!$D$3))</f>
        <v>AN ORDINANCE ATTESTING TO AN INCREASE IN TAX REVENUES FOR BUDGET YEAR 2012 FOR THE City of Vining</v>
      </c>
      <c r="B4" s="705"/>
      <c r="C4" s="705"/>
      <c r="D4" s="705"/>
      <c r="E4" s="705"/>
      <c r="F4" s="705"/>
      <c r="G4" s="705"/>
    </row>
    <row r="5" spans="1:7" ht="16.5" customHeight="1">
      <c r="A5" s="705"/>
      <c r="B5" s="705"/>
      <c r="C5" s="705"/>
      <c r="D5" s="705"/>
      <c r="E5" s="705"/>
      <c r="F5" s="705"/>
      <c r="G5" s="705"/>
    </row>
    <row r="6" spans="1:7" ht="16.5" customHeight="1">
      <c r="A6" s="703"/>
      <c r="B6" s="703"/>
      <c r="C6" s="703"/>
      <c r="D6" s="703"/>
      <c r="E6" s="703"/>
      <c r="F6" s="703"/>
      <c r="G6" s="703"/>
    </row>
    <row r="7" spans="1:14" ht="16.5" customHeight="1">
      <c r="A7" s="705" t="str">
        <f>CONCATENATE("WHEREAS, the  ",(inputPrYr!$D$3)," must continue to provide services to protect the health, safety, and welfare of the citizens of this community; and")</f>
        <v>WHEREAS, the  City of Vining must continue to provide services to protect the health, safety, and welfare of the citizens of this community; and</v>
      </c>
      <c r="B7" s="705"/>
      <c r="C7" s="705"/>
      <c r="D7" s="705"/>
      <c r="E7" s="705"/>
      <c r="F7" s="705"/>
      <c r="G7" s="705"/>
      <c r="H7" s="2"/>
      <c r="I7" s="2"/>
      <c r="J7" s="2"/>
      <c r="K7" s="2"/>
      <c r="L7" s="2"/>
      <c r="M7" s="2"/>
      <c r="N7" s="2"/>
    </row>
    <row r="8" spans="1:14" ht="16.5" customHeight="1">
      <c r="A8" s="705"/>
      <c r="B8" s="705"/>
      <c r="C8" s="705"/>
      <c r="D8" s="705"/>
      <c r="E8" s="705"/>
      <c r="F8" s="705"/>
      <c r="G8" s="705"/>
      <c r="H8" s="2"/>
      <c r="I8" s="2"/>
      <c r="J8" s="2"/>
      <c r="K8" s="2"/>
      <c r="L8" s="2"/>
      <c r="M8" s="2"/>
      <c r="N8" s="2"/>
    </row>
    <row r="9" spans="1:7" ht="16.5" customHeight="1">
      <c r="A9" s="5"/>
      <c r="B9" s="5"/>
      <c r="C9" s="5"/>
      <c r="D9" s="5"/>
      <c r="E9" s="5"/>
      <c r="F9" s="5"/>
      <c r="G9" s="5"/>
    </row>
    <row r="10" spans="1:7" ht="16.5" customHeight="1">
      <c r="A10" s="705" t="s">
        <v>177</v>
      </c>
      <c r="B10" s="705"/>
      <c r="C10" s="705"/>
      <c r="D10" s="705"/>
      <c r="E10" s="705"/>
      <c r="F10" s="705"/>
      <c r="G10" s="705"/>
    </row>
    <row r="11" spans="1:7" ht="16.5" customHeight="1">
      <c r="A11" s="705"/>
      <c r="B11" s="705"/>
      <c r="C11" s="705"/>
      <c r="D11" s="705"/>
      <c r="E11" s="705"/>
      <c r="F11" s="705"/>
      <c r="G11" s="705"/>
    </row>
    <row r="12" spans="1:7" ht="16.5" customHeight="1">
      <c r="A12" s="5"/>
      <c r="B12" s="5"/>
      <c r="C12" s="5"/>
      <c r="D12" s="5"/>
      <c r="E12" s="5"/>
      <c r="F12" s="5"/>
      <c r="G12" s="5"/>
    </row>
    <row r="13" spans="1:14" ht="16.5" customHeight="1">
      <c r="A13" s="705" t="str">
        <f>CONCATENATE("NOW THEREFORE, be it ordained by the Governing Body of the ",(inputPrYr!$D$3),":")</f>
        <v>NOW THEREFORE, be it ordained by the Governing Body of the City of Vining:</v>
      </c>
      <c r="B13" s="705"/>
      <c r="C13" s="705"/>
      <c r="D13" s="705"/>
      <c r="E13" s="705"/>
      <c r="F13" s="705"/>
      <c r="G13" s="705"/>
      <c r="H13" s="2"/>
      <c r="I13" s="2"/>
      <c r="J13" s="2"/>
      <c r="K13" s="2"/>
      <c r="L13" s="2"/>
      <c r="M13" s="2"/>
      <c r="N13" s="2"/>
    </row>
    <row r="14" spans="1:14" ht="16.5" customHeight="1">
      <c r="A14" s="705"/>
      <c r="B14" s="705"/>
      <c r="C14" s="705"/>
      <c r="D14" s="705"/>
      <c r="E14" s="705"/>
      <c r="F14" s="705"/>
      <c r="G14" s="705"/>
      <c r="H14" s="2"/>
      <c r="I14" s="2"/>
      <c r="J14" s="2"/>
      <c r="K14" s="2"/>
      <c r="L14" s="2"/>
      <c r="M14" s="2"/>
      <c r="N14" s="2"/>
    </row>
    <row r="15" spans="1:14" ht="16.5" customHeight="1">
      <c r="A15" s="705" t="str">
        <f>CONCATENATE("Section One.  In accordance with state law, the ",(inputPrYr!$D$3),"  has scheduled a public hearing and has prepared the proposed budget necessary to fund city services from January 1, ",(inputPrYr!$C$10)," until December 31, ",(inputPrYr!$C$10),".")</f>
        <v>Section One.  In accordance with state law, the City of Vining  has scheduled a public hearing and has prepared the proposed budget necessary to fund city services from January 1, 2012 until December 31, 2012.</v>
      </c>
      <c r="B15" s="705"/>
      <c r="C15" s="705"/>
      <c r="D15" s="705"/>
      <c r="E15" s="705"/>
      <c r="F15" s="705"/>
      <c r="G15" s="705"/>
      <c r="H15" s="2"/>
      <c r="I15" s="2"/>
      <c r="J15" s="2"/>
      <c r="K15" s="2"/>
      <c r="L15" s="2"/>
      <c r="M15" s="2"/>
      <c r="N15" s="2"/>
    </row>
    <row r="16" spans="1:14" ht="16.5" customHeight="1">
      <c r="A16" s="705"/>
      <c r="B16" s="705"/>
      <c r="C16" s="705"/>
      <c r="D16" s="705"/>
      <c r="E16" s="705"/>
      <c r="F16" s="705"/>
      <c r="G16" s="705"/>
      <c r="H16" s="2"/>
      <c r="I16" s="2"/>
      <c r="J16" s="2"/>
      <c r="K16" s="2"/>
      <c r="L16" s="2"/>
      <c r="M16" s="2"/>
      <c r="N16" s="2"/>
    </row>
    <row r="17" spans="1:14" ht="16.5" customHeight="1">
      <c r="A17" s="705"/>
      <c r="B17" s="705"/>
      <c r="C17" s="705"/>
      <c r="D17" s="705"/>
      <c r="E17" s="705"/>
      <c r="F17" s="705"/>
      <c r="G17" s="705"/>
      <c r="H17" s="3"/>
      <c r="I17" s="3"/>
      <c r="J17" s="3"/>
      <c r="K17" s="3"/>
      <c r="L17" s="3"/>
      <c r="M17" s="3"/>
      <c r="N17" s="3"/>
    </row>
    <row r="18" spans="1:7" ht="16.5" customHeight="1">
      <c r="A18" s="6"/>
      <c r="B18" s="6"/>
      <c r="C18" s="6"/>
      <c r="D18" s="6"/>
      <c r="E18" s="6"/>
      <c r="F18" s="6"/>
      <c r="G18" s="6"/>
    </row>
    <row r="19" spans="1:7" ht="16.5" customHeight="1">
      <c r="A19" s="7" t="s">
        <v>7</v>
      </c>
      <c r="B19" s="7"/>
      <c r="C19" s="7"/>
      <c r="D19" s="7"/>
      <c r="E19" s="7"/>
      <c r="F19" s="7"/>
      <c r="G19" s="7"/>
    </row>
    <row r="20" spans="1:7" ht="16.5" customHeight="1">
      <c r="A20" s="7" t="s">
        <v>8</v>
      </c>
      <c r="B20" s="7"/>
      <c r="C20" s="7"/>
      <c r="D20" s="7"/>
      <c r="E20" s="7"/>
      <c r="F20" s="7"/>
      <c r="G20" s="7"/>
    </row>
    <row r="21" spans="1:7" ht="16.5" customHeight="1">
      <c r="A21" s="4" t="str">
        <f>CONCATENATE("necessary to budget property tax revenues in an amount exceeding the levy in the ",inputPrYr!$C$10-1,"")</f>
        <v>necessary to budget property tax revenues in an amount exceeding the levy in the 2011</v>
      </c>
      <c r="B21" s="4"/>
      <c r="C21" s="4"/>
      <c r="D21" s="4"/>
      <c r="E21" s="4"/>
      <c r="F21" s="4"/>
      <c r="G21" s="4"/>
    </row>
    <row r="22" spans="1:7" ht="16.5" customHeight="1">
      <c r="A22" s="4" t="s">
        <v>9</v>
      </c>
      <c r="B22" s="4"/>
      <c r="C22" s="4"/>
      <c r="D22" s="4"/>
      <c r="E22" s="4"/>
      <c r="F22" s="4"/>
      <c r="G22" s="4"/>
    </row>
    <row r="23" spans="1:7" ht="16.5" customHeight="1">
      <c r="A23" s="6"/>
      <c r="B23" s="6"/>
      <c r="C23" s="6"/>
      <c r="D23" s="6"/>
      <c r="E23" s="6"/>
      <c r="F23" s="6"/>
      <c r="G23" s="6"/>
    </row>
    <row r="24" spans="1:7" ht="16.5" customHeight="1">
      <c r="A24" s="705" t="s">
        <v>178</v>
      </c>
      <c r="B24" s="705"/>
      <c r="C24" s="705"/>
      <c r="D24" s="705"/>
      <c r="E24" s="705"/>
      <c r="F24" s="705"/>
      <c r="G24" s="705"/>
    </row>
    <row r="25" spans="1:7" ht="16.5" customHeight="1">
      <c r="A25" s="705"/>
      <c r="B25" s="705"/>
      <c r="C25" s="705"/>
      <c r="D25" s="705"/>
      <c r="E25" s="705"/>
      <c r="F25" s="705"/>
      <c r="G25" s="705"/>
    </row>
    <row r="26" spans="1:7" ht="16.5" customHeight="1">
      <c r="A26" s="6"/>
      <c r="B26" s="6"/>
      <c r="C26" s="6"/>
      <c r="D26" s="6"/>
      <c r="E26" s="6"/>
      <c r="F26" s="6"/>
      <c r="G26" s="6"/>
    </row>
    <row r="27" spans="1:7" ht="16.5" customHeight="1">
      <c r="A27" s="705" t="str">
        <f>CONCATENATE("Passed and approved by the Governing Body on this ______ day of __________, ",(inputPrYr!$C$10-1),".")</f>
        <v>Passed and approved by the Governing Body on this ______ day of __________, 2011.</v>
      </c>
      <c r="B27" s="705"/>
      <c r="C27" s="705"/>
      <c r="D27" s="705"/>
      <c r="E27" s="705"/>
      <c r="F27" s="705"/>
      <c r="G27" s="705"/>
    </row>
    <row r="28" spans="1:7" ht="16.5" customHeight="1">
      <c r="A28" s="705"/>
      <c r="B28" s="705"/>
      <c r="C28" s="705"/>
      <c r="D28" s="705"/>
      <c r="E28" s="705"/>
      <c r="F28" s="705"/>
      <c r="G28" s="705"/>
    </row>
    <row r="29" spans="1:7" ht="16.5" customHeight="1">
      <c r="A29" s="8"/>
      <c r="B29" s="1"/>
      <c r="C29" s="1"/>
      <c r="D29" s="1"/>
      <c r="E29" s="1"/>
      <c r="F29" s="1"/>
      <c r="G29" s="1"/>
    </row>
    <row r="30" spans="1:7" ht="16.5" customHeight="1">
      <c r="A30" s="706" t="s">
        <v>179</v>
      </c>
      <c r="B30" s="706"/>
      <c r="C30" s="706"/>
      <c r="D30" s="706"/>
      <c r="E30" s="706"/>
      <c r="F30" s="706"/>
      <c r="G30" s="706"/>
    </row>
    <row r="31" spans="1:7" ht="16.5" customHeight="1">
      <c r="A31" s="706" t="s">
        <v>180</v>
      </c>
      <c r="B31" s="706"/>
      <c r="C31" s="706"/>
      <c r="D31" s="706"/>
      <c r="E31" s="706"/>
      <c r="F31" s="706"/>
      <c r="G31" s="706"/>
    </row>
    <row r="32" spans="1:7" ht="16.5" customHeight="1">
      <c r="A32" s="8" t="s">
        <v>181</v>
      </c>
      <c r="B32" s="1"/>
      <c r="C32" s="1"/>
      <c r="D32" s="1"/>
      <c r="E32" s="1"/>
      <c r="F32" s="1"/>
      <c r="G32" s="1"/>
    </row>
    <row r="33" spans="1:7" ht="16.5" customHeight="1">
      <c r="A33" s="1"/>
      <c r="B33" s="8" t="s">
        <v>182</v>
      </c>
      <c r="C33" s="1"/>
      <c r="D33" s="1"/>
      <c r="E33" s="1"/>
      <c r="F33" s="1"/>
      <c r="G33" s="1"/>
    </row>
    <row r="34" spans="1:7" ht="16.5" customHeight="1">
      <c r="A34" s="8"/>
      <c r="B34" s="1"/>
      <c r="C34" s="1"/>
      <c r="D34" s="1"/>
      <c r="E34" s="1"/>
      <c r="F34" s="1"/>
      <c r="G34" s="1"/>
    </row>
    <row r="35" spans="1:7" ht="16.5" customHeight="1">
      <c r="A35" s="8"/>
      <c r="B35" s="1"/>
      <c r="C35" s="1"/>
      <c r="D35" s="1"/>
      <c r="E35" s="1"/>
      <c r="F35" s="1"/>
      <c r="G35" s="1"/>
    </row>
    <row r="36" spans="1:7" ht="16.5" customHeight="1">
      <c r="A36" s="8" t="s">
        <v>183</v>
      </c>
      <c r="B36" s="1"/>
      <c r="C36" s="1"/>
      <c r="D36" s="1"/>
      <c r="E36" s="1"/>
      <c r="F36" s="1"/>
      <c r="G36" s="1"/>
    </row>
    <row r="37" spans="1:7" ht="16.5" customHeight="1">
      <c r="A37" s="8"/>
      <c r="B37" s="1"/>
      <c r="C37" s="1"/>
      <c r="D37" s="1"/>
      <c r="E37" s="1"/>
      <c r="F37" s="1"/>
      <c r="G37" s="1"/>
    </row>
    <row r="38" spans="1:7" ht="16.5" customHeight="1">
      <c r="A38" s="8"/>
      <c r="B38" s="1"/>
      <c r="C38" s="1"/>
      <c r="D38" s="1"/>
      <c r="E38" s="1"/>
      <c r="F38" s="1"/>
      <c r="G38" s="1"/>
    </row>
    <row r="39" spans="1:7" ht="16.5" customHeight="1">
      <c r="A39" s="8"/>
      <c r="B39" s="1"/>
      <c r="C39" s="1"/>
      <c r="D39" s="1"/>
      <c r="E39" s="1"/>
      <c r="F39" s="1"/>
      <c r="G39" s="1"/>
    </row>
    <row r="40" spans="1:7" ht="16.5" customHeight="1">
      <c r="A40" s="8" t="s">
        <v>184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7" t="s">
        <v>436</v>
      </c>
      <c r="B3" s="387"/>
      <c r="C3" s="387"/>
      <c r="D3" s="387"/>
      <c r="E3" s="387"/>
      <c r="F3" s="387"/>
      <c r="G3" s="387"/>
      <c r="H3" s="387"/>
      <c r="I3" s="387"/>
      <c r="J3" s="387"/>
      <c r="K3" s="387"/>
      <c r="L3" s="387"/>
    </row>
    <row r="5" ht="15">
      <c r="A5" s="388" t="s">
        <v>437</v>
      </c>
    </row>
    <row r="6" ht="15">
      <c r="A6" s="388" t="str">
        <f>CONCATENATE(inputPrYr!C10-2," 'total expenditures' exceed your ",inputPrYr!C10-2," 'budget authority.'")</f>
        <v>2010 'total expenditures' exceed your 2010 'budget authority.'</v>
      </c>
    </row>
    <row r="7" ht="15">
      <c r="A7" s="388"/>
    </row>
    <row r="8" ht="15">
      <c r="A8" s="388" t="s">
        <v>438</v>
      </c>
    </row>
    <row r="9" ht="15">
      <c r="A9" s="388" t="s">
        <v>439</v>
      </c>
    </row>
    <row r="10" ht="15">
      <c r="A10" s="388" t="s">
        <v>440</v>
      </c>
    </row>
    <row r="11" ht="15">
      <c r="A11" s="388"/>
    </row>
    <row r="12" ht="15">
      <c r="A12" s="388"/>
    </row>
    <row r="13" ht="15">
      <c r="A13" s="389" t="s">
        <v>441</v>
      </c>
    </row>
    <row r="15" ht="15">
      <c r="A15" s="388" t="s">
        <v>442</v>
      </c>
    </row>
    <row r="16" ht="15">
      <c r="A16" s="388" t="str">
        <f>CONCATENATE("(i.e. an audit has not been completed, or the ",inputPrYr!C10," adopted")</f>
        <v>(i.e. an audit has not been completed, or the 2012 adopted</v>
      </c>
    </row>
    <row r="17" ht="15">
      <c r="A17" s="388" t="s">
        <v>443</v>
      </c>
    </row>
    <row r="18" ht="15">
      <c r="A18" s="388" t="s">
        <v>444</v>
      </c>
    </row>
    <row r="19" ht="15">
      <c r="A19" s="388" t="s">
        <v>445</v>
      </c>
    </row>
    <row r="21" ht="15">
      <c r="A21" s="389" t="s">
        <v>446</v>
      </c>
    </row>
    <row r="22" ht="15">
      <c r="A22" s="389"/>
    </row>
    <row r="23" ht="15">
      <c r="A23" s="388" t="s">
        <v>447</v>
      </c>
    </row>
    <row r="24" ht="15">
      <c r="A24" s="388" t="s">
        <v>448</v>
      </c>
    </row>
    <row r="25" ht="15">
      <c r="A25" s="388" t="str">
        <f>CONCATENATE("particular fund.  If your ",inputPrYr!C10-2," budget was amended, did you")</f>
        <v>particular fund.  If your 2010 budget was amended, did you</v>
      </c>
    </row>
    <row r="26" ht="15">
      <c r="A26" s="388" t="s">
        <v>449</v>
      </c>
    </row>
    <row r="27" ht="15">
      <c r="A27" s="388"/>
    </row>
    <row r="28" ht="15">
      <c r="A28" s="388" t="str">
        <f>CONCATENATE("Next, look to see if any of your ",inputPrYr!C10-2," expenditures can be")</f>
        <v>Next, look to see if any of your 2010 expenditures can be</v>
      </c>
    </row>
    <row r="29" ht="15">
      <c r="A29" s="388" t="s">
        <v>450</v>
      </c>
    </row>
    <row r="30" ht="15">
      <c r="A30" s="388" t="s">
        <v>451</v>
      </c>
    </row>
    <row r="31" ht="15">
      <c r="A31" s="388" t="s">
        <v>452</v>
      </c>
    </row>
    <row r="32" ht="15">
      <c r="A32" s="388"/>
    </row>
    <row r="33" ht="15">
      <c r="A33" s="388" t="str">
        <f>CONCATENATE("Additionally, do your ",inputPrYr!C10-2," receipts contain a reimbursement")</f>
        <v>Additionally, do your 2010 receipts contain a reimbursement</v>
      </c>
    </row>
    <row r="34" ht="15">
      <c r="A34" s="388" t="s">
        <v>453</v>
      </c>
    </row>
    <row r="35" ht="15">
      <c r="A35" s="388" t="s">
        <v>454</v>
      </c>
    </row>
    <row r="36" ht="15">
      <c r="A36" s="388"/>
    </row>
    <row r="37" ht="15">
      <c r="A37" s="388" t="s">
        <v>455</v>
      </c>
    </row>
    <row r="38" ht="15">
      <c r="A38" s="388" t="s">
        <v>456</v>
      </c>
    </row>
    <row r="39" ht="15">
      <c r="A39" s="388" t="s">
        <v>457</v>
      </c>
    </row>
    <row r="40" ht="15">
      <c r="A40" s="388" t="s">
        <v>458</v>
      </c>
    </row>
    <row r="41" ht="15">
      <c r="A41" s="388" t="s">
        <v>459</v>
      </c>
    </row>
    <row r="42" ht="15">
      <c r="A42" s="388" t="s">
        <v>460</v>
      </c>
    </row>
    <row r="43" ht="15">
      <c r="A43" s="388" t="s">
        <v>461</v>
      </c>
    </row>
    <row r="44" ht="15">
      <c r="A44" s="388" t="s">
        <v>462</v>
      </c>
    </row>
    <row r="45" ht="15">
      <c r="A45" s="388"/>
    </row>
    <row r="46" ht="15">
      <c r="A46" s="388" t="s">
        <v>463</v>
      </c>
    </row>
    <row r="47" ht="15">
      <c r="A47" s="388" t="s">
        <v>464</v>
      </c>
    </row>
    <row r="48" ht="15">
      <c r="A48" s="388" t="s">
        <v>465</v>
      </c>
    </row>
    <row r="49" ht="15">
      <c r="A49" s="388"/>
    </row>
    <row r="50" ht="15">
      <c r="A50" s="388" t="s">
        <v>466</v>
      </c>
    </row>
    <row r="51" ht="15">
      <c r="A51" s="388" t="s">
        <v>467</v>
      </c>
    </row>
    <row r="52" ht="15">
      <c r="A52" s="388" t="s">
        <v>468</v>
      </c>
    </row>
    <row r="53" ht="15">
      <c r="A53" s="388"/>
    </row>
    <row r="54" ht="15">
      <c r="A54" s="389" t="s">
        <v>469</v>
      </c>
    </row>
    <row r="55" ht="15">
      <c r="A55" s="388"/>
    </row>
    <row r="56" ht="15">
      <c r="A56" s="388" t="s">
        <v>470</v>
      </c>
    </row>
    <row r="57" ht="15">
      <c r="A57" s="388" t="s">
        <v>471</v>
      </c>
    </row>
    <row r="58" ht="15">
      <c r="A58" s="388" t="s">
        <v>472</v>
      </c>
    </row>
    <row r="59" ht="15">
      <c r="A59" s="388" t="s">
        <v>473</v>
      </c>
    </row>
    <row r="60" ht="15">
      <c r="A60" s="388" t="s">
        <v>474</v>
      </c>
    </row>
    <row r="61" ht="15">
      <c r="A61" s="388" t="s">
        <v>475</v>
      </c>
    </row>
    <row r="62" ht="15">
      <c r="A62" s="388" t="s">
        <v>476</v>
      </c>
    </row>
    <row r="63" ht="15">
      <c r="A63" s="388" t="s">
        <v>477</v>
      </c>
    </row>
    <row r="64" ht="15">
      <c r="A64" s="388" t="s">
        <v>478</v>
      </c>
    </row>
    <row r="65" ht="15">
      <c r="A65" s="388" t="s">
        <v>479</v>
      </c>
    </row>
    <row r="66" ht="15">
      <c r="A66" s="388" t="s">
        <v>480</v>
      </c>
    </row>
    <row r="67" ht="15">
      <c r="A67" s="388" t="s">
        <v>481</v>
      </c>
    </row>
    <row r="68" ht="15">
      <c r="A68" s="388" t="s">
        <v>482</v>
      </c>
    </row>
    <row r="69" ht="15">
      <c r="A69" s="388"/>
    </row>
    <row r="70" ht="15">
      <c r="A70" s="388" t="s">
        <v>483</v>
      </c>
    </row>
    <row r="71" ht="15">
      <c r="A71" s="388" t="s">
        <v>484</v>
      </c>
    </row>
    <row r="72" ht="15">
      <c r="A72" s="388" t="s">
        <v>485</v>
      </c>
    </row>
    <row r="73" ht="15">
      <c r="A73" s="388"/>
    </row>
    <row r="74" ht="15">
      <c r="A74" s="389" t="str">
        <f>CONCATENATE("What if the ",inputPrYr!C10-2," financial records have been closed?")</f>
        <v>What if the 2010 financial records have been closed?</v>
      </c>
    </row>
    <row r="76" ht="15">
      <c r="A76" s="388" t="s">
        <v>486</v>
      </c>
    </row>
    <row r="77" ht="15">
      <c r="A77" s="388" t="str">
        <f>CONCATENATE("(i.e. an audit for ",inputPrYr!C10-2," has been completed, or the ",inputPrYr!C10)</f>
        <v>(i.e. an audit for 2010 has been completed, or the 2012</v>
      </c>
    </row>
    <row r="78" ht="15">
      <c r="A78" s="388" t="s">
        <v>487</v>
      </c>
    </row>
    <row r="79" ht="15">
      <c r="A79" s="388" t="s">
        <v>488</v>
      </c>
    </row>
    <row r="80" ht="15">
      <c r="A80" s="388"/>
    </row>
    <row r="81" ht="15">
      <c r="A81" s="388" t="s">
        <v>489</v>
      </c>
    </row>
    <row r="82" ht="15">
      <c r="A82" s="388" t="s">
        <v>490</v>
      </c>
    </row>
    <row r="83" ht="15">
      <c r="A83" s="388" t="s">
        <v>491</v>
      </c>
    </row>
    <row r="84" ht="15">
      <c r="A84" s="388"/>
    </row>
    <row r="85" ht="15">
      <c r="A85" s="388" t="s">
        <v>492</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7" t="s">
        <v>493</v>
      </c>
      <c r="B3" s="387"/>
      <c r="C3" s="387"/>
      <c r="D3" s="387"/>
      <c r="E3" s="387"/>
      <c r="F3" s="387"/>
      <c r="G3" s="387"/>
      <c r="H3" s="390"/>
      <c r="I3" s="390"/>
      <c r="J3" s="390"/>
    </row>
    <row r="5" ht="15">
      <c r="A5" s="388" t="s">
        <v>494</v>
      </c>
    </row>
    <row r="6" ht="15">
      <c r="A6" t="str">
        <f>CONCATENATE(inputPrYr!C10-2," expenditures show that you finished the year with a ")</f>
        <v>2010 expenditures show that you finished the year with a </v>
      </c>
    </row>
    <row r="7" ht="15">
      <c r="A7" t="s">
        <v>495</v>
      </c>
    </row>
    <row r="9" ht="15">
      <c r="A9" t="s">
        <v>496</v>
      </c>
    </row>
    <row r="10" ht="15">
      <c r="A10" t="s">
        <v>497</v>
      </c>
    </row>
    <row r="11" ht="15">
      <c r="A11" t="s">
        <v>498</v>
      </c>
    </row>
    <row r="13" ht="15">
      <c r="A13" s="389" t="s">
        <v>499</v>
      </c>
    </row>
    <row r="14" ht="15">
      <c r="A14" s="389"/>
    </row>
    <row r="15" ht="15">
      <c r="A15" s="388" t="s">
        <v>500</v>
      </c>
    </row>
    <row r="16" ht="15">
      <c r="A16" s="388" t="s">
        <v>501</v>
      </c>
    </row>
    <row r="17" ht="15">
      <c r="A17" s="388" t="s">
        <v>502</v>
      </c>
    </row>
    <row r="18" ht="15">
      <c r="A18" s="388"/>
    </row>
    <row r="19" ht="15">
      <c r="A19" s="389" t="s">
        <v>503</v>
      </c>
    </row>
    <row r="20" ht="15">
      <c r="A20" s="389"/>
    </row>
    <row r="21" ht="15">
      <c r="A21" s="388" t="s">
        <v>504</v>
      </c>
    </row>
    <row r="22" ht="15">
      <c r="A22" s="388" t="s">
        <v>505</v>
      </c>
    </row>
    <row r="23" ht="15">
      <c r="A23" s="388" t="s">
        <v>506</v>
      </c>
    </row>
    <row r="24" ht="15">
      <c r="A24" s="388"/>
    </row>
    <row r="25" ht="15">
      <c r="A25" s="389" t="s">
        <v>507</v>
      </c>
    </row>
    <row r="26" ht="15">
      <c r="A26" s="389"/>
    </row>
    <row r="27" ht="15">
      <c r="A27" s="388" t="s">
        <v>508</v>
      </c>
    </row>
    <row r="28" ht="15">
      <c r="A28" s="388" t="s">
        <v>509</v>
      </c>
    </row>
    <row r="29" ht="15">
      <c r="A29" s="388" t="s">
        <v>510</v>
      </c>
    </row>
    <row r="30" ht="15">
      <c r="A30" s="388"/>
    </row>
    <row r="31" ht="15">
      <c r="A31" s="389" t="s">
        <v>511</v>
      </c>
    </row>
    <row r="32" ht="15">
      <c r="A32" s="389"/>
    </row>
    <row r="33" spans="1:8" ht="15">
      <c r="A33" s="388" t="str">
        <f>CONCATENATE("If your financial records for ",inputPrYr!C10-2," are not closed")</f>
        <v>If your financial records for 2010 are not closed</v>
      </c>
      <c r="B33" s="388"/>
      <c r="C33" s="388"/>
      <c r="D33" s="388"/>
      <c r="E33" s="388"/>
      <c r="F33" s="388"/>
      <c r="G33" s="388"/>
      <c r="H33" s="388"/>
    </row>
    <row r="34" spans="1:8" ht="15">
      <c r="A34" s="388" t="str">
        <f>CONCATENATE("(i.e. an audit has not been completed, or the ",inputPrYr!C10," adopted ")</f>
        <v>(i.e. an audit has not been completed, or the 2012 adopted </v>
      </c>
      <c r="B34" s="388"/>
      <c r="C34" s="388"/>
      <c r="D34" s="388"/>
      <c r="E34" s="388"/>
      <c r="F34" s="388"/>
      <c r="G34" s="388"/>
      <c r="H34" s="388"/>
    </row>
    <row r="35" spans="1:8" ht="15">
      <c r="A35" s="388" t="s">
        <v>512</v>
      </c>
      <c r="B35" s="388"/>
      <c r="C35" s="388"/>
      <c r="D35" s="388"/>
      <c r="E35" s="388"/>
      <c r="F35" s="388"/>
      <c r="G35" s="388"/>
      <c r="H35" s="388"/>
    </row>
    <row r="36" spans="1:8" ht="15">
      <c r="A36" s="388" t="s">
        <v>513</v>
      </c>
      <c r="B36" s="388"/>
      <c r="C36" s="388"/>
      <c r="D36" s="388"/>
      <c r="E36" s="388"/>
      <c r="F36" s="388"/>
      <c r="G36" s="388"/>
      <c r="H36" s="388"/>
    </row>
    <row r="37" spans="1:8" ht="15">
      <c r="A37" s="388" t="s">
        <v>514</v>
      </c>
      <c r="B37" s="388"/>
      <c r="C37" s="388"/>
      <c r="D37" s="388"/>
      <c r="E37" s="388"/>
      <c r="F37" s="388"/>
      <c r="G37" s="388"/>
      <c r="H37" s="388"/>
    </row>
    <row r="38" spans="1:8" ht="15">
      <c r="A38" s="388" t="s">
        <v>515</v>
      </c>
      <c r="B38" s="388"/>
      <c r="C38" s="388"/>
      <c r="D38" s="388"/>
      <c r="E38" s="388"/>
      <c r="F38" s="388"/>
      <c r="G38" s="388"/>
      <c r="H38" s="388"/>
    </row>
    <row r="39" spans="1:8" ht="15">
      <c r="A39" s="388" t="s">
        <v>516</v>
      </c>
      <c r="B39" s="388"/>
      <c r="C39" s="388"/>
      <c r="D39" s="388"/>
      <c r="E39" s="388"/>
      <c r="F39" s="388"/>
      <c r="G39" s="388"/>
      <c r="H39" s="388"/>
    </row>
    <row r="40" spans="1:8" ht="15">
      <c r="A40" s="388"/>
      <c r="B40" s="388"/>
      <c r="C40" s="388"/>
      <c r="D40" s="388"/>
      <c r="E40" s="388"/>
      <c r="F40" s="388"/>
      <c r="G40" s="388"/>
      <c r="H40" s="388"/>
    </row>
    <row r="41" spans="1:8" ht="15">
      <c r="A41" s="388" t="s">
        <v>517</v>
      </c>
      <c r="B41" s="388"/>
      <c r="C41" s="388"/>
      <c r="D41" s="388"/>
      <c r="E41" s="388"/>
      <c r="F41" s="388"/>
      <c r="G41" s="388"/>
      <c r="H41" s="388"/>
    </row>
    <row r="42" spans="1:8" ht="15">
      <c r="A42" s="388" t="s">
        <v>518</v>
      </c>
      <c r="B42" s="388"/>
      <c r="C42" s="388"/>
      <c r="D42" s="388"/>
      <c r="E42" s="388"/>
      <c r="F42" s="388"/>
      <c r="G42" s="388"/>
      <c r="H42" s="388"/>
    </row>
    <row r="43" spans="1:8" ht="15">
      <c r="A43" s="388" t="s">
        <v>519</v>
      </c>
      <c r="B43" s="388"/>
      <c r="C43" s="388"/>
      <c r="D43" s="388"/>
      <c r="E43" s="388"/>
      <c r="F43" s="388"/>
      <c r="G43" s="388"/>
      <c r="H43" s="388"/>
    </row>
    <row r="44" spans="1:8" ht="15">
      <c r="A44" s="388" t="s">
        <v>520</v>
      </c>
      <c r="B44" s="388"/>
      <c r="C44" s="388"/>
      <c r="D44" s="388"/>
      <c r="E44" s="388"/>
      <c r="F44" s="388"/>
      <c r="G44" s="388"/>
      <c r="H44" s="388"/>
    </row>
    <row r="45" spans="1:8" ht="15">
      <c r="A45" s="388"/>
      <c r="B45" s="388"/>
      <c r="C45" s="388"/>
      <c r="D45" s="388"/>
      <c r="E45" s="388"/>
      <c r="F45" s="388"/>
      <c r="G45" s="388"/>
      <c r="H45" s="388"/>
    </row>
    <row r="46" spans="1:8" ht="15">
      <c r="A46" s="388" t="s">
        <v>521</v>
      </c>
      <c r="B46" s="388"/>
      <c r="C46" s="388"/>
      <c r="D46" s="388"/>
      <c r="E46" s="388"/>
      <c r="F46" s="388"/>
      <c r="G46" s="388"/>
      <c r="H46" s="388"/>
    </row>
    <row r="47" spans="1:8" ht="15">
      <c r="A47" s="388" t="s">
        <v>522</v>
      </c>
      <c r="B47" s="388"/>
      <c r="C47" s="388"/>
      <c r="D47" s="388"/>
      <c r="E47" s="388"/>
      <c r="F47" s="388"/>
      <c r="G47" s="388"/>
      <c r="H47" s="388"/>
    </row>
    <row r="48" spans="1:8" ht="15">
      <c r="A48" s="388" t="s">
        <v>523</v>
      </c>
      <c r="B48" s="388"/>
      <c r="C48" s="388"/>
      <c r="D48" s="388"/>
      <c r="E48" s="388"/>
      <c r="F48" s="388"/>
      <c r="G48" s="388"/>
      <c r="H48" s="388"/>
    </row>
    <row r="49" spans="1:8" ht="15">
      <c r="A49" s="388" t="s">
        <v>524</v>
      </c>
      <c r="B49" s="388"/>
      <c r="C49" s="388"/>
      <c r="D49" s="388"/>
      <c r="E49" s="388"/>
      <c r="F49" s="388"/>
      <c r="G49" s="388"/>
      <c r="H49" s="388"/>
    </row>
    <row r="50" spans="1:8" ht="15">
      <c r="A50" s="388" t="s">
        <v>525</v>
      </c>
      <c r="B50" s="388"/>
      <c r="C50" s="388"/>
      <c r="D50" s="388"/>
      <c r="E50" s="388"/>
      <c r="F50" s="388"/>
      <c r="G50" s="388"/>
      <c r="H50" s="388"/>
    </row>
    <row r="51" spans="1:8" ht="15">
      <c r="A51" s="388"/>
      <c r="B51" s="388"/>
      <c r="C51" s="388"/>
      <c r="D51" s="388"/>
      <c r="E51" s="388"/>
      <c r="F51" s="388"/>
      <c r="G51" s="388"/>
      <c r="H51" s="388"/>
    </row>
    <row r="52" spans="1:8" ht="15">
      <c r="A52" s="389" t="s">
        <v>526</v>
      </c>
      <c r="B52" s="389"/>
      <c r="C52" s="389"/>
      <c r="D52" s="389"/>
      <c r="E52" s="389"/>
      <c r="F52" s="389"/>
      <c r="G52" s="389"/>
      <c r="H52" s="388"/>
    </row>
    <row r="53" spans="1:8" ht="15">
      <c r="A53" s="389" t="s">
        <v>527</v>
      </c>
      <c r="B53" s="389"/>
      <c r="C53" s="389"/>
      <c r="D53" s="389"/>
      <c r="E53" s="389"/>
      <c r="F53" s="389"/>
      <c r="G53" s="389"/>
      <c r="H53" s="388"/>
    </row>
    <row r="54" spans="1:8" ht="15">
      <c r="A54" s="388"/>
      <c r="B54" s="388"/>
      <c r="C54" s="388"/>
      <c r="D54" s="388"/>
      <c r="E54" s="388"/>
      <c r="F54" s="388"/>
      <c r="G54" s="388"/>
      <c r="H54" s="388"/>
    </row>
    <row r="55" spans="1:8" ht="15">
      <c r="A55" s="388" t="s">
        <v>528</v>
      </c>
      <c r="B55" s="388"/>
      <c r="C55" s="388"/>
      <c r="D55" s="388"/>
      <c r="E55" s="388"/>
      <c r="F55" s="388"/>
      <c r="G55" s="388"/>
      <c r="H55" s="388"/>
    </row>
    <row r="56" spans="1:8" ht="15">
      <c r="A56" s="388" t="s">
        <v>529</v>
      </c>
      <c r="B56" s="388"/>
      <c r="C56" s="388"/>
      <c r="D56" s="388"/>
      <c r="E56" s="388"/>
      <c r="F56" s="388"/>
      <c r="G56" s="388"/>
      <c r="H56" s="388"/>
    </row>
    <row r="57" spans="1:8" ht="15">
      <c r="A57" s="388" t="s">
        <v>530</v>
      </c>
      <c r="B57" s="388"/>
      <c r="C57" s="388"/>
      <c r="D57" s="388"/>
      <c r="E57" s="388"/>
      <c r="F57" s="388"/>
      <c r="G57" s="388"/>
      <c r="H57" s="388"/>
    </row>
    <row r="58" spans="1:8" ht="15">
      <c r="A58" s="388" t="s">
        <v>531</v>
      </c>
      <c r="B58" s="388"/>
      <c r="C58" s="388"/>
      <c r="D58" s="388"/>
      <c r="E58" s="388"/>
      <c r="F58" s="388"/>
      <c r="G58" s="388"/>
      <c r="H58" s="388"/>
    </row>
    <row r="59" spans="1:8" ht="15">
      <c r="A59" s="388"/>
      <c r="B59" s="388"/>
      <c r="C59" s="388"/>
      <c r="D59" s="388"/>
      <c r="E59" s="388"/>
      <c r="F59" s="388"/>
      <c r="G59" s="388"/>
      <c r="H59" s="388"/>
    </row>
    <row r="60" spans="1:8" ht="15">
      <c r="A60" s="388" t="s">
        <v>532</v>
      </c>
      <c r="B60" s="388"/>
      <c r="C60" s="388"/>
      <c r="D60" s="388"/>
      <c r="E60" s="388"/>
      <c r="F60" s="388"/>
      <c r="G60" s="388"/>
      <c r="H60" s="388"/>
    </row>
    <row r="61" spans="1:8" ht="15">
      <c r="A61" s="388" t="s">
        <v>533</v>
      </c>
      <c r="B61" s="388"/>
      <c r="C61" s="388"/>
      <c r="D61" s="388"/>
      <c r="E61" s="388"/>
      <c r="F61" s="388"/>
      <c r="G61" s="388"/>
      <c r="H61" s="388"/>
    </row>
    <row r="62" spans="1:8" ht="15">
      <c r="A62" s="388" t="s">
        <v>534</v>
      </c>
      <c r="B62" s="388"/>
      <c r="C62" s="388"/>
      <c r="D62" s="388"/>
      <c r="E62" s="388"/>
      <c r="F62" s="388"/>
      <c r="G62" s="388"/>
      <c r="H62" s="388"/>
    </row>
    <row r="63" spans="1:8" ht="15">
      <c r="A63" s="388" t="s">
        <v>535</v>
      </c>
      <c r="B63" s="388"/>
      <c r="C63" s="388"/>
      <c r="D63" s="388"/>
      <c r="E63" s="388"/>
      <c r="F63" s="388"/>
      <c r="G63" s="388"/>
      <c r="H63" s="388"/>
    </row>
    <row r="64" spans="1:8" ht="15">
      <c r="A64" s="388" t="s">
        <v>536</v>
      </c>
      <c r="B64" s="388"/>
      <c r="C64" s="388"/>
      <c r="D64" s="388"/>
      <c r="E64" s="388"/>
      <c r="F64" s="388"/>
      <c r="G64" s="388"/>
      <c r="H64" s="388"/>
    </row>
    <row r="65" spans="1:8" ht="15">
      <c r="A65" s="388" t="s">
        <v>537</v>
      </c>
      <c r="B65" s="388"/>
      <c r="C65" s="388"/>
      <c r="D65" s="388"/>
      <c r="E65" s="388"/>
      <c r="F65" s="388"/>
      <c r="G65" s="388"/>
      <c r="H65" s="388"/>
    </row>
    <row r="66" spans="1:8" ht="15">
      <c r="A66" s="388"/>
      <c r="B66" s="388"/>
      <c r="C66" s="388"/>
      <c r="D66" s="388"/>
      <c r="E66" s="388"/>
      <c r="F66" s="388"/>
      <c r="G66" s="388"/>
      <c r="H66" s="388"/>
    </row>
    <row r="67" spans="1:8" ht="15">
      <c r="A67" s="388" t="s">
        <v>538</v>
      </c>
      <c r="B67" s="388"/>
      <c r="C67" s="388"/>
      <c r="D67" s="388"/>
      <c r="E67" s="388"/>
      <c r="F67" s="388"/>
      <c r="G67" s="388"/>
      <c r="H67" s="388"/>
    </row>
    <row r="68" spans="1:8" ht="15">
      <c r="A68" s="388" t="s">
        <v>539</v>
      </c>
      <c r="B68" s="388"/>
      <c r="C68" s="388"/>
      <c r="D68" s="388"/>
      <c r="E68" s="388"/>
      <c r="F68" s="388"/>
      <c r="G68" s="388"/>
      <c r="H68" s="388"/>
    </row>
    <row r="69" spans="1:8" ht="15">
      <c r="A69" s="388" t="s">
        <v>540</v>
      </c>
      <c r="B69" s="388"/>
      <c r="C69" s="388"/>
      <c r="D69" s="388"/>
      <c r="E69" s="388"/>
      <c r="F69" s="388"/>
      <c r="G69" s="388"/>
      <c r="H69" s="388"/>
    </row>
    <row r="70" spans="1:8" ht="15">
      <c r="A70" s="388" t="s">
        <v>541</v>
      </c>
      <c r="B70" s="388"/>
      <c r="C70" s="388"/>
      <c r="D70" s="388"/>
      <c r="E70" s="388"/>
      <c r="F70" s="388"/>
      <c r="G70" s="388"/>
      <c r="H70" s="388"/>
    </row>
    <row r="71" spans="1:8" ht="15">
      <c r="A71" s="388" t="s">
        <v>542</v>
      </c>
      <c r="B71" s="388"/>
      <c r="C71" s="388"/>
      <c r="D71" s="388"/>
      <c r="E71" s="388"/>
      <c r="F71" s="388"/>
      <c r="G71" s="388"/>
      <c r="H71" s="388"/>
    </row>
    <row r="72" spans="1:8" ht="15">
      <c r="A72" s="388" t="s">
        <v>543</v>
      </c>
      <c r="B72" s="388"/>
      <c r="C72" s="388"/>
      <c r="D72" s="388"/>
      <c r="E72" s="388"/>
      <c r="F72" s="388"/>
      <c r="G72" s="388"/>
      <c r="H72" s="388"/>
    </row>
    <row r="73" spans="1:8" ht="15">
      <c r="A73" s="388" t="s">
        <v>544</v>
      </c>
      <c r="B73" s="388"/>
      <c r="C73" s="388"/>
      <c r="D73" s="388"/>
      <c r="E73" s="388"/>
      <c r="F73" s="388"/>
      <c r="G73" s="388"/>
      <c r="H73" s="388"/>
    </row>
    <row r="74" spans="1:8" ht="15">
      <c r="A74" s="388"/>
      <c r="B74" s="388"/>
      <c r="C74" s="388"/>
      <c r="D74" s="388"/>
      <c r="E74" s="388"/>
      <c r="F74" s="388"/>
      <c r="G74" s="388"/>
      <c r="H74" s="388"/>
    </row>
    <row r="75" spans="1:8" ht="15">
      <c r="A75" s="388" t="s">
        <v>545</v>
      </c>
      <c r="B75" s="388"/>
      <c r="C75" s="388"/>
      <c r="D75" s="388"/>
      <c r="E75" s="388"/>
      <c r="F75" s="388"/>
      <c r="G75" s="388"/>
      <c r="H75" s="388"/>
    </row>
    <row r="76" spans="1:8" ht="15">
      <c r="A76" s="388" t="s">
        <v>546</v>
      </c>
      <c r="B76" s="388"/>
      <c r="C76" s="388"/>
      <c r="D76" s="388"/>
      <c r="E76" s="388"/>
      <c r="F76" s="388"/>
      <c r="G76" s="388"/>
      <c r="H76" s="388"/>
    </row>
    <row r="77" spans="1:8" ht="15">
      <c r="A77" s="388" t="s">
        <v>547</v>
      </c>
      <c r="B77" s="388"/>
      <c r="C77" s="388"/>
      <c r="D77" s="388"/>
      <c r="E77" s="388"/>
      <c r="F77" s="388"/>
      <c r="G77" s="388"/>
      <c r="H77" s="388"/>
    </row>
    <row r="78" spans="1:8" ht="15">
      <c r="A78" s="388"/>
      <c r="B78" s="388"/>
      <c r="C78" s="388"/>
      <c r="D78" s="388"/>
      <c r="E78" s="388"/>
      <c r="F78" s="388"/>
      <c r="G78" s="388"/>
      <c r="H78" s="388"/>
    </row>
    <row r="79" ht="15">
      <c r="A79" s="388" t="s">
        <v>492</v>
      </c>
    </row>
    <row r="80" ht="15">
      <c r="A80" s="389"/>
    </row>
    <row r="81" ht="15">
      <c r="A81" s="388"/>
    </row>
    <row r="82" ht="15">
      <c r="A82" s="388"/>
    </row>
    <row r="83" ht="15">
      <c r="A83" s="388"/>
    </row>
    <row r="84" ht="15">
      <c r="A84" s="388"/>
    </row>
    <row r="85" ht="15">
      <c r="A85" s="388"/>
    </row>
    <row r="86" ht="15">
      <c r="A86" s="388"/>
    </row>
    <row r="87" ht="15">
      <c r="A87" s="388"/>
    </row>
    <row r="88" ht="15">
      <c r="A88" s="388"/>
    </row>
    <row r="89" ht="15">
      <c r="A89" s="388"/>
    </row>
    <row r="90" ht="15">
      <c r="A90" s="388"/>
    </row>
    <row r="91" ht="15">
      <c r="A91" s="388"/>
    </row>
    <row r="92" ht="15">
      <c r="A92" s="388"/>
    </row>
    <row r="93" ht="15">
      <c r="A93" s="388"/>
    </row>
    <row r="94" ht="15">
      <c r="A94" s="388"/>
    </row>
    <row r="95" ht="15">
      <c r="A95" s="388"/>
    </row>
    <row r="96" ht="15">
      <c r="A96" s="388"/>
    </row>
    <row r="97" ht="15">
      <c r="A97" s="388"/>
    </row>
    <row r="98" ht="15">
      <c r="A98" s="388"/>
    </row>
    <row r="99" ht="15">
      <c r="A99" s="388"/>
    </row>
    <row r="100" ht="15">
      <c r="A100" s="388"/>
    </row>
    <row r="101" ht="15">
      <c r="A101" s="388"/>
    </row>
    <row r="103" ht="15">
      <c r="A103" s="388"/>
    </row>
    <row r="104" ht="15">
      <c r="A104" s="388"/>
    </row>
    <row r="105" ht="15">
      <c r="A105" s="388"/>
    </row>
    <row r="107" ht="15">
      <c r="A107" s="389"/>
    </row>
    <row r="108" ht="15">
      <c r="A108" s="389"/>
    </row>
    <row r="109" ht="15">
      <c r="A109" s="389"/>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7" t="s">
        <v>548</v>
      </c>
      <c r="B3" s="387"/>
      <c r="C3" s="387"/>
      <c r="D3" s="387"/>
      <c r="E3" s="387"/>
      <c r="F3" s="387"/>
      <c r="G3" s="387"/>
      <c r="H3" s="387"/>
      <c r="I3" s="387"/>
      <c r="J3" s="387"/>
      <c r="K3" s="387"/>
      <c r="L3" s="387"/>
    </row>
    <row r="4" spans="1:12" ht="15">
      <c r="A4" s="387"/>
      <c r="B4" s="387"/>
      <c r="C4" s="387"/>
      <c r="D4" s="387"/>
      <c r="E4" s="387"/>
      <c r="F4" s="387"/>
      <c r="G4" s="387"/>
      <c r="H4" s="387"/>
      <c r="I4" s="387"/>
      <c r="J4" s="387"/>
      <c r="K4" s="387"/>
      <c r="L4" s="387"/>
    </row>
    <row r="5" spans="1:12" ht="15">
      <c r="A5" s="388" t="s">
        <v>437</v>
      </c>
      <c r="I5" s="387"/>
      <c r="J5" s="387"/>
      <c r="K5" s="387"/>
      <c r="L5" s="387"/>
    </row>
    <row r="6" spans="1:12" ht="15">
      <c r="A6" s="388" t="str">
        <f>CONCATENATE("estimated ",inputPrYr!C10-1," 'total expenditures' exceed your ",inputPrYr!C10-1,"")</f>
        <v>estimated 2011 'total expenditures' exceed your 2011</v>
      </c>
      <c r="I6" s="387"/>
      <c r="J6" s="387"/>
      <c r="K6" s="387"/>
      <c r="L6" s="387"/>
    </row>
    <row r="7" spans="1:12" ht="15">
      <c r="A7" s="391" t="s">
        <v>549</v>
      </c>
      <c r="I7" s="387"/>
      <c r="J7" s="387"/>
      <c r="K7" s="387"/>
      <c r="L7" s="387"/>
    </row>
    <row r="8" spans="1:12" ht="15">
      <c r="A8" s="388"/>
      <c r="I8" s="387"/>
      <c r="J8" s="387"/>
      <c r="K8" s="387"/>
      <c r="L8" s="387"/>
    </row>
    <row r="9" spans="1:12" ht="15">
      <c r="A9" s="388" t="s">
        <v>550</v>
      </c>
      <c r="I9" s="387"/>
      <c r="J9" s="387"/>
      <c r="K9" s="387"/>
      <c r="L9" s="387"/>
    </row>
    <row r="10" spans="1:12" ht="15">
      <c r="A10" s="388" t="s">
        <v>551</v>
      </c>
      <c r="I10" s="387"/>
      <c r="J10" s="387"/>
      <c r="K10" s="387"/>
      <c r="L10" s="387"/>
    </row>
    <row r="11" spans="1:12" ht="15">
      <c r="A11" s="388" t="s">
        <v>552</v>
      </c>
      <c r="I11" s="387"/>
      <c r="J11" s="387"/>
      <c r="K11" s="387"/>
      <c r="L11" s="387"/>
    </row>
    <row r="12" spans="1:12" ht="15">
      <c r="A12" s="388" t="s">
        <v>553</v>
      </c>
      <c r="I12" s="387"/>
      <c r="J12" s="387"/>
      <c r="K12" s="387"/>
      <c r="L12" s="387"/>
    </row>
    <row r="13" spans="1:12" ht="15">
      <c r="A13" s="388" t="s">
        <v>554</v>
      </c>
      <c r="I13" s="387"/>
      <c r="J13" s="387"/>
      <c r="K13" s="387"/>
      <c r="L13" s="387"/>
    </row>
    <row r="14" spans="1:12" ht="15">
      <c r="A14" s="387"/>
      <c r="B14" s="387"/>
      <c r="C14" s="387"/>
      <c r="D14" s="387"/>
      <c r="E14" s="387"/>
      <c r="F14" s="387"/>
      <c r="G14" s="387"/>
      <c r="H14" s="387"/>
      <c r="I14" s="387"/>
      <c r="J14" s="387"/>
      <c r="K14" s="387"/>
      <c r="L14" s="387"/>
    </row>
    <row r="15" ht="15">
      <c r="A15" s="389" t="s">
        <v>555</v>
      </c>
    </row>
    <row r="16" ht="15">
      <c r="A16" s="389" t="s">
        <v>556</v>
      </c>
    </row>
    <row r="17" ht="15">
      <c r="A17" s="389"/>
    </row>
    <row r="18" spans="1:7" ht="15">
      <c r="A18" s="388" t="s">
        <v>557</v>
      </c>
      <c r="B18" s="388"/>
      <c r="C18" s="388"/>
      <c r="D18" s="388"/>
      <c r="E18" s="388"/>
      <c r="F18" s="388"/>
      <c r="G18" s="388"/>
    </row>
    <row r="19" spans="1:7" ht="15">
      <c r="A19" s="388" t="str">
        <f>CONCATENATE("your ",inputPrYr!C10-1," numbers to see what steps might be necessary to")</f>
        <v>your 2011 numbers to see what steps might be necessary to</v>
      </c>
      <c r="B19" s="388"/>
      <c r="C19" s="388"/>
      <c r="D19" s="388"/>
      <c r="E19" s="388"/>
      <c r="F19" s="388"/>
      <c r="G19" s="388"/>
    </row>
    <row r="20" spans="1:7" ht="15">
      <c r="A20" s="388" t="s">
        <v>558</v>
      </c>
      <c r="B20" s="388"/>
      <c r="C20" s="388"/>
      <c r="D20" s="388"/>
      <c r="E20" s="388"/>
      <c r="F20" s="388"/>
      <c r="G20" s="388"/>
    </row>
    <row r="21" spans="1:7" ht="15">
      <c r="A21" s="388" t="s">
        <v>559</v>
      </c>
      <c r="B21" s="388"/>
      <c r="C21" s="388"/>
      <c r="D21" s="388"/>
      <c r="E21" s="388"/>
      <c r="F21" s="388"/>
      <c r="G21" s="388"/>
    </row>
    <row r="22" ht="15">
      <c r="A22" s="388"/>
    </row>
    <row r="23" ht="15">
      <c r="A23" s="389" t="s">
        <v>560</v>
      </c>
    </row>
    <row r="24" ht="15">
      <c r="A24" s="389"/>
    </row>
    <row r="25" ht="15">
      <c r="A25" s="388" t="s">
        <v>561</v>
      </c>
    </row>
    <row r="26" spans="1:6" ht="15">
      <c r="A26" s="388" t="s">
        <v>562</v>
      </c>
      <c r="B26" s="388"/>
      <c r="C26" s="388"/>
      <c r="D26" s="388"/>
      <c r="E26" s="388"/>
      <c r="F26" s="388"/>
    </row>
    <row r="27" spans="1:6" ht="15">
      <c r="A27" s="388" t="s">
        <v>563</v>
      </c>
      <c r="B27" s="388"/>
      <c r="C27" s="388"/>
      <c r="D27" s="388"/>
      <c r="E27" s="388"/>
      <c r="F27" s="388"/>
    </row>
    <row r="28" spans="1:6" ht="15">
      <c r="A28" s="388" t="s">
        <v>564</v>
      </c>
      <c r="B28" s="388"/>
      <c r="C28" s="388"/>
      <c r="D28" s="388"/>
      <c r="E28" s="388"/>
      <c r="F28" s="388"/>
    </row>
    <row r="29" spans="1:6" ht="15">
      <c r="A29" s="388"/>
      <c r="B29" s="388"/>
      <c r="C29" s="388"/>
      <c r="D29" s="388"/>
      <c r="E29" s="388"/>
      <c r="F29" s="388"/>
    </row>
    <row r="30" spans="1:7" ht="15">
      <c r="A30" s="389" t="s">
        <v>565</v>
      </c>
      <c r="B30" s="389"/>
      <c r="C30" s="389"/>
      <c r="D30" s="389"/>
      <c r="E30" s="389"/>
      <c r="F30" s="389"/>
      <c r="G30" s="389"/>
    </row>
    <row r="31" spans="1:7" ht="15">
      <c r="A31" s="389" t="s">
        <v>566</v>
      </c>
      <c r="B31" s="389"/>
      <c r="C31" s="389"/>
      <c r="D31" s="389"/>
      <c r="E31" s="389"/>
      <c r="F31" s="389"/>
      <c r="G31" s="389"/>
    </row>
    <row r="32" spans="1:6" ht="15">
      <c r="A32" s="388"/>
      <c r="B32" s="388"/>
      <c r="C32" s="388"/>
      <c r="D32" s="388"/>
      <c r="E32" s="388"/>
      <c r="F32" s="388"/>
    </row>
    <row r="33" spans="1:6" ht="15">
      <c r="A33" s="392" t="str">
        <f>CONCATENATE("Well, let's look to see if any of your ",inputPrYr!C10-1," expenditures can")</f>
        <v>Well, let's look to see if any of your 2011 expenditures can</v>
      </c>
      <c r="B33" s="388"/>
      <c r="C33" s="388"/>
      <c r="D33" s="388"/>
      <c r="E33" s="388"/>
      <c r="F33" s="388"/>
    </row>
    <row r="34" spans="1:6" ht="15">
      <c r="A34" s="392" t="s">
        <v>567</v>
      </c>
      <c r="B34" s="388"/>
      <c r="C34" s="388"/>
      <c r="D34" s="388"/>
      <c r="E34" s="388"/>
      <c r="F34" s="388"/>
    </row>
    <row r="35" spans="1:6" ht="15">
      <c r="A35" s="392" t="s">
        <v>451</v>
      </c>
      <c r="B35" s="388"/>
      <c r="C35" s="388"/>
      <c r="D35" s="388"/>
      <c r="E35" s="388"/>
      <c r="F35" s="388"/>
    </row>
    <row r="36" spans="1:6" ht="15">
      <c r="A36" s="392" t="s">
        <v>452</v>
      </c>
      <c r="B36" s="388"/>
      <c r="C36" s="388"/>
      <c r="D36" s="388"/>
      <c r="E36" s="388"/>
      <c r="F36" s="388"/>
    </row>
    <row r="37" spans="1:6" ht="15">
      <c r="A37" s="392"/>
      <c r="B37" s="388"/>
      <c r="C37" s="388"/>
      <c r="D37" s="388"/>
      <c r="E37" s="388"/>
      <c r="F37" s="388"/>
    </row>
    <row r="38" spans="1:6" ht="15">
      <c r="A38" s="392" t="str">
        <f>CONCATENATE("Additionally, do your ",inputPrYr!C10-1," receipts contain a reimbursement")</f>
        <v>Additionally, do your 2011 receipts contain a reimbursement</v>
      </c>
      <c r="B38" s="388"/>
      <c r="C38" s="388"/>
      <c r="D38" s="388"/>
      <c r="E38" s="388"/>
      <c r="F38" s="388"/>
    </row>
    <row r="39" spans="1:6" ht="15">
      <c r="A39" s="392" t="s">
        <v>453</v>
      </c>
      <c r="B39" s="388"/>
      <c r="C39" s="388"/>
      <c r="D39" s="388"/>
      <c r="E39" s="388"/>
      <c r="F39" s="388"/>
    </row>
    <row r="40" spans="1:6" ht="15">
      <c r="A40" s="392" t="s">
        <v>454</v>
      </c>
      <c r="B40" s="388"/>
      <c r="C40" s="388"/>
      <c r="D40" s="388"/>
      <c r="E40" s="388"/>
      <c r="F40" s="388"/>
    </row>
    <row r="41" spans="1:6" ht="15">
      <c r="A41" s="392"/>
      <c r="B41" s="388"/>
      <c r="C41" s="388"/>
      <c r="D41" s="388"/>
      <c r="E41" s="388"/>
      <c r="F41" s="388"/>
    </row>
    <row r="42" spans="1:6" ht="15">
      <c r="A42" s="392" t="s">
        <v>455</v>
      </c>
      <c r="B42" s="388"/>
      <c r="C42" s="388"/>
      <c r="D42" s="388"/>
      <c r="E42" s="388"/>
      <c r="F42" s="388"/>
    </row>
    <row r="43" spans="1:6" ht="15">
      <c r="A43" s="392" t="s">
        <v>456</v>
      </c>
      <c r="B43" s="388"/>
      <c r="C43" s="388"/>
      <c r="D43" s="388"/>
      <c r="E43" s="388"/>
      <c r="F43" s="388"/>
    </row>
    <row r="44" spans="1:6" ht="15">
      <c r="A44" s="392" t="s">
        <v>457</v>
      </c>
      <c r="B44" s="388"/>
      <c r="C44" s="388"/>
      <c r="D44" s="388"/>
      <c r="E44" s="388"/>
      <c r="F44" s="388"/>
    </row>
    <row r="45" spans="1:6" ht="15">
      <c r="A45" s="392" t="s">
        <v>568</v>
      </c>
      <c r="B45" s="388"/>
      <c r="C45" s="388"/>
      <c r="D45" s="388"/>
      <c r="E45" s="388"/>
      <c r="F45" s="388"/>
    </row>
    <row r="46" spans="1:6" ht="15">
      <c r="A46" s="392" t="s">
        <v>459</v>
      </c>
      <c r="B46" s="388"/>
      <c r="C46" s="388"/>
      <c r="D46" s="388"/>
      <c r="E46" s="388"/>
      <c r="F46" s="388"/>
    </row>
    <row r="47" spans="1:6" ht="15">
      <c r="A47" s="392" t="s">
        <v>569</v>
      </c>
      <c r="B47" s="388"/>
      <c r="C47" s="388"/>
      <c r="D47" s="388"/>
      <c r="E47" s="388"/>
      <c r="F47" s="388"/>
    </row>
    <row r="48" spans="1:6" ht="15">
      <c r="A48" s="392" t="s">
        <v>570</v>
      </c>
      <c r="B48" s="388"/>
      <c r="C48" s="388"/>
      <c r="D48" s="388"/>
      <c r="E48" s="388"/>
      <c r="F48" s="388"/>
    </row>
    <row r="49" spans="1:6" ht="15">
      <c r="A49" s="392" t="s">
        <v>462</v>
      </c>
      <c r="B49" s="388"/>
      <c r="C49" s="388"/>
      <c r="D49" s="388"/>
      <c r="E49" s="388"/>
      <c r="F49" s="388"/>
    </row>
    <row r="50" spans="1:6" ht="15">
      <c r="A50" s="392"/>
      <c r="B50" s="388"/>
      <c r="C50" s="388"/>
      <c r="D50" s="388"/>
      <c r="E50" s="388"/>
      <c r="F50" s="388"/>
    </row>
    <row r="51" spans="1:6" ht="15">
      <c r="A51" s="392" t="s">
        <v>463</v>
      </c>
      <c r="B51" s="388"/>
      <c r="C51" s="388"/>
      <c r="D51" s="388"/>
      <c r="E51" s="388"/>
      <c r="F51" s="388"/>
    </row>
    <row r="52" spans="1:6" ht="15">
      <c r="A52" s="392" t="s">
        <v>464</v>
      </c>
      <c r="B52" s="388"/>
      <c r="C52" s="388"/>
      <c r="D52" s="388"/>
      <c r="E52" s="388"/>
      <c r="F52" s="388"/>
    </row>
    <row r="53" spans="1:6" ht="15">
      <c r="A53" s="392" t="s">
        <v>465</v>
      </c>
      <c r="B53" s="388"/>
      <c r="C53" s="388"/>
      <c r="D53" s="388"/>
      <c r="E53" s="388"/>
      <c r="F53" s="388"/>
    </row>
    <row r="54" spans="1:6" ht="15">
      <c r="A54" s="392"/>
      <c r="B54" s="388"/>
      <c r="C54" s="388"/>
      <c r="D54" s="388"/>
      <c r="E54" s="388"/>
      <c r="F54" s="388"/>
    </row>
    <row r="55" spans="1:6" ht="15">
      <c r="A55" s="392" t="s">
        <v>571</v>
      </c>
      <c r="B55" s="388"/>
      <c r="C55" s="388"/>
      <c r="D55" s="388"/>
      <c r="E55" s="388"/>
      <c r="F55" s="388"/>
    </row>
    <row r="56" spans="1:6" ht="15">
      <c r="A56" s="392" t="s">
        <v>572</v>
      </c>
      <c r="B56" s="388"/>
      <c r="C56" s="388"/>
      <c r="D56" s="388"/>
      <c r="E56" s="388"/>
      <c r="F56" s="388"/>
    </row>
    <row r="57" spans="1:6" ht="15">
      <c r="A57" s="392" t="s">
        <v>573</v>
      </c>
      <c r="B57" s="388"/>
      <c r="C57" s="388"/>
      <c r="D57" s="388"/>
      <c r="E57" s="388"/>
      <c r="F57" s="388"/>
    </row>
    <row r="58" spans="1:6" ht="15">
      <c r="A58" s="392" t="s">
        <v>574</v>
      </c>
      <c r="B58" s="388"/>
      <c r="C58" s="388"/>
      <c r="D58" s="388"/>
      <c r="E58" s="388"/>
      <c r="F58" s="388"/>
    </row>
    <row r="59" spans="1:6" ht="15">
      <c r="A59" s="392" t="s">
        <v>575</v>
      </c>
      <c r="B59" s="388"/>
      <c r="C59" s="388"/>
      <c r="D59" s="388"/>
      <c r="E59" s="388"/>
      <c r="F59" s="388"/>
    </row>
    <row r="60" spans="1:6" ht="15">
      <c r="A60" s="392"/>
      <c r="B60" s="388"/>
      <c r="C60" s="388"/>
      <c r="D60" s="388"/>
      <c r="E60" s="388"/>
      <c r="F60" s="388"/>
    </row>
    <row r="61" spans="1:6" ht="15">
      <c r="A61" s="393" t="s">
        <v>576</v>
      </c>
      <c r="B61" s="388"/>
      <c r="C61" s="388"/>
      <c r="D61" s="388"/>
      <c r="E61" s="388"/>
      <c r="F61" s="388"/>
    </row>
    <row r="62" spans="1:6" ht="15">
      <c r="A62" s="393" t="s">
        <v>577</v>
      </c>
      <c r="B62" s="388"/>
      <c r="C62" s="388"/>
      <c r="D62" s="388"/>
      <c r="E62" s="388"/>
      <c r="F62" s="388"/>
    </row>
    <row r="63" spans="1:6" ht="15">
      <c r="A63" s="393" t="s">
        <v>578</v>
      </c>
      <c r="B63" s="388"/>
      <c r="C63" s="388"/>
      <c r="D63" s="388"/>
      <c r="E63" s="388"/>
      <c r="F63" s="388"/>
    </row>
    <row r="64" ht="15">
      <c r="A64" s="393" t="s">
        <v>579</v>
      </c>
    </row>
    <row r="65" ht="15">
      <c r="A65" s="393" t="s">
        <v>580</v>
      </c>
    </row>
    <row r="66" ht="15">
      <c r="A66" s="393" t="s">
        <v>581</v>
      </c>
    </row>
    <row r="68" ht="15">
      <c r="A68" s="388" t="s">
        <v>582</v>
      </c>
    </row>
    <row r="69" ht="15">
      <c r="A69" s="388" t="s">
        <v>583</v>
      </c>
    </row>
    <row r="70" ht="15">
      <c r="A70" s="388" t="s">
        <v>584</v>
      </c>
    </row>
    <row r="71" ht="15">
      <c r="A71" s="388" t="s">
        <v>585</v>
      </c>
    </row>
    <row r="72" ht="15">
      <c r="A72" s="388" t="s">
        <v>586</v>
      </c>
    </row>
    <row r="73" ht="15">
      <c r="A73" s="388" t="s">
        <v>587</v>
      </c>
    </row>
    <row r="75" ht="15">
      <c r="A75" s="388" t="s">
        <v>492</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7" t="s">
        <v>588</v>
      </c>
      <c r="B3" s="387"/>
      <c r="C3" s="387"/>
      <c r="D3" s="387"/>
      <c r="E3" s="387"/>
      <c r="F3" s="387"/>
      <c r="G3" s="387"/>
    </row>
    <row r="4" spans="1:7" ht="15">
      <c r="A4" s="387"/>
      <c r="B4" s="387"/>
      <c r="C4" s="387"/>
      <c r="D4" s="387"/>
      <c r="E4" s="387"/>
      <c r="F4" s="387"/>
      <c r="G4" s="387"/>
    </row>
    <row r="5" ht="15">
      <c r="A5" s="388" t="s">
        <v>494</v>
      </c>
    </row>
    <row r="6" ht="15">
      <c r="A6" s="388" t="str">
        <f>CONCATENATE(inputPrYr!C10-1," estimated expenditures show that at the end of this year")</f>
        <v>2011 estimated expenditures show that at the end of this year</v>
      </c>
    </row>
    <row r="7" ht="15">
      <c r="A7" s="388" t="s">
        <v>589</v>
      </c>
    </row>
    <row r="8" ht="15">
      <c r="A8" s="388" t="s">
        <v>590</v>
      </c>
    </row>
    <row r="10" ht="15">
      <c r="A10" t="s">
        <v>496</v>
      </c>
    </row>
    <row r="11" ht="15">
      <c r="A11" t="s">
        <v>497</v>
      </c>
    </row>
    <row r="12" ht="15">
      <c r="A12" t="s">
        <v>498</v>
      </c>
    </row>
    <row r="13" spans="1:7" ht="15">
      <c r="A13" s="387"/>
      <c r="B13" s="387"/>
      <c r="C13" s="387"/>
      <c r="D13" s="387"/>
      <c r="E13" s="387"/>
      <c r="F13" s="387"/>
      <c r="G13" s="387"/>
    </row>
    <row r="14" ht="15">
      <c r="A14" s="389" t="s">
        <v>591</v>
      </c>
    </row>
    <row r="15" ht="15">
      <c r="A15" s="388"/>
    </row>
    <row r="16" ht="15">
      <c r="A16" s="388" t="s">
        <v>592</v>
      </c>
    </row>
    <row r="17" ht="15">
      <c r="A17" s="388" t="s">
        <v>593</v>
      </c>
    </row>
    <row r="18" ht="15">
      <c r="A18" s="388" t="s">
        <v>594</v>
      </c>
    </row>
    <row r="19" ht="15">
      <c r="A19" s="388"/>
    </row>
    <row r="20" ht="15">
      <c r="A20" s="388" t="s">
        <v>595</v>
      </c>
    </row>
    <row r="21" ht="15">
      <c r="A21" s="388" t="s">
        <v>596</v>
      </c>
    </row>
    <row r="22" ht="15">
      <c r="A22" s="388" t="s">
        <v>597</v>
      </c>
    </row>
    <row r="23" ht="15">
      <c r="A23" s="388" t="s">
        <v>598</v>
      </c>
    </row>
    <row r="24" ht="15">
      <c r="A24" s="388"/>
    </row>
    <row r="25" ht="15">
      <c r="A25" s="389" t="s">
        <v>560</v>
      </c>
    </row>
    <row r="26" ht="15">
      <c r="A26" s="389"/>
    </row>
    <row r="27" ht="15">
      <c r="A27" s="388" t="s">
        <v>561</v>
      </c>
    </row>
    <row r="28" spans="1:6" ht="15">
      <c r="A28" s="388" t="s">
        <v>562</v>
      </c>
      <c r="B28" s="388"/>
      <c r="C28" s="388"/>
      <c r="D28" s="388"/>
      <c r="E28" s="388"/>
      <c r="F28" s="388"/>
    </row>
    <row r="29" spans="1:6" ht="15">
      <c r="A29" s="388" t="s">
        <v>563</v>
      </c>
      <c r="B29" s="388"/>
      <c r="C29" s="388"/>
      <c r="D29" s="388"/>
      <c r="E29" s="388"/>
      <c r="F29" s="388"/>
    </row>
    <row r="30" spans="1:6" ht="15">
      <c r="A30" s="388" t="s">
        <v>564</v>
      </c>
      <c r="B30" s="388"/>
      <c r="C30" s="388"/>
      <c r="D30" s="388"/>
      <c r="E30" s="388"/>
      <c r="F30" s="388"/>
    </row>
    <row r="31" ht="15">
      <c r="A31" s="388"/>
    </row>
    <row r="32" spans="1:7" ht="15">
      <c r="A32" s="389" t="s">
        <v>565</v>
      </c>
      <c r="B32" s="389"/>
      <c r="C32" s="389"/>
      <c r="D32" s="389"/>
      <c r="E32" s="389"/>
      <c r="F32" s="389"/>
      <c r="G32" s="389"/>
    </row>
    <row r="33" spans="1:7" ht="15">
      <c r="A33" s="389" t="s">
        <v>566</v>
      </c>
      <c r="B33" s="389"/>
      <c r="C33" s="389"/>
      <c r="D33" s="389"/>
      <c r="E33" s="389"/>
      <c r="F33" s="389"/>
      <c r="G33" s="389"/>
    </row>
    <row r="34" spans="1:7" ht="15">
      <c r="A34" s="389"/>
      <c r="B34" s="389"/>
      <c r="C34" s="389"/>
      <c r="D34" s="389"/>
      <c r="E34" s="389"/>
      <c r="F34" s="389"/>
      <c r="G34" s="389"/>
    </row>
    <row r="35" spans="1:7" ht="15">
      <c r="A35" s="388" t="s">
        <v>599</v>
      </c>
      <c r="B35" s="388"/>
      <c r="C35" s="388"/>
      <c r="D35" s="388"/>
      <c r="E35" s="388"/>
      <c r="F35" s="388"/>
      <c r="G35" s="388"/>
    </row>
    <row r="36" spans="1:7" ht="15">
      <c r="A36" s="388" t="s">
        <v>600</v>
      </c>
      <c r="B36" s="388"/>
      <c r="C36" s="388"/>
      <c r="D36" s="388"/>
      <c r="E36" s="388"/>
      <c r="F36" s="388"/>
      <c r="G36" s="388"/>
    </row>
    <row r="37" spans="1:7" ht="15">
      <c r="A37" s="388" t="s">
        <v>601</v>
      </c>
      <c r="B37" s="388"/>
      <c r="C37" s="388"/>
      <c r="D37" s="388"/>
      <c r="E37" s="388"/>
      <c r="F37" s="388"/>
      <c r="G37" s="388"/>
    </row>
    <row r="38" spans="1:7" ht="15">
      <c r="A38" s="388" t="s">
        <v>602</v>
      </c>
      <c r="B38" s="388"/>
      <c r="C38" s="388"/>
      <c r="D38" s="388"/>
      <c r="E38" s="388"/>
      <c r="F38" s="388"/>
      <c r="G38" s="388"/>
    </row>
    <row r="39" spans="1:7" ht="15">
      <c r="A39" s="388" t="s">
        <v>603</v>
      </c>
      <c r="B39" s="388"/>
      <c r="C39" s="388"/>
      <c r="D39" s="388"/>
      <c r="E39" s="388"/>
      <c r="F39" s="388"/>
      <c r="G39" s="388"/>
    </row>
    <row r="40" spans="1:7" ht="15">
      <c r="A40" s="389"/>
      <c r="B40" s="389"/>
      <c r="C40" s="389"/>
      <c r="D40" s="389"/>
      <c r="E40" s="389"/>
      <c r="F40" s="389"/>
      <c r="G40" s="389"/>
    </row>
    <row r="41" spans="1:6" ht="15">
      <c r="A41" s="392" t="str">
        <f>CONCATENATE("So, let's look to see if any of your ",inputPrYr!C10-1," expenditures can")</f>
        <v>So, let's look to see if any of your 2011 expenditures can</v>
      </c>
      <c r="B41" s="388"/>
      <c r="C41" s="388"/>
      <c r="D41" s="388"/>
      <c r="E41" s="388"/>
      <c r="F41" s="388"/>
    </row>
    <row r="42" spans="1:6" ht="15">
      <c r="A42" s="392" t="s">
        <v>567</v>
      </c>
      <c r="B42" s="388"/>
      <c r="C42" s="388"/>
      <c r="D42" s="388"/>
      <c r="E42" s="388"/>
      <c r="F42" s="388"/>
    </row>
    <row r="43" spans="1:6" ht="15">
      <c r="A43" s="392" t="s">
        <v>451</v>
      </c>
      <c r="B43" s="388"/>
      <c r="C43" s="388"/>
      <c r="D43" s="388"/>
      <c r="E43" s="388"/>
      <c r="F43" s="388"/>
    </row>
    <row r="44" spans="1:6" ht="15">
      <c r="A44" s="392" t="s">
        <v>452</v>
      </c>
      <c r="B44" s="388"/>
      <c r="C44" s="388"/>
      <c r="D44" s="388"/>
      <c r="E44" s="388"/>
      <c r="F44" s="388"/>
    </row>
    <row r="45" ht="15">
      <c r="A45" s="388"/>
    </row>
    <row r="46" spans="1:6" ht="15">
      <c r="A46" s="392" t="str">
        <f>CONCATENATE("Additionally, do your ",inputPrYr!C10-1," receipts contain a reimbursement")</f>
        <v>Additionally, do your 2011 receipts contain a reimbursement</v>
      </c>
      <c r="B46" s="388"/>
      <c r="C46" s="388"/>
      <c r="D46" s="388"/>
      <c r="E46" s="388"/>
      <c r="F46" s="388"/>
    </row>
    <row r="47" spans="1:6" ht="15">
      <c r="A47" s="392" t="s">
        <v>453</v>
      </c>
      <c r="B47" s="388"/>
      <c r="C47" s="388"/>
      <c r="D47" s="388"/>
      <c r="E47" s="388"/>
      <c r="F47" s="388"/>
    </row>
    <row r="48" spans="1:6" ht="15">
      <c r="A48" s="392" t="s">
        <v>454</v>
      </c>
      <c r="B48" s="388"/>
      <c r="C48" s="388"/>
      <c r="D48" s="388"/>
      <c r="E48" s="388"/>
      <c r="F48" s="388"/>
    </row>
    <row r="49" spans="1:7" ht="15">
      <c r="A49" s="388"/>
      <c r="B49" s="388"/>
      <c r="C49" s="388"/>
      <c r="D49" s="388"/>
      <c r="E49" s="388"/>
      <c r="F49" s="388"/>
      <c r="G49" s="388"/>
    </row>
    <row r="50" spans="1:7" ht="15">
      <c r="A50" s="388" t="s">
        <v>521</v>
      </c>
      <c r="B50" s="388"/>
      <c r="C50" s="388"/>
      <c r="D50" s="388"/>
      <c r="E50" s="388"/>
      <c r="F50" s="388"/>
      <c r="G50" s="388"/>
    </row>
    <row r="51" spans="1:7" ht="15">
      <c r="A51" s="388" t="s">
        <v>522</v>
      </c>
      <c r="B51" s="388"/>
      <c r="C51" s="388"/>
      <c r="D51" s="388"/>
      <c r="E51" s="388"/>
      <c r="F51" s="388"/>
      <c r="G51" s="388"/>
    </row>
    <row r="52" spans="1:7" ht="15">
      <c r="A52" s="388" t="s">
        <v>523</v>
      </c>
      <c r="B52" s="388"/>
      <c r="C52" s="388"/>
      <c r="D52" s="388"/>
      <c r="E52" s="388"/>
      <c r="F52" s="388"/>
      <c r="G52" s="388"/>
    </row>
    <row r="53" spans="1:7" ht="15">
      <c r="A53" s="388" t="s">
        <v>524</v>
      </c>
      <c r="B53" s="388"/>
      <c r="C53" s="388"/>
      <c r="D53" s="388"/>
      <c r="E53" s="388"/>
      <c r="F53" s="388"/>
      <c r="G53" s="388"/>
    </row>
    <row r="54" spans="1:7" ht="15">
      <c r="A54" s="388" t="s">
        <v>525</v>
      </c>
      <c r="B54" s="388"/>
      <c r="C54" s="388"/>
      <c r="D54" s="388"/>
      <c r="E54" s="388"/>
      <c r="F54" s="388"/>
      <c r="G54" s="388"/>
    </row>
    <row r="55" spans="1:7" ht="15">
      <c r="A55" s="388"/>
      <c r="B55" s="388"/>
      <c r="C55" s="388"/>
      <c r="D55" s="388"/>
      <c r="E55" s="388"/>
      <c r="F55" s="388"/>
      <c r="G55" s="388"/>
    </row>
    <row r="56" spans="1:6" ht="15">
      <c r="A56" s="392" t="s">
        <v>463</v>
      </c>
      <c r="B56" s="388"/>
      <c r="C56" s="388"/>
      <c r="D56" s="388"/>
      <c r="E56" s="388"/>
      <c r="F56" s="388"/>
    </row>
    <row r="57" spans="1:6" ht="15">
      <c r="A57" s="392" t="s">
        <v>464</v>
      </c>
      <c r="B57" s="388"/>
      <c r="C57" s="388"/>
      <c r="D57" s="388"/>
      <c r="E57" s="388"/>
      <c r="F57" s="388"/>
    </row>
    <row r="58" spans="1:6" ht="15">
      <c r="A58" s="392" t="s">
        <v>465</v>
      </c>
      <c r="B58" s="388"/>
      <c r="C58" s="388"/>
      <c r="D58" s="388"/>
      <c r="E58" s="388"/>
      <c r="F58" s="388"/>
    </row>
    <row r="59" spans="1:6" ht="15">
      <c r="A59" s="392"/>
      <c r="B59" s="388"/>
      <c r="C59" s="388"/>
      <c r="D59" s="388"/>
      <c r="E59" s="388"/>
      <c r="F59" s="388"/>
    </row>
    <row r="60" spans="1:7" ht="15">
      <c r="A60" s="388" t="s">
        <v>604</v>
      </c>
      <c r="B60" s="388"/>
      <c r="C60" s="388"/>
      <c r="D60" s="388"/>
      <c r="E60" s="388"/>
      <c r="F60" s="388"/>
      <c r="G60" s="388"/>
    </row>
    <row r="61" spans="1:7" ht="15">
      <c r="A61" s="388" t="s">
        <v>605</v>
      </c>
      <c r="B61" s="388"/>
      <c r="C61" s="388"/>
      <c r="D61" s="388"/>
      <c r="E61" s="388"/>
      <c r="F61" s="388"/>
      <c r="G61" s="388"/>
    </row>
    <row r="62" spans="1:7" ht="15">
      <c r="A62" s="388" t="s">
        <v>606</v>
      </c>
      <c r="B62" s="388"/>
      <c r="C62" s="388"/>
      <c r="D62" s="388"/>
      <c r="E62" s="388"/>
      <c r="F62" s="388"/>
      <c r="G62" s="388"/>
    </row>
    <row r="63" spans="1:7" ht="15">
      <c r="A63" s="388" t="s">
        <v>607</v>
      </c>
      <c r="B63" s="388"/>
      <c r="C63" s="388"/>
      <c r="D63" s="388"/>
      <c r="E63" s="388"/>
      <c r="F63" s="388"/>
      <c r="G63" s="388"/>
    </row>
    <row r="64" spans="1:7" ht="15">
      <c r="A64" s="388" t="s">
        <v>608</v>
      </c>
      <c r="B64" s="388"/>
      <c r="C64" s="388"/>
      <c r="D64" s="388"/>
      <c r="E64" s="388"/>
      <c r="F64" s="388"/>
      <c r="G64" s="388"/>
    </row>
    <row r="66" spans="1:6" ht="15">
      <c r="A66" s="392" t="s">
        <v>571</v>
      </c>
      <c r="B66" s="388"/>
      <c r="C66" s="388"/>
      <c r="D66" s="388"/>
      <c r="E66" s="388"/>
      <c r="F66" s="388"/>
    </row>
    <row r="67" spans="1:6" ht="15">
      <c r="A67" s="392" t="s">
        <v>572</v>
      </c>
      <c r="B67" s="388"/>
      <c r="C67" s="388"/>
      <c r="D67" s="388"/>
      <c r="E67" s="388"/>
      <c r="F67" s="388"/>
    </row>
    <row r="68" spans="1:6" ht="15">
      <c r="A68" s="392" t="s">
        <v>573</v>
      </c>
      <c r="B68" s="388"/>
      <c r="C68" s="388"/>
      <c r="D68" s="388"/>
      <c r="E68" s="388"/>
      <c r="F68" s="388"/>
    </row>
    <row r="69" spans="1:6" ht="15">
      <c r="A69" s="392" t="s">
        <v>574</v>
      </c>
      <c r="B69" s="388"/>
      <c r="C69" s="388"/>
      <c r="D69" s="388"/>
      <c r="E69" s="388"/>
      <c r="F69" s="388"/>
    </row>
    <row r="70" spans="1:6" ht="15">
      <c r="A70" s="392" t="s">
        <v>575</v>
      </c>
      <c r="B70" s="388"/>
      <c r="C70" s="388"/>
      <c r="D70" s="388"/>
      <c r="E70" s="388"/>
      <c r="F70" s="388"/>
    </row>
    <row r="71" ht="15">
      <c r="A71" s="388"/>
    </row>
    <row r="72" ht="15">
      <c r="A72" s="388" t="s">
        <v>492</v>
      </c>
    </row>
    <row r="73" ht="15">
      <c r="A73" s="388"/>
    </row>
    <row r="74" ht="15">
      <c r="A74" s="388"/>
    </row>
    <row r="75" ht="15">
      <c r="A75" s="388"/>
    </row>
    <row r="78" ht="15">
      <c r="A78" s="389"/>
    </row>
    <row r="80" ht="15">
      <c r="A80" s="388"/>
    </row>
    <row r="81" ht="15">
      <c r="A81" s="388"/>
    </row>
    <row r="82" ht="15">
      <c r="A82" s="388"/>
    </row>
    <row r="83" ht="15">
      <c r="A83" s="388"/>
    </row>
    <row r="84" ht="15">
      <c r="A84" s="388"/>
    </row>
    <row r="85" ht="15">
      <c r="A85" s="388"/>
    </row>
    <row r="86" ht="15">
      <c r="A86" s="388"/>
    </row>
    <row r="87" ht="15">
      <c r="A87" s="388"/>
    </row>
    <row r="88" ht="15">
      <c r="A88" s="388"/>
    </row>
    <row r="89" ht="15">
      <c r="A89" s="388"/>
    </row>
    <row r="90" ht="15">
      <c r="A90" s="388"/>
    </row>
    <row r="92" ht="15">
      <c r="A92" s="388"/>
    </row>
    <row r="93" ht="15">
      <c r="A93" s="388"/>
    </row>
    <row r="94" ht="15">
      <c r="A94" s="388"/>
    </row>
    <row r="95" ht="15">
      <c r="A95" s="388"/>
    </row>
    <row r="96" ht="15">
      <c r="A96" s="388"/>
    </row>
    <row r="97" ht="15">
      <c r="A97" s="388"/>
    </row>
    <row r="98" ht="15">
      <c r="A98" s="388"/>
    </row>
    <row r="99" ht="15">
      <c r="A99" s="388"/>
    </row>
    <row r="100" ht="15">
      <c r="A100" s="388"/>
    </row>
    <row r="101" ht="15">
      <c r="A101" s="388"/>
    </row>
    <row r="102" ht="15">
      <c r="A102" s="388"/>
    </row>
    <row r="103" ht="15">
      <c r="A103" s="388"/>
    </row>
    <row r="104" ht="15">
      <c r="A104" s="388"/>
    </row>
    <row r="105" ht="15">
      <c r="A105" s="388"/>
    </row>
    <row r="106" ht="15">
      <c r="A106" s="388"/>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90"/>
  <sheetViews>
    <sheetView zoomScalePageLayoutView="0" workbookViewId="0" topLeftCell="A76">
      <selection activeCell="E63" sqref="E63"/>
    </sheetView>
  </sheetViews>
  <sheetFormatPr defaultColWidth="8.796875" defaultRowHeight="15"/>
  <cols>
    <col min="1" max="1" width="20.796875" style="88" customWidth="1"/>
    <col min="2" max="2" width="16.69921875" style="88" customWidth="1"/>
    <col min="3" max="4" width="10.796875" style="88" customWidth="1"/>
    <col min="5" max="5" width="11.3984375" style="88" customWidth="1"/>
    <col min="6" max="6" width="10.796875" style="88" customWidth="1"/>
    <col min="7" max="16384" width="8.8984375" style="88" customWidth="1"/>
  </cols>
  <sheetData>
    <row r="1" spans="1:6" ht="15.75">
      <c r="A1" s="89" t="str">
        <f>inputPrYr!$D$3</f>
        <v>City of Vining</v>
      </c>
      <c r="B1" s="90"/>
      <c r="C1" s="90"/>
      <c r="D1" s="90"/>
      <c r="E1" s="293">
        <f>inputPrYr!C10</f>
        <v>2012</v>
      </c>
      <c r="F1" s="90"/>
    </row>
    <row r="2" spans="1:6" ht="15">
      <c r="A2" s="90"/>
      <c r="B2" s="90"/>
      <c r="C2" s="90"/>
      <c r="D2" s="90"/>
      <c r="E2" s="90"/>
      <c r="F2" s="90"/>
    </row>
    <row r="3" spans="1:6" ht="15.75">
      <c r="A3" s="607" t="s">
        <v>235</v>
      </c>
      <c r="B3" s="608"/>
      <c r="C3" s="608"/>
      <c r="D3" s="608"/>
      <c r="E3" s="608"/>
      <c r="F3" s="90"/>
    </row>
    <row r="4" spans="1:6" ht="15.75">
      <c r="A4" s="40"/>
      <c r="B4" s="40"/>
      <c r="C4" s="40"/>
      <c r="D4" s="40"/>
      <c r="E4" s="40"/>
      <c r="F4" s="90"/>
    </row>
    <row r="5" spans="1:6" ht="15.75">
      <c r="A5" s="40"/>
      <c r="B5" s="40"/>
      <c r="C5" s="40"/>
      <c r="D5" s="40"/>
      <c r="E5" s="40"/>
      <c r="F5" s="90"/>
    </row>
    <row r="6" spans="1:6" ht="15.75">
      <c r="A6" s="613" t="str">
        <f>CONCATENATE("From the County Clerks ",E1," Budget Information:")</f>
        <v>From the County Clerks 2012 Budget Information:</v>
      </c>
      <c r="B6" s="614"/>
      <c r="C6" s="614"/>
      <c r="D6" s="614"/>
      <c r="E6" s="614"/>
      <c r="F6" s="614"/>
    </row>
    <row r="7" spans="1:6" ht="15.75">
      <c r="A7" s="64"/>
      <c r="B7" s="615" t="str">
        <f>CONCATENATE("Assessed Valuation       for ",E1-1,"")</f>
        <v>Assessed Valuation       for 2011</v>
      </c>
      <c r="C7" s="616" t="str">
        <f>CONCATENATE("New Improvements for ",E1-1,"")</f>
        <v>New Improvements for 2011</v>
      </c>
      <c r="D7" s="618" t="str">
        <f>CONCATENATE("Personal Property excluding oil, gas, and mobile homes- ",E1-1,"")</f>
        <v>Personal Property excluding oil, gas, and mobile homes- 2011</v>
      </c>
      <c r="E7" s="620" t="str">
        <f>CONCATENATE("Property that has changed in use for ",E1-1,"")</f>
        <v>Property that has changed in use for 2011</v>
      </c>
      <c r="F7" s="622" t="str">
        <f>CONCATENATE("Personal Property excluding oil, gas, and mobile homes- ",E1-2,"")</f>
        <v>Personal Property excluding oil, gas, and mobile homes- 2010</v>
      </c>
    </row>
    <row r="8" spans="1:6" ht="15.75">
      <c r="A8" s="64"/>
      <c r="B8" s="616"/>
      <c r="C8" s="616"/>
      <c r="D8" s="618"/>
      <c r="E8" s="620"/>
      <c r="F8" s="622"/>
    </row>
    <row r="9" spans="1:6" ht="15.75">
      <c r="A9" s="91"/>
      <c r="B9" s="617"/>
      <c r="C9" s="617"/>
      <c r="D9" s="619"/>
      <c r="E9" s="621"/>
      <c r="F9" s="623"/>
    </row>
    <row r="10" spans="1:6" ht="15.75">
      <c r="A10" s="50" t="str">
        <f>inputPrYr!D4</f>
        <v>Clay County</v>
      </c>
      <c r="B10" s="61">
        <v>87215</v>
      </c>
      <c r="C10" s="61">
        <v>0</v>
      </c>
      <c r="D10" s="61">
        <v>2393</v>
      </c>
      <c r="E10" s="52"/>
      <c r="F10" s="61">
        <v>2352</v>
      </c>
    </row>
    <row r="11" spans="1:6" ht="15.75">
      <c r="A11" s="92" t="str">
        <f>inputPrYr!D6</f>
        <v>Washington</v>
      </c>
      <c r="B11" s="61">
        <v>95736</v>
      </c>
      <c r="C11" s="61">
        <v>23599</v>
      </c>
      <c r="D11" s="61">
        <v>11633</v>
      </c>
      <c r="E11" s="52"/>
      <c r="F11" s="61">
        <v>10830</v>
      </c>
    </row>
    <row r="12" spans="1:6" ht="15.75">
      <c r="A12" s="92">
        <f>inputPrYr!D7</f>
        <v>0</v>
      </c>
      <c r="B12" s="61"/>
      <c r="C12" s="61"/>
      <c r="D12" s="93"/>
      <c r="E12" s="52"/>
      <c r="F12" s="61"/>
    </row>
    <row r="13" spans="1:6" ht="15.75">
      <c r="A13" s="92">
        <f>inputPrYr!D8</f>
        <v>0</v>
      </c>
      <c r="B13" s="61"/>
      <c r="C13" s="61"/>
      <c r="D13" s="61"/>
      <c r="E13" s="61"/>
      <c r="F13" s="61"/>
    </row>
    <row r="14" spans="1:6" ht="15.75">
      <c r="A14" s="50" t="s">
        <v>48</v>
      </c>
      <c r="B14" s="59">
        <f>SUM(B10:B13)</f>
        <v>182951</v>
      </c>
      <c r="C14" s="59">
        <f>SUM(C10:C13)</f>
        <v>23599</v>
      </c>
      <c r="D14" s="59">
        <f>SUM(D10:D13)</f>
        <v>14026</v>
      </c>
      <c r="E14" s="59">
        <f>SUM(E10:E13)</f>
        <v>0</v>
      </c>
      <c r="F14" s="59">
        <f>SUM(F10:F13)</f>
        <v>13182</v>
      </c>
    </row>
    <row r="15" spans="1:6" ht="15.75">
      <c r="A15" s="64"/>
      <c r="B15" s="36"/>
      <c r="C15" s="36"/>
      <c r="D15" s="36"/>
      <c r="E15" s="94"/>
      <c r="F15" s="90"/>
    </row>
    <row r="16" spans="1:6" ht="15.75">
      <c r="A16" s="611" t="str">
        <f>CONCATENATE("Territory Added for ",E1-1,"")</f>
        <v>Territory Added for 2011</v>
      </c>
      <c r="B16" s="612"/>
      <c r="C16" s="612"/>
      <c r="D16" s="612"/>
      <c r="E16" s="94"/>
      <c r="F16" s="90"/>
    </row>
    <row r="17" spans="1:6" ht="31.5">
      <c r="A17" s="92"/>
      <c r="B17" s="95" t="s">
        <v>309</v>
      </c>
      <c r="C17" s="95" t="s">
        <v>157</v>
      </c>
      <c r="D17" s="95" t="s">
        <v>158</v>
      </c>
      <c r="E17" s="94"/>
      <c r="F17" s="90"/>
    </row>
    <row r="18" spans="1:6" ht="15.75">
      <c r="A18" s="50" t="str">
        <f>inputPrYr!D4</f>
        <v>Clay County</v>
      </c>
      <c r="B18" s="96"/>
      <c r="C18" s="96"/>
      <c r="D18" s="96"/>
      <c r="E18" s="94"/>
      <c r="F18" s="90"/>
    </row>
    <row r="19" spans="1:6" ht="15.75">
      <c r="A19" s="50" t="str">
        <f>inputPrYr!D6</f>
        <v>Washington</v>
      </c>
      <c r="B19" s="96"/>
      <c r="C19" s="96"/>
      <c r="D19" s="96"/>
      <c r="E19" s="94"/>
      <c r="F19" s="90"/>
    </row>
    <row r="20" spans="1:6" ht="15.75">
      <c r="A20" s="50">
        <f>inputPrYr!D7</f>
        <v>0</v>
      </c>
      <c r="B20" s="96"/>
      <c r="C20" s="96"/>
      <c r="D20" s="96"/>
      <c r="E20" s="94"/>
      <c r="F20" s="90"/>
    </row>
    <row r="21" spans="1:6" ht="15.75">
      <c r="A21" s="50">
        <f>inputPrYr!D8</f>
        <v>0</v>
      </c>
      <c r="B21" s="96"/>
      <c r="C21" s="96"/>
      <c r="D21" s="96"/>
      <c r="E21" s="94"/>
      <c r="F21" s="90"/>
    </row>
    <row r="22" spans="1:6" ht="15.75">
      <c r="A22" s="50" t="s">
        <v>48</v>
      </c>
      <c r="B22" s="97">
        <f>SUM(B18:B21)</f>
        <v>0</v>
      </c>
      <c r="C22" s="97">
        <f>SUM(C18:C21)</f>
        <v>0</v>
      </c>
      <c r="D22" s="97">
        <f>SUM(D18:D21)</f>
        <v>0</v>
      </c>
      <c r="E22" s="94"/>
      <c r="F22" s="90"/>
    </row>
    <row r="23" spans="1:6" ht="15.75">
      <c r="A23" s="64"/>
      <c r="B23" s="36"/>
      <c r="C23" s="36"/>
      <c r="D23" s="36"/>
      <c r="E23" s="66"/>
      <c r="F23" s="90"/>
    </row>
    <row r="24" spans="1:6" ht="15.75">
      <c r="A24" s="56" t="str">
        <f>CONCATENATE("Gross earnings (intangible) tax estimate for ",E1,"")</f>
        <v>Gross earnings (intangible) tax estimate for 2012</v>
      </c>
      <c r="B24" s="57"/>
      <c r="C24" s="57"/>
      <c r="D24" s="74"/>
      <c r="E24" s="52"/>
      <c r="F24" s="90"/>
    </row>
    <row r="25" spans="1:6" ht="15.75">
      <c r="A25" s="92" t="s">
        <v>261</v>
      </c>
      <c r="B25" s="79"/>
      <c r="C25" s="79"/>
      <c r="D25" s="79"/>
      <c r="E25" s="61">
        <v>13662</v>
      </c>
      <c r="F25" s="90"/>
    </row>
    <row r="26" spans="1:6" ht="15.75">
      <c r="A26" s="64"/>
      <c r="B26" s="36"/>
      <c r="C26" s="36"/>
      <c r="D26" s="36"/>
      <c r="E26" s="66"/>
      <c r="F26" s="90"/>
    </row>
    <row r="27" spans="1:6" ht="15.75">
      <c r="A27" s="64"/>
      <c r="B27" s="36"/>
      <c r="C27" s="36"/>
      <c r="D27" s="36"/>
      <c r="E27" s="66"/>
      <c r="F27" s="90"/>
    </row>
    <row r="28" spans="1:6" ht="16.5" thickBot="1">
      <c r="A28" s="632" t="str">
        <f>CONCATENATE("Actual Tax Rates for the ",E1-1," Budget:")</f>
        <v>Actual Tax Rates for the 2011 Budget:</v>
      </c>
      <c r="B28" s="633"/>
      <c r="C28" s="633"/>
      <c r="D28" s="633"/>
      <c r="E28" s="66"/>
      <c r="F28" s="90"/>
    </row>
    <row r="29" spans="1:6" ht="15.75">
      <c r="A29" s="637" t="s">
        <v>35</v>
      </c>
      <c r="B29" s="638"/>
      <c r="C29" s="90"/>
      <c r="D29" s="98" t="s">
        <v>81</v>
      </c>
      <c r="E29" s="66"/>
      <c r="F29" s="90"/>
    </row>
    <row r="30" spans="1:6" ht="15.75">
      <c r="A30" s="56" t="s">
        <v>18</v>
      </c>
      <c r="B30" s="57"/>
      <c r="C30" s="36"/>
      <c r="D30" s="99">
        <v>48.97</v>
      </c>
      <c r="E30" s="66"/>
      <c r="F30" s="90"/>
    </row>
    <row r="31" spans="1:6" ht="15.75">
      <c r="A31" s="92" t="s">
        <v>339</v>
      </c>
      <c r="B31" s="79"/>
      <c r="C31" s="36"/>
      <c r="D31" s="100"/>
      <c r="E31" s="66"/>
      <c r="F31" s="90"/>
    </row>
    <row r="32" spans="1:6" ht="15.75">
      <c r="A32" s="92">
        <f>inputPrYr!B25</f>
        <v>0</v>
      </c>
      <c r="B32" s="79"/>
      <c r="C32" s="36"/>
      <c r="D32" s="100"/>
      <c r="E32" s="66"/>
      <c r="F32" s="90"/>
    </row>
    <row r="33" spans="1:6" ht="15.75">
      <c r="A33" s="92">
        <f>inputPrYr!B26</f>
        <v>0</v>
      </c>
      <c r="B33" s="79"/>
      <c r="C33" s="36"/>
      <c r="D33" s="100"/>
      <c r="E33" s="66"/>
      <c r="F33" s="90"/>
    </row>
    <row r="34" spans="1:6" ht="15.75">
      <c r="A34" s="92">
        <f>inputPrYr!B27</f>
        <v>0</v>
      </c>
      <c r="B34" s="79"/>
      <c r="C34" s="36"/>
      <c r="D34" s="100"/>
      <c r="E34" s="66"/>
      <c r="F34" s="90"/>
    </row>
    <row r="35" spans="1:6" ht="15.75">
      <c r="A35" s="92">
        <f>inputPrYr!B28</f>
        <v>0</v>
      </c>
      <c r="B35" s="101"/>
      <c r="C35" s="36"/>
      <c r="D35" s="102"/>
      <c r="E35" s="66"/>
      <c r="F35" s="90"/>
    </row>
    <row r="36" spans="1:6" ht="15.75">
      <c r="A36" s="92">
        <f>inputPrYr!B29</f>
        <v>0</v>
      </c>
      <c r="B36" s="101"/>
      <c r="C36" s="36"/>
      <c r="D36" s="102"/>
      <c r="E36" s="66"/>
      <c r="F36" s="90"/>
    </row>
    <row r="37" spans="1:6" ht="15.75">
      <c r="A37" s="103"/>
      <c r="B37" s="51" t="s">
        <v>22</v>
      </c>
      <c r="C37" s="104"/>
      <c r="D37" s="75">
        <f>SUM(D30:D36)</f>
        <v>48.97</v>
      </c>
      <c r="E37" s="103"/>
      <c r="F37" s="90"/>
    </row>
    <row r="38" spans="1:6" ht="15">
      <c r="A38" s="103"/>
      <c r="B38" s="103"/>
      <c r="C38" s="103"/>
      <c r="D38" s="103"/>
      <c r="E38" s="103"/>
      <c r="F38" s="90"/>
    </row>
    <row r="39" spans="1:6" ht="16.5" thickBot="1">
      <c r="A39" s="634" t="str">
        <f>CONCATENATE("Final Assessed Valuation from the November 1, ",E1-2," Abstract:")</f>
        <v>Final Assessed Valuation from the November 1, 2010 Abstract:</v>
      </c>
      <c r="B39" s="635"/>
      <c r="C39" s="635"/>
      <c r="D39" s="635"/>
      <c r="E39" s="105"/>
      <c r="F39" s="90"/>
    </row>
    <row r="40" spans="1:6" ht="15.75">
      <c r="A40" s="106"/>
      <c r="B40" s="90"/>
      <c r="C40" s="90"/>
      <c r="D40" s="90"/>
      <c r="E40" s="105"/>
      <c r="F40" s="90"/>
    </row>
    <row r="41" spans="1:6" ht="15.75">
      <c r="A41" s="50" t="str">
        <f>inputPrYr!D4</f>
        <v>Clay County</v>
      </c>
      <c r="B41" s="103"/>
      <c r="C41" s="103"/>
      <c r="D41" s="61">
        <v>69589</v>
      </c>
      <c r="E41" s="103"/>
      <c r="F41" s="90"/>
    </row>
    <row r="42" spans="1:6" ht="15.75">
      <c r="A42" s="50" t="str">
        <f>inputPrYr!D6</f>
        <v>Washington</v>
      </c>
      <c r="B42" s="103"/>
      <c r="C42" s="103"/>
      <c r="D42" s="61">
        <v>70823</v>
      </c>
      <c r="E42" s="103"/>
      <c r="F42" s="90"/>
    </row>
    <row r="43" spans="1:6" ht="15.75">
      <c r="A43" s="50">
        <f>inputPrYr!D7</f>
        <v>0</v>
      </c>
      <c r="B43" s="103"/>
      <c r="C43" s="103"/>
      <c r="D43" s="61"/>
      <c r="E43" s="103"/>
      <c r="F43" s="90"/>
    </row>
    <row r="44" spans="1:6" ht="15.75">
      <c r="A44" s="50">
        <f>inputPrYr!D8</f>
        <v>0</v>
      </c>
      <c r="B44" s="103"/>
      <c r="C44" s="103"/>
      <c r="D44" s="61"/>
      <c r="E44" s="103"/>
      <c r="F44" s="90"/>
    </row>
    <row r="45" spans="1:6" ht="15.75">
      <c r="A45" s="51" t="s">
        <v>268</v>
      </c>
      <c r="B45" s="103"/>
      <c r="C45" s="103"/>
      <c r="D45" s="59">
        <f>SUM(D41:D44)</f>
        <v>140412</v>
      </c>
      <c r="E45" s="103"/>
      <c r="F45" s="90"/>
    </row>
    <row r="46" spans="1:6" ht="15">
      <c r="A46" s="103"/>
      <c r="B46" s="103"/>
      <c r="C46" s="103"/>
      <c r="D46" s="103"/>
      <c r="E46" s="103"/>
      <c r="F46" s="90"/>
    </row>
    <row r="47" spans="1:6" ht="15.75">
      <c r="A47" s="107" t="str">
        <f>CONCATENATE("From the County Treasurer's Budget Information - ",E1," Budget Year Estimates:")</f>
        <v>From the County Treasurer's Budget Information - 2012 Budget Year Estimates:</v>
      </c>
      <c r="B47" s="42"/>
      <c r="C47" s="42"/>
      <c r="D47" s="108"/>
      <c r="E47" s="109"/>
      <c r="F47" s="90"/>
    </row>
    <row r="48" spans="1:6" ht="15.75">
      <c r="A48" s="110"/>
      <c r="B48" s="111"/>
      <c r="C48" s="626" t="s">
        <v>269</v>
      </c>
      <c r="D48" s="636" t="s">
        <v>270</v>
      </c>
      <c r="E48" s="626" t="s">
        <v>271</v>
      </c>
      <c r="F48" s="90"/>
    </row>
    <row r="49" spans="1:6" ht="15.75">
      <c r="A49" s="628" t="str">
        <f>CONCATENATE("",E1," Vehicle Tax Estimates")</f>
        <v>2012 Vehicle Tax Estimates</v>
      </c>
      <c r="B49" s="629"/>
      <c r="C49" s="627"/>
      <c r="D49" s="627"/>
      <c r="E49" s="627"/>
      <c r="F49" s="90"/>
    </row>
    <row r="50" spans="1:6" ht="15.75">
      <c r="A50" s="112" t="str">
        <f>inputPrYr!D4</f>
        <v>Clay County</v>
      </c>
      <c r="B50" s="80"/>
      <c r="C50" s="61">
        <v>1534</v>
      </c>
      <c r="D50" s="61">
        <v>0</v>
      </c>
      <c r="E50" s="52">
        <v>0</v>
      </c>
      <c r="F50" s="90"/>
    </row>
    <row r="51" spans="1:6" ht="15.75">
      <c r="A51" s="113" t="str">
        <f>inputPrYr!D6</f>
        <v>Washington</v>
      </c>
      <c r="B51" s="80"/>
      <c r="C51" s="61">
        <v>356</v>
      </c>
      <c r="D51" s="61">
        <v>0</v>
      </c>
      <c r="E51" s="52">
        <v>71</v>
      </c>
      <c r="F51" s="90"/>
    </row>
    <row r="52" spans="1:6" ht="15.75">
      <c r="A52" s="113">
        <f>inputPrYr!D7</f>
        <v>0</v>
      </c>
      <c r="B52" s="80"/>
      <c r="C52" s="61"/>
      <c r="D52" s="61"/>
      <c r="E52" s="52"/>
      <c r="F52" s="90"/>
    </row>
    <row r="53" spans="1:6" ht="15.75">
      <c r="A53" s="113">
        <f>inputPrYr!D8</f>
        <v>0</v>
      </c>
      <c r="B53" s="80"/>
      <c r="C53" s="114"/>
      <c r="D53" s="61"/>
      <c r="E53" s="52"/>
      <c r="F53" s="90"/>
    </row>
    <row r="54" spans="1:6" ht="15.75">
      <c r="A54" s="113" t="s">
        <v>272</v>
      </c>
      <c r="B54" s="80"/>
      <c r="C54" s="115">
        <f>SUM(C50:C53)</f>
        <v>1890</v>
      </c>
      <c r="D54" s="59">
        <f>SUM(D50:D53)</f>
        <v>0</v>
      </c>
      <c r="E54" s="59">
        <f>SUM(E50:E53)</f>
        <v>71</v>
      </c>
      <c r="F54" s="90"/>
    </row>
    <row r="55" spans="1:6" ht="15.75">
      <c r="A55" s="92"/>
      <c r="B55" s="79"/>
      <c r="C55" s="79"/>
      <c r="D55" s="58"/>
      <c r="E55" s="66"/>
      <c r="F55" s="90"/>
    </row>
    <row r="56" spans="1:6" ht="15.75">
      <c r="A56" s="92" t="s">
        <v>10</v>
      </c>
      <c r="B56" s="79"/>
      <c r="C56" s="79"/>
      <c r="D56" s="116"/>
      <c r="E56" s="52"/>
      <c r="F56" s="90"/>
    </row>
    <row r="57" spans="1:6" ht="15.75">
      <c r="A57" s="92" t="s">
        <v>13</v>
      </c>
      <c r="B57" s="79"/>
      <c r="C57" s="79"/>
      <c r="D57" s="116"/>
      <c r="E57" s="52"/>
      <c r="F57" s="90"/>
    </row>
    <row r="58" spans="1:6" ht="15.75">
      <c r="A58" s="56" t="s">
        <v>295</v>
      </c>
      <c r="B58" s="61"/>
      <c r="C58" s="61"/>
      <c r="D58" s="61"/>
      <c r="E58" s="52"/>
      <c r="F58" s="117">
        <f>SUM(B58:E58)</f>
        <v>0</v>
      </c>
    </row>
    <row r="59" spans="1:6" ht="15.75">
      <c r="A59" s="28" t="s">
        <v>146</v>
      </c>
      <c r="B59" s="118" t="s">
        <v>290</v>
      </c>
      <c r="C59" s="118" t="s">
        <v>291</v>
      </c>
      <c r="D59" s="118" t="s">
        <v>292</v>
      </c>
      <c r="E59" s="118" t="s">
        <v>293</v>
      </c>
      <c r="F59" s="119" t="s">
        <v>294</v>
      </c>
    </row>
    <row r="60" spans="1:6" ht="15.75">
      <c r="A60" s="28"/>
      <c r="B60" s="28"/>
      <c r="C60" s="28"/>
      <c r="D60" s="28"/>
      <c r="E60" s="28"/>
      <c r="F60" s="90"/>
    </row>
    <row r="61" spans="1:6" ht="15.75">
      <c r="A61" s="27" t="s">
        <v>42</v>
      </c>
      <c r="B61" s="38"/>
      <c r="C61" s="38"/>
      <c r="D61" s="28"/>
      <c r="E61" s="28"/>
      <c r="F61" s="90"/>
    </row>
    <row r="62" spans="1:6" ht="15.75">
      <c r="A62" s="64" t="str">
        <f>CONCATENATE("Actual Delinquency for ",E1-3," Tax - (round to three decimal places)")</f>
        <v>Actual Delinquency for 2009 Tax - (round to three decimal places)</v>
      </c>
      <c r="B62" s="36"/>
      <c r="C62" s="28"/>
      <c r="D62" s="28"/>
      <c r="E62" s="120">
        <v>0</v>
      </c>
      <c r="F62" s="90"/>
    </row>
    <row r="63" spans="1:6" ht="15.75">
      <c r="A63" s="64" t="s">
        <v>223</v>
      </c>
      <c r="B63" s="64"/>
      <c r="C63" s="36"/>
      <c r="D63" s="36"/>
      <c r="E63" s="422"/>
      <c r="F63" s="90"/>
    </row>
    <row r="64" spans="1:6" ht="15.75">
      <c r="A64" s="121" t="s">
        <v>224</v>
      </c>
      <c r="B64" s="121"/>
      <c r="C64" s="122"/>
      <c r="D64" s="122"/>
      <c r="E64" s="123"/>
      <c r="F64" s="124"/>
    </row>
    <row r="65" spans="1:6" ht="15.75">
      <c r="A65" s="28"/>
      <c r="B65" s="28"/>
      <c r="C65" s="28"/>
      <c r="D65" s="28"/>
      <c r="E65" s="28"/>
      <c r="F65" s="90"/>
    </row>
    <row r="66" spans="1:6" ht="15.75">
      <c r="A66" s="125" t="s">
        <v>260</v>
      </c>
      <c r="B66" s="126"/>
      <c r="C66" s="127"/>
      <c r="D66" s="127"/>
      <c r="E66" s="127"/>
      <c r="F66" s="128"/>
    </row>
    <row r="67" spans="1:5" ht="15.75">
      <c r="A67" s="129" t="str">
        <f>CONCATENATE("",E1," State Distribution for Kansas Gas Tax")</f>
        <v>2012 State Distribution for Kansas Gas Tax</v>
      </c>
      <c r="B67" s="130"/>
      <c r="C67" s="130"/>
      <c r="D67" s="131"/>
      <c r="E67" s="61">
        <v>1510</v>
      </c>
    </row>
    <row r="68" spans="1:5" ht="15.75">
      <c r="A68" s="132" t="str">
        <f>CONCATENATE("",E1," County Transfers for Gas***")</f>
        <v>2012 County Transfers for Gas***</v>
      </c>
      <c r="B68" s="133"/>
      <c r="C68" s="133"/>
      <c r="D68" s="134"/>
      <c r="E68" s="61"/>
    </row>
    <row r="69" spans="1:5" ht="15.75">
      <c r="A69" s="132" t="str">
        <f>CONCATENATE("Adjusted ",E1-1," State Distribution for Kansas Gas Tax")</f>
        <v>Adjusted 2011 State Distribution for Kansas Gas Tax</v>
      </c>
      <c r="B69" s="133"/>
      <c r="C69" s="133"/>
      <c r="D69" s="134"/>
      <c r="E69" s="61">
        <v>1470</v>
      </c>
    </row>
    <row r="70" spans="1:5" ht="17.25" customHeight="1">
      <c r="A70" s="132" t="str">
        <f>CONCATENATE("Adjusted ",E1-1," County Transfers for Gas***")</f>
        <v>Adjusted 2011 County Transfers for Gas***</v>
      </c>
      <c r="B70" s="133"/>
      <c r="C70" s="133"/>
      <c r="D70" s="134"/>
      <c r="E70" s="61"/>
    </row>
    <row r="71" spans="1:6" ht="17.25" customHeight="1">
      <c r="A71" s="630" t="s">
        <v>273</v>
      </c>
      <c r="B71" s="631"/>
      <c r="C71" s="631"/>
      <c r="D71" s="631"/>
      <c r="E71" s="631"/>
      <c r="F71" s="631"/>
    </row>
    <row r="72" spans="1:6" ht="15">
      <c r="A72" s="124" t="s">
        <v>274</v>
      </c>
      <c r="B72" s="124"/>
      <c r="C72" s="124"/>
      <c r="D72" s="124"/>
      <c r="E72" s="124"/>
      <c r="F72" s="124"/>
    </row>
    <row r="73" spans="1:5" ht="15">
      <c r="A73" s="90"/>
      <c r="B73" s="90"/>
      <c r="C73" s="90"/>
      <c r="D73" s="90"/>
      <c r="E73" s="90"/>
    </row>
    <row r="74" spans="1:5" ht="15.75">
      <c r="A74" s="639" t="str">
        <f>CONCATENATE("From the ",E1-2," Budget Certificate Page")</f>
        <v>From the 2010 Budget Certificate Page</v>
      </c>
      <c r="B74" s="640"/>
      <c r="C74" s="90"/>
      <c r="D74" s="90"/>
      <c r="E74" s="90"/>
    </row>
    <row r="75" spans="1:5" ht="15.75">
      <c r="A75" s="135"/>
      <c r="B75" s="135" t="str">
        <f>CONCATENATE("",E1-2," Expenditure Amts")</f>
        <v>2010 Expenditure Amts</v>
      </c>
      <c r="C75" s="624" t="str">
        <f>CONCATENATE("Note: If the ",E1-2," budget was amended, then the")</f>
        <v>Note: If the 2010 budget was amended, then the</v>
      </c>
      <c r="D75" s="625"/>
      <c r="E75" s="625"/>
    </row>
    <row r="76" spans="1:5" ht="15.75">
      <c r="A76" s="136" t="s">
        <v>282</v>
      </c>
      <c r="B76" s="136" t="s">
        <v>283</v>
      </c>
      <c r="C76" s="137" t="s">
        <v>284</v>
      </c>
      <c r="D76" s="138"/>
      <c r="E76" s="138"/>
    </row>
    <row r="77" spans="1:5" ht="15.75">
      <c r="A77" s="139" t="str">
        <f>inputPrYr!B22</f>
        <v>General</v>
      </c>
      <c r="B77" s="61">
        <v>26100</v>
      </c>
      <c r="C77" s="137" t="s">
        <v>285</v>
      </c>
      <c r="D77" s="138"/>
      <c r="E77" s="138"/>
    </row>
    <row r="78" spans="1:5" ht="15.75">
      <c r="A78" s="139" t="str">
        <f>inputPrYr!B23</f>
        <v>Debt Service</v>
      </c>
      <c r="B78" s="61"/>
      <c r="C78" s="137"/>
      <c r="D78" s="138"/>
      <c r="E78" s="138"/>
    </row>
    <row r="79" spans="1:5" ht="15.75">
      <c r="A79" s="139">
        <f>inputPrYr!B25</f>
        <v>0</v>
      </c>
      <c r="B79" s="61"/>
      <c r="C79" s="90"/>
      <c r="D79" s="90"/>
      <c r="E79" s="90"/>
    </row>
    <row r="80" spans="1:5" ht="15.75">
      <c r="A80" s="139">
        <f>inputPrYr!B26</f>
        <v>0</v>
      </c>
      <c r="B80" s="61"/>
      <c r="C80" s="90"/>
      <c r="D80" s="90"/>
      <c r="E80" s="90"/>
    </row>
    <row r="81" spans="1:5" ht="15.75">
      <c r="A81" s="139">
        <f>inputPrYr!B27</f>
        <v>0</v>
      </c>
      <c r="B81" s="61"/>
      <c r="C81" s="90"/>
      <c r="D81" s="90"/>
      <c r="E81" s="90"/>
    </row>
    <row r="82" spans="1:5" ht="15.75">
      <c r="A82" s="139">
        <f>inputPrYr!B28</f>
        <v>0</v>
      </c>
      <c r="B82" s="61"/>
      <c r="C82" s="90"/>
      <c r="D82" s="90"/>
      <c r="E82" s="90"/>
    </row>
    <row r="83" spans="1:5" ht="15.75">
      <c r="A83" s="139">
        <f>inputPrYr!B29</f>
        <v>0</v>
      </c>
      <c r="B83" s="61"/>
      <c r="C83" s="90"/>
      <c r="D83" s="90"/>
      <c r="E83" s="90"/>
    </row>
    <row r="84" spans="1:5" ht="15.75">
      <c r="A84" s="139" t="str">
        <f>inputPrYr!B33</f>
        <v>Special Highway</v>
      </c>
      <c r="B84" s="61">
        <v>4520</v>
      </c>
      <c r="C84" s="90"/>
      <c r="D84" s="90"/>
      <c r="E84" s="90"/>
    </row>
    <row r="85" spans="1:5" ht="15.75">
      <c r="A85" s="139" t="str">
        <f>inputPrYr!B34</f>
        <v>Parks &amp; Recreation</v>
      </c>
      <c r="B85" s="61">
        <v>6327</v>
      </c>
      <c r="C85" s="90"/>
      <c r="D85" s="90"/>
      <c r="E85" s="90"/>
    </row>
    <row r="86" spans="1:5" ht="15.75">
      <c r="A86" s="139">
        <f>inputPrYr!B35</f>
        <v>0</v>
      </c>
      <c r="B86" s="61"/>
      <c r="C86" s="90"/>
      <c r="D86" s="90"/>
      <c r="E86" s="90"/>
    </row>
    <row r="87" spans="1:5" ht="15.75">
      <c r="A87" s="139">
        <f>inputPrYr!B36</f>
        <v>0</v>
      </c>
      <c r="B87" s="61"/>
      <c r="C87" s="90"/>
      <c r="D87" s="90"/>
      <c r="E87" s="90"/>
    </row>
    <row r="88" spans="1:5" ht="15.75">
      <c r="A88" s="139">
        <f>inputPrYr!B37</f>
        <v>0</v>
      </c>
      <c r="B88" s="61"/>
      <c r="C88" s="90"/>
      <c r="D88" s="90"/>
      <c r="E88" s="90"/>
    </row>
    <row r="89" spans="1:5" ht="15.75">
      <c r="A89" s="139">
        <f>inputPrYr!B38</f>
        <v>0</v>
      </c>
      <c r="B89" s="61"/>
      <c r="C89" s="90"/>
      <c r="D89" s="90"/>
      <c r="E89" s="90"/>
    </row>
    <row r="90" spans="1:5" ht="15.75">
      <c r="A90" s="139">
        <f>inputPrYr!B40</f>
        <v>0</v>
      </c>
      <c r="B90" s="61"/>
      <c r="C90" s="90"/>
      <c r="D90" s="90"/>
      <c r="E90" s="90"/>
    </row>
  </sheetData>
  <sheetProtection sheet="1"/>
  <mergeCells count="18">
    <mergeCell ref="C75:E75"/>
    <mergeCell ref="E48:E49"/>
    <mergeCell ref="A49:B49"/>
    <mergeCell ref="A71:F71"/>
    <mergeCell ref="A28:D28"/>
    <mergeCell ref="A39:D39"/>
    <mergeCell ref="C48:C49"/>
    <mergeCell ref="D48:D49"/>
    <mergeCell ref="A29:B29"/>
    <mergeCell ref="A74:B74"/>
    <mergeCell ref="A16:D16"/>
    <mergeCell ref="A3:E3"/>
    <mergeCell ref="A6:F6"/>
    <mergeCell ref="B7:B9"/>
    <mergeCell ref="C7:C9"/>
    <mergeCell ref="D7:D9"/>
    <mergeCell ref="E7:E9"/>
    <mergeCell ref="F7:F9"/>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3">
      <selection activeCell="A1" sqref="A1"/>
    </sheetView>
  </sheetViews>
  <sheetFormatPr defaultColWidth="8.796875" defaultRowHeight="15"/>
  <cols>
    <col min="1" max="1" width="71.296875" style="0" customWidth="1"/>
  </cols>
  <sheetData>
    <row r="3" spans="1:7" ht="15">
      <c r="A3" s="387" t="s">
        <v>609</v>
      </c>
      <c r="B3" s="387"/>
      <c r="C3" s="387"/>
      <c r="D3" s="387"/>
      <c r="E3" s="387"/>
      <c r="F3" s="387"/>
      <c r="G3" s="387"/>
    </row>
    <row r="4" spans="1:7" ht="15">
      <c r="A4" s="387" t="s">
        <v>610</v>
      </c>
      <c r="B4" s="387"/>
      <c r="C4" s="387"/>
      <c r="D4" s="387"/>
      <c r="E4" s="387"/>
      <c r="F4" s="387"/>
      <c r="G4" s="387"/>
    </row>
    <row r="5" spans="1:7" ht="15">
      <c r="A5" s="387"/>
      <c r="B5" s="387"/>
      <c r="C5" s="387"/>
      <c r="D5" s="387"/>
      <c r="E5" s="387"/>
      <c r="F5" s="387"/>
      <c r="G5" s="387"/>
    </row>
    <row r="6" spans="1:7" ht="15">
      <c r="A6" s="387"/>
      <c r="B6" s="387"/>
      <c r="C6" s="387"/>
      <c r="D6" s="387"/>
      <c r="E6" s="387"/>
      <c r="F6" s="387"/>
      <c r="G6" s="387"/>
    </row>
    <row r="7" ht="15">
      <c r="A7" s="388" t="s">
        <v>437</v>
      </c>
    </row>
    <row r="8" ht="15">
      <c r="A8" s="388" t="str">
        <f>CONCATENATE("estimated ",inputPrYr!C10," 'total expenditures' exceed your ",inputPrYr!C10,"")</f>
        <v>estimated 2012 'total expenditures' exceed your 2012</v>
      </c>
    </row>
    <row r="9" ht="15">
      <c r="A9" s="391" t="s">
        <v>611</v>
      </c>
    </row>
    <row r="10" ht="15">
      <c r="A10" s="388"/>
    </row>
    <row r="11" ht="15">
      <c r="A11" s="388" t="s">
        <v>612</v>
      </c>
    </row>
    <row r="12" ht="15">
      <c r="A12" s="388" t="s">
        <v>613</v>
      </c>
    </row>
    <row r="13" ht="15">
      <c r="A13" s="388" t="s">
        <v>614</v>
      </c>
    </row>
    <row r="14" ht="15">
      <c r="A14" s="388"/>
    </row>
    <row r="15" ht="15">
      <c r="A15" s="389" t="s">
        <v>615</v>
      </c>
    </row>
    <row r="16" spans="1:7" ht="15">
      <c r="A16" s="387"/>
      <c r="B16" s="387"/>
      <c r="C16" s="387"/>
      <c r="D16" s="387"/>
      <c r="E16" s="387"/>
      <c r="F16" s="387"/>
      <c r="G16" s="387"/>
    </row>
    <row r="17" spans="1:8" ht="15">
      <c r="A17" s="394" t="s">
        <v>616</v>
      </c>
      <c r="B17" s="395"/>
      <c r="C17" s="395"/>
      <c r="D17" s="395"/>
      <c r="E17" s="395"/>
      <c r="F17" s="395"/>
      <c r="G17" s="395"/>
      <c r="H17" s="395"/>
    </row>
    <row r="18" spans="1:7" ht="15">
      <c r="A18" s="388" t="s">
        <v>617</v>
      </c>
      <c r="B18" s="396"/>
      <c r="C18" s="396"/>
      <c r="D18" s="396"/>
      <c r="E18" s="396"/>
      <c r="F18" s="396"/>
      <c r="G18" s="396"/>
    </row>
    <row r="19" ht="15">
      <c r="A19" s="388" t="s">
        <v>618</v>
      </c>
    </row>
    <row r="20" ht="15">
      <c r="A20" s="388" t="s">
        <v>619</v>
      </c>
    </row>
    <row r="22" ht="15">
      <c r="A22" s="389" t="s">
        <v>620</v>
      </c>
    </row>
    <row r="24" ht="15">
      <c r="A24" s="388" t="s">
        <v>621</v>
      </c>
    </row>
    <row r="25" ht="15">
      <c r="A25" s="388" t="s">
        <v>622</v>
      </c>
    </row>
    <row r="26" ht="15">
      <c r="A26" s="388" t="s">
        <v>623</v>
      </c>
    </row>
    <row r="28" ht="15">
      <c r="A28" s="389" t="s">
        <v>624</v>
      </c>
    </row>
    <row r="30" ht="15">
      <c r="A30" t="s">
        <v>625</v>
      </c>
    </row>
    <row r="31" ht="15">
      <c r="A31" t="s">
        <v>626</v>
      </c>
    </row>
    <row r="32" ht="15">
      <c r="A32" t="s">
        <v>627</v>
      </c>
    </row>
    <row r="33" ht="15">
      <c r="A33" s="388" t="s">
        <v>628</v>
      </c>
    </row>
    <row r="35" ht="15">
      <c r="A35" t="s">
        <v>629</v>
      </c>
    </row>
    <row r="36" ht="15">
      <c r="A36" t="s">
        <v>630</v>
      </c>
    </row>
    <row r="37" ht="15">
      <c r="A37" t="s">
        <v>631</v>
      </c>
    </row>
    <row r="38" ht="15">
      <c r="A38" t="s">
        <v>632</v>
      </c>
    </row>
    <row r="40" ht="15">
      <c r="A40" t="s">
        <v>633</v>
      </c>
    </row>
    <row r="41" ht="15">
      <c r="A41" t="s">
        <v>634</v>
      </c>
    </row>
    <row r="42" ht="15">
      <c r="A42" t="s">
        <v>635</v>
      </c>
    </row>
    <row r="43" ht="15">
      <c r="A43" t="s">
        <v>636</v>
      </c>
    </row>
    <row r="44" ht="15">
      <c r="A44" t="s">
        <v>637</v>
      </c>
    </row>
    <row r="45" ht="15">
      <c r="A45" t="s">
        <v>638</v>
      </c>
    </row>
    <row r="47" ht="15">
      <c r="A47" t="s">
        <v>639</v>
      </c>
    </row>
    <row r="48" ht="15">
      <c r="A48" t="s">
        <v>640</v>
      </c>
    </row>
    <row r="49" ht="15">
      <c r="A49" s="388" t="s">
        <v>641</v>
      </c>
    </row>
    <row r="50" ht="15">
      <c r="A50" s="388" t="s">
        <v>642</v>
      </c>
    </row>
    <row r="52" ht="15">
      <c r="A52" t="s">
        <v>492</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91">
      <selection activeCell="A1" sqref="A1:IV16384"/>
    </sheetView>
  </sheetViews>
  <sheetFormatPr defaultColWidth="8.796875" defaultRowHeight="15"/>
  <cols>
    <col min="1" max="1" width="7.59765625" style="433" customWidth="1"/>
    <col min="2" max="2" width="11.19921875" style="434" customWidth="1"/>
    <col min="3" max="3" width="7.3984375" style="434" customWidth="1"/>
    <col min="4" max="4" width="8.8984375" style="434" customWidth="1"/>
    <col min="5" max="5" width="1.59765625" style="434" customWidth="1"/>
    <col min="6" max="6" width="14.296875" style="434" customWidth="1"/>
    <col min="7" max="7" width="2.59765625" style="434" customWidth="1"/>
    <col min="8" max="8" width="9.796875" style="434" customWidth="1"/>
    <col min="9" max="9" width="2" style="434" customWidth="1"/>
    <col min="10" max="10" width="8.59765625" style="434" customWidth="1"/>
    <col min="11" max="11" width="11.69921875" style="434" customWidth="1"/>
    <col min="12" max="12" width="7.59765625" style="433" customWidth="1"/>
    <col min="13" max="14" width="8.8984375" style="433" customWidth="1"/>
    <col min="15" max="15" width="9.8984375" style="433" bestFit="1" customWidth="1"/>
    <col min="16" max="16384" width="8.8984375" style="433" customWidth="1"/>
  </cols>
  <sheetData>
    <row r="1" spans="1:12" ht="14.25">
      <c r="A1" s="432"/>
      <c r="B1" s="432"/>
      <c r="C1" s="432"/>
      <c r="D1" s="432"/>
      <c r="E1" s="432"/>
      <c r="F1" s="432"/>
      <c r="G1" s="432"/>
      <c r="H1" s="432"/>
      <c r="I1" s="432"/>
      <c r="J1" s="432"/>
      <c r="K1" s="432"/>
      <c r="L1" s="432"/>
    </row>
    <row r="2" spans="1:12" ht="14.25">
      <c r="A2" s="432"/>
      <c r="B2" s="432"/>
      <c r="C2" s="432"/>
      <c r="D2" s="432"/>
      <c r="E2" s="432"/>
      <c r="F2" s="432"/>
      <c r="G2" s="432"/>
      <c r="H2" s="432"/>
      <c r="I2" s="432"/>
      <c r="J2" s="432"/>
      <c r="K2" s="432"/>
      <c r="L2" s="432"/>
    </row>
    <row r="3" spans="1:12" ht="14.25">
      <c r="A3" s="432"/>
      <c r="B3" s="432"/>
      <c r="C3" s="432"/>
      <c r="D3" s="432"/>
      <c r="E3" s="432"/>
      <c r="F3" s="432"/>
      <c r="G3" s="432"/>
      <c r="H3" s="432"/>
      <c r="I3" s="432"/>
      <c r="J3" s="432"/>
      <c r="K3" s="432"/>
      <c r="L3" s="432"/>
    </row>
    <row r="4" spans="1:12" ht="14.25">
      <c r="A4" s="432"/>
      <c r="L4" s="432"/>
    </row>
    <row r="5" spans="1:12" ht="15" customHeight="1">
      <c r="A5" s="432"/>
      <c r="L5" s="432"/>
    </row>
    <row r="6" spans="1:12" ht="33" customHeight="1">
      <c r="A6" s="432"/>
      <c r="B6" s="716" t="s">
        <v>691</v>
      </c>
      <c r="C6" s="722"/>
      <c r="D6" s="722"/>
      <c r="E6" s="722"/>
      <c r="F6" s="722"/>
      <c r="G6" s="722"/>
      <c r="H6" s="722"/>
      <c r="I6" s="722"/>
      <c r="J6" s="722"/>
      <c r="K6" s="722"/>
      <c r="L6" s="435"/>
    </row>
    <row r="7" spans="1:12" ht="40.5" customHeight="1">
      <c r="A7" s="432"/>
      <c r="B7" s="723" t="s">
        <v>692</v>
      </c>
      <c r="C7" s="724"/>
      <c r="D7" s="724"/>
      <c r="E7" s="724"/>
      <c r="F7" s="724"/>
      <c r="G7" s="724"/>
      <c r="H7" s="724"/>
      <c r="I7" s="724"/>
      <c r="J7" s="724"/>
      <c r="K7" s="724"/>
      <c r="L7" s="432"/>
    </row>
    <row r="8" spans="1:12" ht="14.25">
      <c r="A8" s="432"/>
      <c r="B8" s="721" t="s">
        <v>693</v>
      </c>
      <c r="C8" s="721"/>
      <c r="D8" s="721"/>
      <c r="E8" s="721"/>
      <c r="F8" s="721"/>
      <c r="G8" s="721"/>
      <c r="H8" s="721"/>
      <c r="I8" s="721"/>
      <c r="J8" s="721"/>
      <c r="K8" s="721"/>
      <c r="L8" s="432"/>
    </row>
    <row r="9" spans="1:12" ht="14.25">
      <c r="A9" s="432"/>
      <c r="L9" s="432"/>
    </row>
    <row r="10" spans="1:12" ht="14.25">
      <c r="A10" s="432"/>
      <c r="B10" s="721" t="s">
        <v>694</v>
      </c>
      <c r="C10" s="721"/>
      <c r="D10" s="721"/>
      <c r="E10" s="721"/>
      <c r="F10" s="721"/>
      <c r="G10" s="721"/>
      <c r="H10" s="721"/>
      <c r="I10" s="721"/>
      <c r="J10" s="721"/>
      <c r="K10" s="721"/>
      <c r="L10" s="432"/>
    </row>
    <row r="11" spans="1:12" ht="14.25">
      <c r="A11" s="432"/>
      <c r="B11" s="576"/>
      <c r="C11" s="576"/>
      <c r="D11" s="576"/>
      <c r="E11" s="576"/>
      <c r="F11" s="576"/>
      <c r="G11" s="576"/>
      <c r="H11" s="576"/>
      <c r="I11" s="576"/>
      <c r="J11" s="576"/>
      <c r="K11" s="576"/>
      <c r="L11" s="432"/>
    </row>
    <row r="12" spans="1:12" ht="32.25" customHeight="1">
      <c r="A12" s="432"/>
      <c r="B12" s="711" t="s">
        <v>695</v>
      </c>
      <c r="C12" s="711"/>
      <c r="D12" s="711"/>
      <c r="E12" s="711"/>
      <c r="F12" s="711"/>
      <c r="G12" s="711"/>
      <c r="H12" s="711"/>
      <c r="I12" s="711"/>
      <c r="J12" s="711"/>
      <c r="K12" s="711"/>
      <c r="L12" s="432"/>
    </row>
    <row r="13" spans="1:12" ht="14.25">
      <c r="A13" s="432"/>
      <c r="L13" s="432"/>
    </row>
    <row r="14" spans="1:12" ht="14.25">
      <c r="A14" s="432"/>
      <c r="B14" s="436" t="s">
        <v>696</v>
      </c>
      <c r="L14" s="432"/>
    </row>
    <row r="15" spans="1:12" ht="14.25">
      <c r="A15" s="432"/>
      <c r="L15" s="432"/>
    </row>
    <row r="16" spans="1:12" ht="14.25">
      <c r="A16" s="432"/>
      <c r="B16" s="434" t="s">
        <v>697</v>
      </c>
      <c r="L16" s="432"/>
    </row>
    <row r="17" spans="1:12" ht="14.25">
      <c r="A17" s="432"/>
      <c r="B17" s="434" t="s">
        <v>698</v>
      </c>
      <c r="L17" s="432"/>
    </row>
    <row r="18" spans="1:12" ht="14.25">
      <c r="A18" s="432"/>
      <c r="L18" s="432"/>
    </row>
    <row r="19" spans="1:12" ht="14.25">
      <c r="A19" s="432"/>
      <c r="B19" s="436" t="s">
        <v>699</v>
      </c>
      <c r="L19" s="432"/>
    </row>
    <row r="20" spans="1:12" ht="14.25">
      <c r="A20" s="432"/>
      <c r="B20" s="436"/>
      <c r="L20" s="432"/>
    </row>
    <row r="21" spans="1:12" ht="14.25">
      <c r="A21" s="432"/>
      <c r="B21" s="434" t="s">
        <v>700</v>
      </c>
      <c r="L21" s="432"/>
    </row>
    <row r="22" spans="1:12" ht="14.25">
      <c r="A22" s="432"/>
      <c r="L22" s="432"/>
    </row>
    <row r="23" spans="1:12" ht="14.25">
      <c r="A23" s="432"/>
      <c r="B23" s="434" t="s">
        <v>701</v>
      </c>
      <c r="E23" s="434" t="s">
        <v>702</v>
      </c>
      <c r="F23" s="707">
        <v>133685008</v>
      </c>
      <c r="G23" s="707"/>
      <c r="L23" s="432"/>
    </row>
    <row r="24" spans="1:12" ht="14.25">
      <c r="A24" s="432"/>
      <c r="L24" s="432"/>
    </row>
    <row r="25" spans="1:12" ht="14.25">
      <c r="A25" s="432"/>
      <c r="C25" s="715">
        <f>F23</f>
        <v>133685008</v>
      </c>
      <c r="D25" s="715"/>
      <c r="E25" s="434" t="s">
        <v>703</v>
      </c>
      <c r="F25" s="437">
        <v>1000</v>
      </c>
      <c r="G25" s="437" t="s">
        <v>702</v>
      </c>
      <c r="H25" s="577">
        <f>F23/F25</f>
        <v>133685.008</v>
      </c>
      <c r="L25" s="432"/>
    </row>
    <row r="26" spans="1:12" ht="15" thickBot="1">
      <c r="A26" s="432"/>
      <c r="L26" s="432"/>
    </row>
    <row r="27" spans="1:12" ht="14.25">
      <c r="A27" s="432"/>
      <c r="B27" s="438" t="s">
        <v>696</v>
      </c>
      <c r="C27" s="439"/>
      <c r="D27" s="439"/>
      <c r="E27" s="439"/>
      <c r="F27" s="439"/>
      <c r="G27" s="439"/>
      <c r="H27" s="439"/>
      <c r="I27" s="439"/>
      <c r="J27" s="439"/>
      <c r="K27" s="440"/>
      <c r="L27" s="432"/>
    </row>
    <row r="28" spans="1:12" ht="14.25">
      <c r="A28" s="432"/>
      <c r="B28" s="441">
        <f>F23</f>
        <v>133685008</v>
      </c>
      <c r="C28" s="442" t="s">
        <v>704</v>
      </c>
      <c r="D28" s="442"/>
      <c r="E28" s="442" t="s">
        <v>703</v>
      </c>
      <c r="F28" s="569">
        <v>1000</v>
      </c>
      <c r="G28" s="569" t="s">
        <v>702</v>
      </c>
      <c r="H28" s="443">
        <f>B28/F28</f>
        <v>133685.008</v>
      </c>
      <c r="I28" s="442" t="s">
        <v>705</v>
      </c>
      <c r="J28" s="442"/>
      <c r="K28" s="444"/>
      <c r="L28" s="432"/>
    </row>
    <row r="29" spans="1:12" ht="15" thickBot="1">
      <c r="A29" s="432"/>
      <c r="B29" s="445"/>
      <c r="C29" s="446"/>
      <c r="D29" s="446"/>
      <c r="E29" s="446"/>
      <c r="F29" s="446"/>
      <c r="G29" s="446"/>
      <c r="H29" s="446"/>
      <c r="I29" s="446"/>
      <c r="J29" s="446"/>
      <c r="K29" s="447"/>
      <c r="L29" s="432"/>
    </row>
    <row r="30" spans="1:12" ht="40.5" customHeight="1">
      <c r="A30" s="432"/>
      <c r="B30" s="712" t="s">
        <v>692</v>
      </c>
      <c r="C30" s="712"/>
      <c r="D30" s="712"/>
      <c r="E30" s="712"/>
      <c r="F30" s="712"/>
      <c r="G30" s="712"/>
      <c r="H30" s="712"/>
      <c r="I30" s="712"/>
      <c r="J30" s="712"/>
      <c r="K30" s="712"/>
      <c r="L30" s="432"/>
    </row>
    <row r="31" spans="1:12" ht="14.25">
      <c r="A31" s="432"/>
      <c r="B31" s="721" t="s">
        <v>706</v>
      </c>
      <c r="C31" s="721"/>
      <c r="D31" s="721"/>
      <c r="E31" s="721"/>
      <c r="F31" s="721"/>
      <c r="G31" s="721"/>
      <c r="H31" s="721"/>
      <c r="I31" s="721"/>
      <c r="J31" s="721"/>
      <c r="K31" s="721"/>
      <c r="L31" s="432"/>
    </row>
    <row r="32" spans="1:12" ht="14.25">
      <c r="A32" s="432"/>
      <c r="L32" s="432"/>
    </row>
    <row r="33" spans="1:12" ht="14.25">
      <c r="A33" s="432"/>
      <c r="B33" s="721" t="s">
        <v>707</v>
      </c>
      <c r="C33" s="721"/>
      <c r="D33" s="721"/>
      <c r="E33" s="721"/>
      <c r="F33" s="721"/>
      <c r="G33" s="721"/>
      <c r="H33" s="721"/>
      <c r="I33" s="721"/>
      <c r="J33" s="721"/>
      <c r="K33" s="721"/>
      <c r="L33" s="432"/>
    </row>
    <row r="34" spans="1:12" ht="14.25">
      <c r="A34" s="432"/>
      <c r="L34" s="432"/>
    </row>
    <row r="35" spans="1:12" ht="89.25" customHeight="1">
      <c r="A35" s="432"/>
      <c r="B35" s="711" t="s">
        <v>708</v>
      </c>
      <c r="C35" s="710"/>
      <c r="D35" s="710"/>
      <c r="E35" s="710"/>
      <c r="F35" s="710"/>
      <c r="G35" s="710"/>
      <c r="H35" s="710"/>
      <c r="I35" s="710"/>
      <c r="J35" s="710"/>
      <c r="K35" s="710"/>
      <c r="L35" s="432"/>
    </row>
    <row r="36" spans="1:12" ht="14.25">
      <c r="A36" s="432"/>
      <c r="L36" s="432"/>
    </row>
    <row r="37" spans="1:12" ht="14.25">
      <c r="A37" s="432"/>
      <c r="B37" s="436" t="s">
        <v>709</v>
      </c>
      <c r="L37" s="432"/>
    </row>
    <row r="38" spans="1:12" ht="14.25">
      <c r="A38" s="432"/>
      <c r="L38" s="432"/>
    </row>
    <row r="39" spans="1:12" ht="14.25">
      <c r="A39" s="432"/>
      <c r="B39" s="434" t="s">
        <v>710</v>
      </c>
      <c r="L39" s="432"/>
    </row>
    <row r="40" spans="1:12" ht="14.25">
      <c r="A40" s="432"/>
      <c r="L40" s="432"/>
    </row>
    <row r="41" spans="1:12" ht="14.25">
      <c r="A41" s="432"/>
      <c r="C41" s="725">
        <v>3120000</v>
      </c>
      <c r="D41" s="725"/>
      <c r="E41" s="434" t="s">
        <v>703</v>
      </c>
      <c r="F41" s="437">
        <v>1000</v>
      </c>
      <c r="G41" s="437" t="s">
        <v>702</v>
      </c>
      <c r="H41" s="448">
        <f>C41/F41</f>
        <v>3120</v>
      </c>
      <c r="L41" s="432"/>
    </row>
    <row r="42" spans="1:12" ht="14.25">
      <c r="A42" s="432"/>
      <c r="L42" s="432"/>
    </row>
    <row r="43" spans="1:12" ht="14.25">
      <c r="A43" s="432"/>
      <c r="B43" s="434" t="s">
        <v>711</v>
      </c>
      <c r="L43" s="432"/>
    </row>
    <row r="44" spans="1:12" ht="14.25">
      <c r="A44" s="432"/>
      <c r="L44" s="432"/>
    </row>
    <row r="45" spans="1:12" ht="14.25">
      <c r="A45" s="432"/>
      <c r="B45" s="434" t="s">
        <v>712</v>
      </c>
      <c r="L45" s="432"/>
    </row>
    <row r="46" spans="1:12" ht="15" thickBot="1">
      <c r="A46" s="432"/>
      <c r="L46" s="432"/>
    </row>
    <row r="47" spans="1:12" ht="14.25">
      <c r="A47" s="432"/>
      <c r="B47" s="449" t="s">
        <v>696</v>
      </c>
      <c r="C47" s="439"/>
      <c r="D47" s="439"/>
      <c r="E47" s="439"/>
      <c r="F47" s="439"/>
      <c r="G47" s="439"/>
      <c r="H47" s="439"/>
      <c r="I47" s="439"/>
      <c r="J47" s="439"/>
      <c r="K47" s="440"/>
      <c r="L47" s="432"/>
    </row>
    <row r="48" spans="1:12" ht="14.25">
      <c r="A48" s="432"/>
      <c r="B48" s="707">
        <v>133685008</v>
      </c>
      <c r="C48" s="707"/>
      <c r="D48" s="442" t="s">
        <v>713</v>
      </c>
      <c r="E48" s="442" t="s">
        <v>703</v>
      </c>
      <c r="F48" s="569">
        <v>1000</v>
      </c>
      <c r="G48" s="569" t="s">
        <v>702</v>
      </c>
      <c r="H48" s="443">
        <f>B48/F48</f>
        <v>133685.008</v>
      </c>
      <c r="I48" s="442" t="s">
        <v>714</v>
      </c>
      <c r="J48" s="442"/>
      <c r="K48" s="444"/>
      <c r="L48" s="432"/>
    </row>
    <row r="49" spans="1:12" ht="14.25">
      <c r="A49" s="432"/>
      <c r="B49" s="450"/>
      <c r="C49" s="442"/>
      <c r="D49" s="442"/>
      <c r="E49" s="442"/>
      <c r="F49" s="442"/>
      <c r="G49" s="442"/>
      <c r="H49" s="442"/>
      <c r="I49" s="442"/>
      <c r="J49" s="442"/>
      <c r="K49" s="444"/>
      <c r="L49" s="432"/>
    </row>
    <row r="50" spans="1:12" ht="14.25">
      <c r="A50" s="432"/>
      <c r="B50" s="451">
        <v>7067793</v>
      </c>
      <c r="C50" s="442" t="s">
        <v>715</v>
      </c>
      <c r="D50" s="442"/>
      <c r="E50" s="442" t="s">
        <v>703</v>
      </c>
      <c r="F50" s="443">
        <f>H48</f>
        <v>133685.008</v>
      </c>
      <c r="G50" s="717" t="s">
        <v>716</v>
      </c>
      <c r="H50" s="718"/>
      <c r="I50" s="569" t="s">
        <v>702</v>
      </c>
      <c r="J50" s="452">
        <f>B50/F50</f>
        <v>52.8690023342034</v>
      </c>
      <c r="K50" s="444"/>
      <c r="L50" s="432"/>
    </row>
    <row r="51" spans="1:15" ht="15" thickBot="1">
      <c r="A51" s="432"/>
      <c r="B51" s="445"/>
      <c r="C51" s="446"/>
      <c r="D51" s="446"/>
      <c r="E51" s="446"/>
      <c r="F51" s="446"/>
      <c r="G51" s="446"/>
      <c r="H51" s="446"/>
      <c r="I51" s="719" t="s">
        <v>717</v>
      </c>
      <c r="J51" s="719"/>
      <c r="K51" s="720"/>
      <c r="L51" s="432"/>
      <c r="O51" s="594"/>
    </row>
    <row r="52" spans="1:12" ht="40.5" customHeight="1">
      <c r="A52" s="432"/>
      <c r="B52" s="712" t="s">
        <v>692</v>
      </c>
      <c r="C52" s="712"/>
      <c r="D52" s="712"/>
      <c r="E52" s="712"/>
      <c r="F52" s="712"/>
      <c r="G52" s="712"/>
      <c r="H52" s="712"/>
      <c r="I52" s="712"/>
      <c r="J52" s="712"/>
      <c r="K52" s="712"/>
      <c r="L52" s="432"/>
    </row>
    <row r="53" spans="1:12" ht="14.25">
      <c r="A53" s="432"/>
      <c r="B53" s="721" t="s">
        <v>718</v>
      </c>
      <c r="C53" s="721"/>
      <c r="D53" s="721"/>
      <c r="E53" s="721"/>
      <c r="F53" s="721"/>
      <c r="G53" s="721"/>
      <c r="H53" s="721"/>
      <c r="I53" s="721"/>
      <c r="J53" s="721"/>
      <c r="K53" s="721"/>
      <c r="L53" s="432"/>
    </row>
    <row r="54" spans="1:12" ht="14.25">
      <c r="A54" s="432"/>
      <c r="B54" s="576"/>
      <c r="C54" s="576"/>
      <c r="D54" s="576"/>
      <c r="E54" s="576"/>
      <c r="F54" s="576"/>
      <c r="G54" s="576"/>
      <c r="H54" s="576"/>
      <c r="I54" s="576"/>
      <c r="J54" s="576"/>
      <c r="K54" s="576"/>
      <c r="L54" s="432"/>
    </row>
    <row r="55" spans="1:12" ht="14.25">
      <c r="A55" s="432"/>
      <c r="B55" s="716" t="s">
        <v>719</v>
      </c>
      <c r="C55" s="716"/>
      <c r="D55" s="716"/>
      <c r="E55" s="716"/>
      <c r="F55" s="716"/>
      <c r="G55" s="716"/>
      <c r="H55" s="716"/>
      <c r="I55" s="716"/>
      <c r="J55" s="716"/>
      <c r="K55" s="716"/>
      <c r="L55" s="432"/>
    </row>
    <row r="56" spans="1:12" ht="15" customHeight="1">
      <c r="A56" s="432"/>
      <c r="L56" s="432"/>
    </row>
    <row r="57" spans="1:24" ht="74.25" customHeight="1">
      <c r="A57" s="432"/>
      <c r="B57" s="711" t="s">
        <v>720</v>
      </c>
      <c r="C57" s="710"/>
      <c r="D57" s="710"/>
      <c r="E57" s="710"/>
      <c r="F57" s="710"/>
      <c r="G57" s="710"/>
      <c r="H57" s="710"/>
      <c r="I57" s="710"/>
      <c r="J57" s="710"/>
      <c r="K57" s="710"/>
      <c r="L57" s="432"/>
      <c r="M57" s="453"/>
      <c r="N57" s="454"/>
      <c r="O57" s="454"/>
      <c r="P57" s="454"/>
      <c r="Q57" s="454"/>
      <c r="R57" s="454"/>
      <c r="S57" s="454"/>
      <c r="T57" s="454"/>
      <c r="U57" s="454"/>
      <c r="V57" s="454"/>
      <c r="W57" s="454"/>
      <c r="X57" s="454"/>
    </row>
    <row r="58" spans="1:24" ht="15" customHeight="1">
      <c r="A58" s="432"/>
      <c r="B58" s="711"/>
      <c r="C58" s="710"/>
      <c r="D58" s="710"/>
      <c r="E58" s="710"/>
      <c r="F58" s="710"/>
      <c r="G58" s="710"/>
      <c r="H58" s="710"/>
      <c r="I58" s="710"/>
      <c r="J58" s="710"/>
      <c r="K58" s="710"/>
      <c r="L58" s="432"/>
      <c r="M58" s="453"/>
      <c r="N58" s="454"/>
      <c r="O58" s="454"/>
      <c r="P58" s="454"/>
      <c r="Q58" s="454"/>
      <c r="R58" s="454"/>
      <c r="S58" s="454"/>
      <c r="T58" s="454"/>
      <c r="U58" s="454"/>
      <c r="V58" s="454"/>
      <c r="W58" s="454"/>
      <c r="X58" s="454"/>
    </row>
    <row r="59" spans="1:24" ht="14.25">
      <c r="A59" s="432"/>
      <c r="B59" s="436" t="s">
        <v>709</v>
      </c>
      <c r="L59" s="432"/>
      <c r="M59" s="454"/>
      <c r="N59" s="454"/>
      <c r="O59" s="454"/>
      <c r="P59" s="454"/>
      <c r="Q59" s="454"/>
      <c r="R59" s="454"/>
      <c r="S59" s="454"/>
      <c r="T59" s="454"/>
      <c r="U59" s="454"/>
      <c r="V59" s="454"/>
      <c r="W59" s="454"/>
      <c r="X59" s="454"/>
    </row>
    <row r="60" spans="1:24" ht="14.25">
      <c r="A60" s="432"/>
      <c r="L60" s="432"/>
      <c r="M60" s="454"/>
      <c r="N60" s="454"/>
      <c r="O60" s="454"/>
      <c r="P60" s="454"/>
      <c r="Q60" s="454"/>
      <c r="R60" s="454"/>
      <c r="S60" s="454"/>
      <c r="T60" s="454"/>
      <c r="U60" s="454"/>
      <c r="V60" s="454"/>
      <c r="W60" s="454"/>
      <c r="X60" s="454"/>
    </row>
    <row r="61" spans="1:24" ht="14.25">
      <c r="A61" s="432"/>
      <c r="B61" s="434" t="s">
        <v>721</v>
      </c>
      <c r="L61" s="432"/>
      <c r="M61" s="454"/>
      <c r="N61" s="454"/>
      <c r="O61" s="454"/>
      <c r="P61" s="454"/>
      <c r="Q61" s="454"/>
      <c r="R61" s="454"/>
      <c r="S61" s="454"/>
      <c r="T61" s="454"/>
      <c r="U61" s="454"/>
      <c r="V61" s="454"/>
      <c r="W61" s="454"/>
      <c r="X61" s="454"/>
    </row>
    <row r="62" spans="1:24" ht="14.25">
      <c r="A62" s="432"/>
      <c r="B62" s="434" t="s">
        <v>722</v>
      </c>
      <c r="L62" s="432"/>
      <c r="M62" s="454"/>
      <c r="N62" s="454"/>
      <c r="O62" s="454"/>
      <c r="P62" s="454"/>
      <c r="Q62" s="454"/>
      <c r="R62" s="454"/>
      <c r="S62" s="454"/>
      <c r="T62" s="454"/>
      <c r="U62" s="454"/>
      <c r="V62" s="454"/>
      <c r="W62" s="454"/>
      <c r="X62" s="454"/>
    </row>
    <row r="63" spans="1:24" ht="14.25">
      <c r="A63" s="432"/>
      <c r="B63" s="434" t="s">
        <v>723</v>
      </c>
      <c r="L63" s="432"/>
      <c r="M63" s="454"/>
      <c r="N63" s="454"/>
      <c r="O63" s="454"/>
      <c r="P63" s="454"/>
      <c r="Q63" s="454"/>
      <c r="R63" s="454"/>
      <c r="S63" s="454"/>
      <c r="T63" s="454"/>
      <c r="U63" s="454"/>
      <c r="V63" s="454"/>
      <c r="W63" s="454"/>
      <c r="X63" s="454"/>
    </row>
    <row r="64" spans="1:24" ht="14.25">
      <c r="A64" s="432"/>
      <c r="L64" s="432"/>
      <c r="M64" s="454"/>
      <c r="N64" s="454"/>
      <c r="O64" s="454"/>
      <c r="P64" s="454"/>
      <c r="Q64" s="454"/>
      <c r="R64" s="454"/>
      <c r="S64" s="454"/>
      <c r="T64" s="454"/>
      <c r="U64" s="454"/>
      <c r="V64" s="454"/>
      <c r="W64" s="454"/>
      <c r="X64" s="454"/>
    </row>
    <row r="65" spans="1:24" ht="14.25">
      <c r="A65" s="432"/>
      <c r="B65" s="434" t="s">
        <v>724</v>
      </c>
      <c r="L65" s="432"/>
      <c r="M65" s="454"/>
      <c r="N65" s="454"/>
      <c r="O65" s="454"/>
      <c r="P65" s="454"/>
      <c r="Q65" s="454"/>
      <c r="R65" s="454"/>
      <c r="S65" s="454"/>
      <c r="T65" s="454"/>
      <c r="U65" s="454"/>
      <c r="V65" s="454"/>
      <c r="W65" s="454"/>
      <c r="X65" s="454"/>
    </row>
    <row r="66" spans="1:24" ht="14.25">
      <c r="A66" s="432"/>
      <c r="B66" s="434" t="s">
        <v>725</v>
      </c>
      <c r="L66" s="432"/>
      <c r="M66" s="454"/>
      <c r="N66" s="454"/>
      <c r="O66" s="454"/>
      <c r="P66" s="454"/>
      <c r="Q66" s="454"/>
      <c r="R66" s="454"/>
      <c r="S66" s="454"/>
      <c r="T66" s="454"/>
      <c r="U66" s="454"/>
      <c r="V66" s="454"/>
      <c r="W66" s="454"/>
      <c r="X66" s="454"/>
    </row>
    <row r="67" spans="1:24" ht="14.25">
      <c r="A67" s="432"/>
      <c r="L67" s="432"/>
      <c r="M67" s="454"/>
      <c r="N67" s="454"/>
      <c r="O67" s="454"/>
      <c r="P67" s="454"/>
      <c r="Q67" s="454"/>
      <c r="R67" s="454"/>
      <c r="S67" s="454"/>
      <c r="T67" s="454"/>
      <c r="U67" s="454"/>
      <c r="V67" s="454"/>
      <c r="W67" s="454"/>
      <c r="X67" s="454"/>
    </row>
    <row r="68" spans="1:24" ht="14.25">
      <c r="A68" s="432"/>
      <c r="B68" s="434" t="s">
        <v>726</v>
      </c>
      <c r="L68" s="432"/>
      <c r="M68" s="455"/>
      <c r="N68" s="456"/>
      <c r="O68" s="456"/>
      <c r="P68" s="456"/>
      <c r="Q68" s="456"/>
      <c r="R68" s="456"/>
      <c r="S68" s="456"/>
      <c r="T68" s="456"/>
      <c r="U68" s="456"/>
      <c r="V68" s="456"/>
      <c r="W68" s="456"/>
      <c r="X68" s="454"/>
    </row>
    <row r="69" spans="1:24" ht="14.25">
      <c r="A69" s="432"/>
      <c r="B69" s="434" t="s">
        <v>727</v>
      </c>
      <c r="L69" s="432"/>
      <c r="M69" s="454"/>
      <c r="N69" s="454"/>
      <c r="O69" s="454"/>
      <c r="P69" s="454"/>
      <c r="Q69" s="454"/>
      <c r="R69" s="454"/>
      <c r="S69" s="454"/>
      <c r="T69" s="454"/>
      <c r="U69" s="454"/>
      <c r="V69" s="454"/>
      <c r="W69" s="454"/>
      <c r="X69" s="454"/>
    </row>
    <row r="70" spans="1:24" ht="14.25">
      <c r="A70" s="432"/>
      <c r="B70" s="434" t="s">
        <v>728</v>
      </c>
      <c r="L70" s="432"/>
      <c r="M70" s="454"/>
      <c r="N70" s="454"/>
      <c r="O70" s="454"/>
      <c r="P70" s="454"/>
      <c r="Q70" s="454"/>
      <c r="R70" s="454"/>
      <c r="S70" s="454"/>
      <c r="T70" s="454"/>
      <c r="U70" s="454"/>
      <c r="V70" s="454"/>
      <c r="W70" s="454"/>
      <c r="X70" s="454"/>
    </row>
    <row r="71" spans="1:12" ht="15" thickBot="1">
      <c r="A71" s="432"/>
      <c r="B71" s="442"/>
      <c r="C71" s="442"/>
      <c r="D71" s="442"/>
      <c r="E71" s="442"/>
      <c r="F71" s="442"/>
      <c r="G71" s="442"/>
      <c r="H71" s="442"/>
      <c r="I71" s="442"/>
      <c r="J71" s="442"/>
      <c r="K71" s="442"/>
      <c r="L71" s="432"/>
    </row>
    <row r="72" spans="1:12" ht="14.25">
      <c r="A72" s="432"/>
      <c r="B72" s="438" t="s">
        <v>696</v>
      </c>
      <c r="C72" s="439"/>
      <c r="D72" s="439"/>
      <c r="E72" s="439"/>
      <c r="F72" s="439"/>
      <c r="G72" s="439"/>
      <c r="H72" s="439"/>
      <c r="I72" s="439"/>
      <c r="J72" s="439"/>
      <c r="K72" s="440"/>
      <c r="L72" s="457"/>
    </row>
    <row r="73" spans="1:12" ht="14.25">
      <c r="A73" s="432"/>
      <c r="B73" s="450"/>
      <c r="C73" s="442" t="s">
        <v>704</v>
      </c>
      <c r="D73" s="442"/>
      <c r="E73" s="442"/>
      <c r="F73" s="442"/>
      <c r="G73" s="442"/>
      <c r="H73" s="442"/>
      <c r="I73" s="442"/>
      <c r="J73" s="442"/>
      <c r="K73" s="444"/>
      <c r="L73" s="457"/>
    </row>
    <row r="74" spans="1:12" ht="14.25">
      <c r="A74" s="432"/>
      <c r="B74" s="450" t="s">
        <v>729</v>
      </c>
      <c r="C74" s="707">
        <v>133685008</v>
      </c>
      <c r="D74" s="707"/>
      <c r="E74" s="569" t="s">
        <v>703</v>
      </c>
      <c r="F74" s="569">
        <v>1000</v>
      </c>
      <c r="G74" s="569" t="s">
        <v>702</v>
      </c>
      <c r="H74" s="571">
        <f>C74/F74</f>
        <v>133685.008</v>
      </c>
      <c r="I74" s="442" t="s">
        <v>730</v>
      </c>
      <c r="J74" s="442"/>
      <c r="K74" s="444"/>
      <c r="L74" s="457"/>
    </row>
    <row r="75" spans="1:12" ht="14.25">
      <c r="A75" s="432"/>
      <c r="B75" s="450"/>
      <c r="C75" s="442"/>
      <c r="D75" s="442"/>
      <c r="E75" s="569"/>
      <c r="F75" s="442"/>
      <c r="G75" s="442"/>
      <c r="H75" s="442"/>
      <c r="I75" s="442"/>
      <c r="J75" s="442"/>
      <c r="K75" s="444"/>
      <c r="L75" s="457"/>
    </row>
    <row r="76" spans="1:12" ht="14.25">
      <c r="A76" s="432"/>
      <c r="B76" s="450"/>
      <c r="C76" s="442" t="s">
        <v>731</v>
      </c>
      <c r="D76" s="442"/>
      <c r="E76" s="569"/>
      <c r="F76" s="442" t="s">
        <v>730</v>
      </c>
      <c r="G76" s="442"/>
      <c r="H76" s="442"/>
      <c r="I76" s="442"/>
      <c r="J76" s="442"/>
      <c r="K76" s="444"/>
      <c r="L76" s="457"/>
    </row>
    <row r="77" spans="1:12" ht="14.25">
      <c r="A77" s="432"/>
      <c r="B77" s="450" t="s">
        <v>734</v>
      </c>
      <c r="C77" s="707">
        <v>5000</v>
      </c>
      <c r="D77" s="707"/>
      <c r="E77" s="569" t="s">
        <v>703</v>
      </c>
      <c r="F77" s="571">
        <f>H74</f>
        <v>133685.008</v>
      </c>
      <c r="G77" s="569" t="s">
        <v>702</v>
      </c>
      <c r="H77" s="452">
        <f>C77/F77</f>
        <v>0.03740135169083432</v>
      </c>
      <c r="I77" s="442" t="s">
        <v>732</v>
      </c>
      <c r="J77" s="442"/>
      <c r="K77" s="444"/>
      <c r="L77" s="457"/>
    </row>
    <row r="78" spans="1:12" ht="14.25">
      <c r="A78" s="432"/>
      <c r="B78" s="450"/>
      <c r="C78" s="442"/>
      <c r="D78" s="442"/>
      <c r="E78" s="569"/>
      <c r="F78" s="442"/>
      <c r="G78" s="442"/>
      <c r="H78" s="442"/>
      <c r="I78" s="442"/>
      <c r="J78" s="442"/>
      <c r="K78" s="444"/>
      <c r="L78" s="457"/>
    </row>
    <row r="79" spans="1:12" ht="14.25">
      <c r="A79" s="432"/>
      <c r="B79" s="458"/>
      <c r="C79" s="459" t="s">
        <v>733</v>
      </c>
      <c r="D79" s="459"/>
      <c r="E79" s="572"/>
      <c r="F79" s="459"/>
      <c r="G79" s="459"/>
      <c r="H79" s="459"/>
      <c r="I79" s="459"/>
      <c r="J79" s="459"/>
      <c r="K79" s="460"/>
      <c r="L79" s="457"/>
    </row>
    <row r="80" spans="1:12" ht="14.25">
      <c r="A80" s="432"/>
      <c r="B80" s="450" t="s">
        <v>839</v>
      </c>
      <c r="C80" s="707">
        <v>100000</v>
      </c>
      <c r="D80" s="707"/>
      <c r="E80" s="569" t="s">
        <v>37</v>
      </c>
      <c r="F80" s="569">
        <v>0.115</v>
      </c>
      <c r="G80" s="569" t="s">
        <v>702</v>
      </c>
      <c r="H80" s="571">
        <f>C80*F80</f>
        <v>11500</v>
      </c>
      <c r="I80" s="442" t="s">
        <v>735</v>
      </c>
      <c r="J80" s="442"/>
      <c r="K80" s="444"/>
      <c r="L80" s="457"/>
    </row>
    <row r="81" spans="1:12" ht="14.25">
      <c r="A81" s="432"/>
      <c r="B81" s="450"/>
      <c r="C81" s="442"/>
      <c r="D81" s="442"/>
      <c r="E81" s="569"/>
      <c r="F81" s="442"/>
      <c r="G81" s="442"/>
      <c r="H81" s="442"/>
      <c r="I81" s="442"/>
      <c r="J81" s="442"/>
      <c r="K81" s="444"/>
      <c r="L81" s="457"/>
    </row>
    <row r="82" spans="1:12" ht="14.25">
      <c r="A82" s="432"/>
      <c r="B82" s="458"/>
      <c r="C82" s="459" t="s">
        <v>736</v>
      </c>
      <c r="D82" s="459"/>
      <c r="E82" s="572"/>
      <c r="F82" s="459" t="s">
        <v>732</v>
      </c>
      <c r="G82" s="459"/>
      <c r="H82" s="459"/>
      <c r="I82" s="459"/>
      <c r="J82" s="459" t="s">
        <v>737</v>
      </c>
      <c r="K82" s="460"/>
      <c r="L82" s="457"/>
    </row>
    <row r="83" spans="1:12" ht="14.25">
      <c r="A83" s="432"/>
      <c r="B83" s="450" t="s">
        <v>840</v>
      </c>
      <c r="C83" s="714">
        <f>H80</f>
        <v>11500</v>
      </c>
      <c r="D83" s="714"/>
      <c r="E83" s="569" t="s">
        <v>37</v>
      </c>
      <c r="F83" s="452">
        <f>H77</f>
        <v>0.03740135169083432</v>
      </c>
      <c r="G83" s="569" t="s">
        <v>703</v>
      </c>
      <c r="H83" s="569">
        <v>1000</v>
      </c>
      <c r="I83" s="569" t="s">
        <v>702</v>
      </c>
      <c r="J83" s="461">
        <f>C83*F83/H83</f>
        <v>0.43011554444459466</v>
      </c>
      <c r="K83" s="444"/>
      <c r="L83" s="457"/>
    </row>
    <row r="84" spans="1:12" ht="15" thickBot="1">
      <c r="A84" s="432"/>
      <c r="B84" s="445"/>
      <c r="C84" s="462"/>
      <c r="D84" s="462"/>
      <c r="E84" s="463"/>
      <c r="F84" s="464"/>
      <c r="G84" s="463"/>
      <c r="H84" s="463"/>
      <c r="I84" s="463"/>
      <c r="J84" s="465"/>
      <c r="K84" s="447"/>
      <c r="L84" s="457"/>
    </row>
    <row r="85" spans="1:12" ht="40.5" customHeight="1">
      <c r="A85" s="432"/>
      <c r="B85" s="712" t="s">
        <v>692</v>
      </c>
      <c r="C85" s="712"/>
      <c r="D85" s="712"/>
      <c r="E85" s="712"/>
      <c r="F85" s="712"/>
      <c r="G85" s="712"/>
      <c r="H85" s="712"/>
      <c r="I85" s="712"/>
      <c r="J85" s="712"/>
      <c r="K85" s="712"/>
      <c r="L85" s="432"/>
    </row>
    <row r="86" spans="1:12" ht="14.25">
      <c r="A86" s="432"/>
      <c r="B86" s="716" t="s">
        <v>738</v>
      </c>
      <c r="C86" s="716"/>
      <c r="D86" s="716"/>
      <c r="E86" s="716"/>
      <c r="F86" s="716"/>
      <c r="G86" s="716"/>
      <c r="H86" s="716"/>
      <c r="I86" s="716"/>
      <c r="J86" s="716"/>
      <c r="K86" s="716"/>
      <c r="L86" s="432"/>
    </row>
    <row r="87" spans="1:12" ht="14.25">
      <c r="A87" s="432"/>
      <c r="B87" s="466"/>
      <c r="C87" s="466"/>
      <c r="D87" s="466"/>
      <c r="E87" s="466"/>
      <c r="F87" s="466"/>
      <c r="G87" s="466"/>
      <c r="H87" s="466"/>
      <c r="I87" s="466"/>
      <c r="J87" s="466"/>
      <c r="K87" s="466"/>
      <c r="L87" s="432"/>
    </row>
    <row r="88" spans="1:12" ht="14.25">
      <c r="A88" s="432"/>
      <c r="B88" s="716" t="s">
        <v>739</v>
      </c>
      <c r="C88" s="716"/>
      <c r="D88" s="716"/>
      <c r="E88" s="716"/>
      <c r="F88" s="716"/>
      <c r="G88" s="716"/>
      <c r="H88" s="716"/>
      <c r="I88" s="716"/>
      <c r="J88" s="716"/>
      <c r="K88" s="716"/>
      <c r="L88" s="432"/>
    </row>
    <row r="89" spans="1:12" ht="14.25">
      <c r="A89" s="432"/>
      <c r="B89" s="573"/>
      <c r="C89" s="573"/>
      <c r="D89" s="573"/>
      <c r="E89" s="573"/>
      <c r="F89" s="573"/>
      <c r="G89" s="573"/>
      <c r="H89" s="573"/>
      <c r="I89" s="573"/>
      <c r="J89" s="573"/>
      <c r="K89" s="573"/>
      <c r="L89" s="432"/>
    </row>
    <row r="90" spans="1:12" ht="45" customHeight="1">
      <c r="A90" s="432"/>
      <c r="B90" s="711" t="s">
        <v>740</v>
      </c>
      <c r="C90" s="711"/>
      <c r="D90" s="711"/>
      <c r="E90" s="711"/>
      <c r="F90" s="711"/>
      <c r="G90" s="711"/>
      <c r="H90" s="711"/>
      <c r="I90" s="711"/>
      <c r="J90" s="711"/>
      <c r="K90" s="711"/>
      <c r="L90" s="432"/>
    </row>
    <row r="91" spans="1:12" ht="15" customHeight="1" thickBot="1">
      <c r="A91" s="432"/>
      <c r="L91" s="432"/>
    </row>
    <row r="92" spans="1:12" ht="15" customHeight="1">
      <c r="A92" s="432"/>
      <c r="B92" s="467" t="s">
        <v>696</v>
      </c>
      <c r="C92" s="468"/>
      <c r="D92" s="468"/>
      <c r="E92" s="468"/>
      <c r="F92" s="468"/>
      <c r="G92" s="468"/>
      <c r="H92" s="468"/>
      <c r="I92" s="468"/>
      <c r="J92" s="468"/>
      <c r="K92" s="469"/>
      <c r="L92" s="432"/>
    </row>
    <row r="93" spans="1:12" ht="15" customHeight="1">
      <c r="A93" s="432"/>
      <c r="B93" s="470"/>
      <c r="C93" s="574" t="s">
        <v>704</v>
      </c>
      <c r="D93" s="574"/>
      <c r="E93" s="574"/>
      <c r="F93" s="574"/>
      <c r="G93" s="574"/>
      <c r="H93" s="574"/>
      <c r="I93" s="574"/>
      <c r="J93" s="574"/>
      <c r="K93" s="471"/>
      <c r="L93" s="432"/>
    </row>
    <row r="94" spans="1:12" ht="15" customHeight="1">
      <c r="A94" s="432"/>
      <c r="B94" s="470" t="s">
        <v>729</v>
      </c>
      <c r="C94" s="707">
        <v>133685008</v>
      </c>
      <c r="D94" s="707"/>
      <c r="E94" s="569" t="s">
        <v>703</v>
      </c>
      <c r="F94" s="569">
        <v>1000</v>
      </c>
      <c r="G94" s="569" t="s">
        <v>702</v>
      </c>
      <c r="H94" s="571">
        <f>C94/F94</f>
        <v>133685.008</v>
      </c>
      <c r="I94" s="574" t="s">
        <v>730</v>
      </c>
      <c r="J94" s="574"/>
      <c r="K94" s="471"/>
      <c r="L94" s="432"/>
    </row>
    <row r="95" spans="1:12" ht="15" customHeight="1">
      <c r="A95" s="432"/>
      <c r="B95" s="470"/>
      <c r="C95" s="574"/>
      <c r="D95" s="574"/>
      <c r="E95" s="569"/>
      <c r="F95" s="574"/>
      <c r="G95" s="574"/>
      <c r="H95" s="574"/>
      <c r="I95" s="574"/>
      <c r="J95" s="574"/>
      <c r="K95" s="471"/>
      <c r="L95" s="432"/>
    </row>
    <row r="96" spans="1:12" ht="15" customHeight="1">
      <c r="A96" s="432"/>
      <c r="B96" s="470"/>
      <c r="C96" s="574" t="s">
        <v>731</v>
      </c>
      <c r="D96" s="574"/>
      <c r="E96" s="569"/>
      <c r="F96" s="574" t="s">
        <v>730</v>
      </c>
      <c r="G96" s="574"/>
      <c r="H96" s="574"/>
      <c r="I96" s="574"/>
      <c r="J96" s="574"/>
      <c r="K96" s="471"/>
      <c r="L96" s="432"/>
    </row>
    <row r="97" spans="1:12" ht="15" customHeight="1">
      <c r="A97" s="432"/>
      <c r="B97" s="470" t="s">
        <v>734</v>
      </c>
      <c r="C97" s="707">
        <v>50000</v>
      </c>
      <c r="D97" s="707"/>
      <c r="E97" s="569" t="s">
        <v>703</v>
      </c>
      <c r="F97" s="571">
        <f>H94</f>
        <v>133685.008</v>
      </c>
      <c r="G97" s="569" t="s">
        <v>702</v>
      </c>
      <c r="H97" s="452">
        <f>C97/F97</f>
        <v>0.3740135169083432</v>
      </c>
      <c r="I97" s="574" t="s">
        <v>732</v>
      </c>
      <c r="J97" s="574"/>
      <c r="K97" s="471"/>
      <c r="L97" s="432"/>
    </row>
    <row r="98" spans="1:12" ht="15" customHeight="1">
      <c r="A98" s="432"/>
      <c r="B98" s="470"/>
      <c r="C98" s="574"/>
      <c r="D98" s="574"/>
      <c r="E98" s="569"/>
      <c r="F98" s="574"/>
      <c r="G98" s="574"/>
      <c r="H98" s="574"/>
      <c r="I98" s="574"/>
      <c r="J98" s="574"/>
      <c r="K98" s="471"/>
      <c r="L98" s="432"/>
    </row>
    <row r="99" spans="1:12" ht="15" customHeight="1">
      <c r="A99" s="432"/>
      <c r="B99" s="472"/>
      <c r="C99" s="473" t="s">
        <v>741</v>
      </c>
      <c r="D99" s="473"/>
      <c r="E99" s="572"/>
      <c r="F99" s="473"/>
      <c r="G99" s="473"/>
      <c r="H99" s="473"/>
      <c r="I99" s="473"/>
      <c r="J99" s="473"/>
      <c r="K99" s="474"/>
      <c r="L99" s="432"/>
    </row>
    <row r="100" spans="1:12" ht="15" customHeight="1">
      <c r="A100" s="432"/>
      <c r="B100" s="470" t="s">
        <v>839</v>
      </c>
      <c r="C100" s="707">
        <v>2500000</v>
      </c>
      <c r="D100" s="707"/>
      <c r="E100" s="569" t="s">
        <v>37</v>
      </c>
      <c r="F100" s="475">
        <v>0.3</v>
      </c>
      <c r="G100" s="569" t="s">
        <v>702</v>
      </c>
      <c r="H100" s="571">
        <f>C100*F100</f>
        <v>750000</v>
      </c>
      <c r="I100" s="574" t="s">
        <v>735</v>
      </c>
      <c r="J100" s="574"/>
      <c r="K100" s="471"/>
      <c r="L100" s="432"/>
    </row>
    <row r="101" spans="1:12" ht="15" customHeight="1">
      <c r="A101" s="432"/>
      <c r="B101" s="470"/>
      <c r="C101" s="574"/>
      <c r="D101" s="574"/>
      <c r="E101" s="569"/>
      <c r="F101" s="574"/>
      <c r="G101" s="574"/>
      <c r="H101" s="574"/>
      <c r="I101" s="574"/>
      <c r="J101" s="574"/>
      <c r="K101" s="471"/>
      <c r="L101" s="432"/>
    </row>
    <row r="102" spans="1:12" ht="15" customHeight="1">
      <c r="A102" s="432"/>
      <c r="B102" s="472"/>
      <c r="C102" s="473" t="s">
        <v>736</v>
      </c>
      <c r="D102" s="473"/>
      <c r="E102" s="572"/>
      <c r="F102" s="473" t="s">
        <v>732</v>
      </c>
      <c r="G102" s="473"/>
      <c r="H102" s="473"/>
      <c r="I102" s="473"/>
      <c r="J102" s="473" t="s">
        <v>737</v>
      </c>
      <c r="K102" s="474"/>
      <c r="L102" s="432"/>
    </row>
    <row r="103" spans="1:12" ht="15" customHeight="1">
      <c r="A103" s="432"/>
      <c r="B103" s="470" t="s">
        <v>840</v>
      </c>
      <c r="C103" s="714">
        <f>H100</f>
        <v>750000</v>
      </c>
      <c r="D103" s="714"/>
      <c r="E103" s="569" t="s">
        <v>37</v>
      </c>
      <c r="F103" s="452">
        <f>H97</f>
        <v>0.3740135169083432</v>
      </c>
      <c r="G103" s="569" t="s">
        <v>703</v>
      </c>
      <c r="H103" s="569">
        <v>1000</v>
      </c>
      <c r="I103" s="569" t="s">
        <v>702</v>
      </c>
      <c r="J103" s="461">
        <f>C103*F103/H103</f>
        <v>280.51013768125745</v>
      </c>
      <c r="K103" s="471"/>
      <c r="L103" s="432"/>
    </row>
    <row r="104" spans="1:12" ht="15" customHeight="1" thickBot="1">
      <c r="A104" s="432"/>
      <c r="B104" s="476"/>
      <c r="C104" s="462"/>
      <c r="D104" s="462"/>
      <c r="E104" s="463"/>
      <c r="F104" s="464"/>
      <c r="G104" s="463"/>
      <c r="H104" s="463"/>
      <c r="I104" s="463"/>
      <c r="J104" s="465"/>
      <c r="K104" s="575"/>
      <c r="L104" s="432"/>
    </row>
    <row r="105" spans="1:12" ht="40.5" customHeight="1">
      <c r="A105" s="432"/>
      <c r="B105" s="712" t="s">
        <v>692</v>
      </c>
      <c r="C105" s="713"/>
      <c r="D105" s="713"/>
      <c r="E105" s="713"/>
      <c r="F105" s="713"/>
      <c r="G105" s="713"/>
      <c r="H105" s="713"/>
      <c r="I105" s="713"/>
      <c r="J105" s="713"/>
      <c r="K105" s="713"/>
      <c r="L105" s="432"/>
    </row>
    <row r="106" spans="1:12" ht="15" customHeight="1">
      <c r="A106" s="432"/>
      <c r="B106" s="726" t="s">
        <v>742</v>
      </c>
      <c r="C106" s="722"/>
      <c r="D106" s="722"/>
      <c r="E106" s="722"/>
      <c r="F106" s="722"/>
      <c r="G106" s="722"/>
      <c r="H106" s="722"/>
      <c r="I106" s="722"/>
      <c r="J106" s="722"/>
      <c r="K106" s="722"/>
      <c r="L106" s="432"/>
    </row>
    <row r="107" spans="1:12" ht="15" customHeight="1">
      <c r="A107" s="432"/>
      <c r="B107" s="574"/>
      <c r="C107" s="477"/>
      <c r="D107" s="477"/>
      <c r="E107" s="569"/>
      <c r="F107" s="452"/>
      <c r="G107" s="569"/>
      <c r="H107" s="569"/>
      <c r="I107" s="569"/>
      <c r="J107" s="461"/>
      <c r="K107" s="574"/>
      <c r="L107" s="432"/>
    </row>
    <row r="108" spans="1:12" ht="15" customHeight="1">
      <c r="A108" s="432"/>
      <c r="B108" s="726" t="s">
        <v>743</v>
      </c>
      <c r="C108" s="727"/>
      <c r="D108" s="727"/>
      <c r="E108" s="727"/>
      <c r="F108" s="727"/>
      <c r="G108" s="727"/>
      <c r="H108" s="727"/>
      <c r="I108" s="727"/>
      <c r="J108" s="727"/>
      <c r="K108" s="727"/>
      <c r="L108" s="432"/>
    </row>
    <row r="109" spans="1:12" ht="15" customHeight="1">
      <c r="A109" s="432"/>
      <c r="B109" s="574"/>
      <c r="C109" s="477"/>
      <c r="D109" s="477"/>
      <c r="E109" s="569"/>
      <c r="F109" s="452"/>
      <c r="G109" s="569"/>
      <c r="H109" s="569"/>
      <c r="I109" s="569"/>
      <c r="J109" s="461"/>
      <c r="K109" s="574"/>
      <c r="L109" s="432"/>
    </row>
    <row r="110" spans="1:12" ht="59.25" customHeight="1">
      <c r="A110" s="432"/>
      <c r="B110" s="709" t="s">
        <v>744</v>
      </c>
      <c r="C110" s="710"/>
      <c r="D110" s="710"/>
      <c r="E110" s="710"/>
      <c r="F110" s="710"/>
      <c r="G110" s="710"/>
      <c r="H110" s="710"/>
      <c r="I110" s="710"/>
      <c r="J110" s="710"/>
      <c r="K110" s="710"/>
      <c r="L110" s="432"/>
    </row>
    <row r="111" spans="1:12" ht="15" thickBot="1">
      <c r="A111" s="432"/>
      <c r="B111" s="576"/>
      <c r="C111" s="576"/>
      <c r="D111" s="576"/>
      <c r="E111" s="576"/>
      <c r="F111" s="576"/>
      <c r="G111" s="576"/>
      <c r="H111" s="576"/>
      <c r="I111" s="576"/>
      <c r="J111" s="576"/>
      <c r="K111" s="576"/>
      <c r="L111" s="478"/>
    </row>
    <row r="112" spans="1:12" ht="14.25">
      <c r="A112" s="432"/>
      <c r="B112" s="438" t="s">
        <v>696</v>
      </c>
      <c r="C112" s="439"/>
      <c r="D112" s="439"/>
      <c r="E112" s="439"/>
      <c r="F112" s="439"/>
      <c r="G112" s="439"/>
      <c r="H112" s="439"/>
      <c r="I112" s="439"/>
      <c r="J112" s="439"/>
      <c r="K112" s="440"/>
      <c r="L112" s="432"/>
    </row>
    <row r="113" spans="1:12" ht="14.25">
      <c r="A113" s="432"/>
      <c r="B113" s="450"/>
      <c r="C113" s="442" t="s">
        <v>704</v>
      </c>
      <c r="D113" s="442"/>
      <c r="E113" s="442"/>
      <c r="F113" s="442"/>
      <c r="G113" s="442"/>
      <c r="H113" s="442"/>
      <c r="I113" s="442"/>
      <c r="J113" s="442"/>
      <c r="K113" s="444"/>
      <c r="L113" s="432"/>
    </row>
    <row r="114" spans="1:12" ht="14.25">
      <c r="A114" s="432"/>
      <c r="B114" s="450" t="s">
        <v>729</v>
      </c>
      <c r="C114" s="707">
        <v>133685008</v>
      </c>
      <c r="D114" s="707"/>
      <c r="E114" s="569" t="s">
        <v>703</v>
      </c>
      <c r="F114" s="569">
        <v>1000</v>
      </c>
      <c r="G114" s="569" t="s">
        <v>702</v>
      </c>
      <c r="H114" s="571">
        <f>C114/F114</f>
        <v>133685.008</v>
      </c>
      <c r="I114" s="442" t="s">
        <v>730</v>
      </c>
      <c r="J114" s="442"/>
      <c r="K114" s="444"/>
      <c r="L114" s="432"/>
    </row>
    <row r="115" spans="1:12" ht="14.25">
      <c r="A115" s="432"/>
      <c r="B115" s="450"/>
      <c r="C115" s="442"/>
      <c r="D115" s="442"/>
      <c r="E115" s="569"/>
      <c r="F115" s="442"/>
      <c r="G115" s="442"/>
      <c r="H115" s="442"/>
      <c r="I115" s="442"/>
      <c r="J115" s="442"/>
      <c r="K115" s="444"/>
      <c r="L115" s="432"/>
    </row>
    <row r="116" spans="1:12" ht="14.25">
      <c r="A116" s="432"/>
      <c r="B116" s="450"/>
      <c r="C116" s="442" t="s">
        <v>731</v>
      </c>
      <c r="D116" s="442"/>
      <c r="E116" s="569"/>
      <c r="F116" s="442" t="s">
        <v>730</v>
      </c>
      <c r="G116" s="442"/>
      <c r="H116" s="442"/>
      <c r="I116" s="442"/>
      <c r="J116" s="442"/>
      <c r="K116" s="444"/>
      <c r="L116" s="432"/>
    </row>
    <row r="117" spans="1:12" ht="14.25">
      <c r="A117" s="432"/>
      <c r="B117" s="450" t="s">
        <v>734</v>
      </c>
      <c r="C117" s="707">
        <v>50000</v>
      </c>
      <c r="D117" s="707"/>
      <c r="E117" s="569" t="s">
        <v>703</v>
      </c>
      <c r="F117" s="571">
        <f>H114</f>
        <v>133685.008</v>
      </c>
      <c r="G117" s="569" t="s">
        <v>702</v>
      </c>
      <c r="H117" s="452">
        <f>C117/F117</f>
        <v>0.3740135169083432</v>
      </c>
      <c r="I117" s="442" t="s">
        <v>732</v>
      </c>
      <c r="J117" s="442"/>
      <c r="K117" s="444"/>
      <c r="L117" s="432"/>
    </row>
    <row r="118" spans="1:12" ht="14.25">
      <c r="A118" s="432"/>
      <c r="B118" s="450"/>
      <c r="C118" s="442"/>
      <c r="D118" s="442"/>
      <c r="E118" s="569"/>
      <c r="F118" s="442"/>
      <c r="G118" s="442"/>
      <c r="H118" s="442"/>
      <c r="I118" s="442"/>
      <c r="J118" s="442"/>
      <c r="K118" s="444"/>
      <c r="L118" s="432"/>
    </row>
    <row r="119" spans="1:12" ht="14.25">
      <c r="A119" s="432"/>
      <c r="B119" s="458"/>
      <c r="C119" s="459" t="s">
        <v>741</v>
      </c>
      <c r="D119" s="459"/>
      <c r="E119" s="572"/>
      <c r="F119" s="459"/>
      <c r="G119" s="459"/>
      <c r="H119" s="459"/>
      <c r="I119" s="459"/>
      <c r="J119" s="459"/>
      <c r="K119" s="460"/>
      <c r="L119" s="432"/>
    </row>
    <row r="120" spans="1:12" ht="14.25">
      <c r="A120" s="432"/>
      <c r="B120" s="450" t="s">
        <v>839</v>
      </c>
      <c r="C120" s="707">
        <v>2500000</v>
      </c>
      <c r="D120" s="707"/>
      <c r="E120" s="569" t="s">
        <v>37</v>
      </c>
      <c r="F120" s="475">
        <v>0.25</v>
      </c>
      <c r="G120" s="569" t="s">
        <v>702</v>
      </c>
      <c r="H120" s="571">
        <f>C120*F120</f>
        <v>625000</v>
      </c>
      <c r="I120" s="442" t="s">
        <v>735</v>
      </c>
      <c r="J120" s="442"/>
      <c r="K120" s="444"/>
      <c r="L120" s="432"/>
    </row>
    <row r="121" spans="1:12" ht="14.25">
      <c r="A121" s="432"/>
      <c r="B121" s="450"/>
      <c r="C121" s="442"/>
      <c r="D121" s="442"/>
      <c r="E121" s="569"/>
      <c r="F121" s="442"/>
      <c r="G121" s="442"/>
      <c r="H121" s="442"/>
      <c r="I121" s="442"/>
      <c r="J121" s="442"/>
      <c r="K121" s="444"/>
      <c r="L121" s="432"/>
    </row>
    <row r="122" spans="1:12" ht="14.25">
      <c r="A122" s="432"/>
      <c r="B122" s="458"/>
      <c r="C122" s="459" t="s">
        <v>736</v>
      </c>
      <c r="D122" s="459"/>
      <c r="E122" s="572"/>
      <c r="F122" s="459" t="s">
        <v>732</v>
      </c>
      <c r="G122" s="459"/>
      <c r="H122" s="459"/>
      <c r="I122" s="459"/>
      <c r="J122" s="459" t="s">
        <v>737</v>
      </c>
      <c r="K122" s="460"/>
      <c r="L122" s="432"/>
    </row>
    <row r="123" spans="1:12" ht="14.25">
      <c r="A123" s="432"/>
      <c r="B123" s="450" t="s">
        <v>840</v>
      </c>
      <c r="C123" s="714">
        <f>H120</f>
        <v>625000</v>
      </c>
      <c r="D123" s="714"/>
      <c r="E123" s="569" t="s">
        <v>37</v>
      </c>
      <c r="F123" s="452">
        <f>H117</f>
        <v>0.3740135169083432</v>
      </c>
      <c r="G123" s="569" t="s">
        <v>703</v>
      </c>
      <c r="H123" s="569">
        <v>1000</v>
      </c>
      <c r="I123" s="569" t="s">
        <v>702</v>
      </c>
      <c r="J123" s="461">
        <f>C123*F123/H123</f>
        <v>233.7584480677145</v>
      </c>
      <c r="K123" s="444"/>
      <c r="L123" s="432"/>
    </row>
    <row r="124" spans="1:12" ht="15" thickBot="1">
      <c r="A124" s="432"/>
      <c r="B124" s="445"/>
      <c r="C124" s="462"/>
      <c r="D124" s="462"/>
      <c r="E124" s="463"/>
      <c r="F124" s="464"/>
      <c r="G124" s="463"/>
      <c r="H124" s="463"/>
      <c r="I124" s="463"/>
      <c r="J124" s="465"/>
      <c r="K124" s="447"/>
      <c r="L124" s="432"/>
    </row>
    <row r="125" spans="1:12" ht="40.5" customHeight="1">
      <c r="A125" s="432"/>
      <c r="B125" s="712" t="s">
        <v>692</v>
      </c>
      <c r="C125" s="712"/>
      <c r="D125" s="712"/>
      <c r="E125" s="712"/>
      <c r="F125" s="712"/>
      <c r="G125" s="712"/>
      <c r="H125" s="712"/>
      <c r="I125" s="712"/>
      <c r="J125" s="712"/>
      <c r="K125" s="712"/>
      <c r="L125" s="478"/>
    </row>
    <row r="126" spans="1:12" ht="14.25">
      <c r="A126" s="432"/>
      <c r="B126" s="716" t="s">
        <v>745</v>
      </c>
      <c r="C126" s="716"/>
      <c r="D126" s="716"/>
      <c r="E126" s="716"/>
      <c r="F126" s="716"/>
      <c r="G126" s="716"/>
      <c r="H126" s="716"/>
      <c r="I126" s="716"/>
      <c r="J126" s="716"/>
      <c r="K126" s="716"/>
      <c r="L126" s="478"/>
    </row>
    <row r="127" spans="1:12" ht="14.25">
      <c r="A127" s="432"/>
      <c r="B127" s="576"/>
      <c r="C127" s="576"/>
      <c r="D127" s="576"/>
      <c r="E127" s="576"/>
      <c r="F127" s="576"/>
      <c r="G127" s="576"/>
      <c r="H127" s="576"/>
      <c r="I127" s="576"/>
      <c r="J127" s="576"/>
      <c r="K127" s="576"/>
      <c r="L127" s="478"/>
    </row>
    <row r="128" spans="1:12" ht="14.25">
      <c r="A128" s="432"/>
      <c r="B128" s="716" t="s">
        <v>746</v>
      </c>
      <c r="C128" s="716"/>
      <c r="D128" s="716"/>
      <c r="E128" s="716"/>
      <c r="F128" s="716"/>
      <c r="G128" s="716"/>
      <c r="H128" s="716"/>
      <c r="I128" s="716"/>
      <c r="J128" s="716"/>
      <c r="K128" s="716"/>
      <c r="L128" s="478"/>
    </row>
    <row r="129" spans="1:12" ht="14.25">
      <c r="A129" s="432"/>
      <c r="B129" s="573"/>
      <c r="C129" s="573"/>
      <c r="D129" s="573"/>
      <c r="E129" s="573"/>
      <c r="F129" s="573"/>
      <c r="G129" s="573"/>
      <c r="H129" s="573"/>
      <c r="I129" s="573"/>
      <c r="J129" s="573"/>
      <c r="K129" s="573"/>
      <c r="L129" s="478"/>
    </row>
    <row r="130" spans="1:12" ht="74.25" customHeight="1">
      <c r="A130" s="432"/>
      <c r="B130" s="711" t="s">
        <v>841</v>
      </c>
      <c r="C130" s="711"/>
      <c r="D130" s="711"/>
      <c r="E130" s="711"/>
      <c r="F130" s="711"/>
      <c r="G130" s="711"/>
      <c r="H130" s="711"/>
      <c r="I130" s="711"/>
      <c r="J130" s="711"/>
      <c r="K130" s="711"/>
      <c r="L130" s="478"/>
    </row>
    <row r="131" spans="1:12" ht="15" thickBot="1">
      <c r="A131" s="432"/>
      <c r="L131" s="432"/>
    </row>
    <row r="132" spans="1:12" ht="14.25">
      <c r="A132" s="432"/>
      <c r="B132" s="438" t="s">
        <v>696</v>
      </c>
      <c r="C132" s="439"/>
      <c r="D132" s="439"/>
      <c r="E132" s="439"/>
      <c r="F132" s="439"/>
      <c r="G132" s="439"/>
      <c r="H132" s="439"/>
      <c r="I132" s="439"/>
      <c r="J132" s="439"/>
      <c r="K132" s="440"/>
      <c r="L132" s="432"/>
    </row>
    <row r="133" spans="1:12" ht="14.25">
      <c r="A133" s="432"/>
      <c r="B133" s="450"/>
      <c r="C133" s="728" t="s">
        <v>747</v>
      </c>
      <c r="D133" s="728"/>
      <c r="E133" s="442"/>
      <c r="F133" s="569" t="s">
        <v>748</v>
      </c>
      <c r="G133" s="442"/>
      <c r="H133" s="728" t="s">
        <v>735</v>
      </c>
      <c r="I133" s="728"/>
      <c r="J133" s="442"/>
      <c r="K133" s="444"/>
      <c r="L133" s="432"/>
    </row>
    <row r="134" spans="1:12" ht="14.25">
      <c r="A134" s="432"/>
      <c r="B134" s="450" t="s">
        <v>729</v>
      </c>
      <c r="C134" s="707">
        <v>100000</v>
      </c>
      <c r="D134" s="707"/>
      <c r="E134" s="569" t="s">
        <v>37</v>
      </c>
      <c r="F134" s="569">
        <v>0.115</v>
      </c>
      <c r="G134" s="569" t="s">
        <v>702</v>
      </c>
      <c r="H134" s="708">
        <f>C134*F134</f>
        <v>11500</v>
      </c>
      <c r="I134" s="708"/>
      <c r="J134" s="442"/>
      <c r="K134" s="444"/>
      <c r="L134" s="432"/>
    </row>
    <row r="135" spans="1:12" ht="14.25">
      <c r="A135" s="432"/>
      <c r="B135" s="450"/>
      <c r="C135" s="442"/>
      <c r="D135" s="442"/>
      <c r="E135" s="442"/>
      <c r="F135" s="442"/>
      <c r="G135" s="442"/>
      <c r="H135" s="442"/>
      <c r="I135" s="442"/>
      <c r="J135" s="442"/>
      <c r="K135" s="444"/>
      <c r="L135" s="432"/>
    </row>
    <row r="136" spans="1:12" ht="14.25">
      <c r="A136" s="432"/>
      <c r="B136" s="458"/>
      <c r="C136" s="729" t="s">
        <v>735</v>
      </c>
      <c r="D136" s="729"/>
      <c r="E136" s="459"/>
      <c r="F136" s="572" t="s">
        <v>749</v>
      </c>
      <c r="G136" s="572"/>
      <c r="H136" s="459"/>
      <c r="I136" s="459"/>
      <c r="J136" s="459" t="s">
        <v>750</v>
      </c>
      <c r="K136" s="460"/>
      <c r="L136" s="432"/>
    </row>
    <row r="137" spans="1:12" ht="14.25">
      <c r="A137" s="432"/>
      <c r="B137" s="450" t="s">
        <v>734</v>
      </c>
      <c r="C137" s="708">
        <f>H134</f>
        <v>11500</v>
      </c>
      <c r="D137" s="708"/>
      <c r="E137" s="569" t="s">
        <v>37</v>
      </c>
      <c r="F137" s="479">
        <v>52.869</v>
      </c>
      <c r="G137" s="569" t="s">
        <v>703</v>
      </c>
      <c r="H137" s="569">
        <v>1000</v>
      </c>
      <c r="I137" s="569" t="s">
        <v>702</v>
      </c>
      <c r="J137" s="480">
        <f>C137*F137/H137</f>
        <v>607.9935</v>
      </c>
      <c r="K137" s="444"/>
      <c r="L137" s="432"/>
    </row>
    <row r="138" spans="1:12" ht="15" thickBot="1">
      <c r="A138" s="432"/>
      <c r="B138" s="445"/>
      <c r="C138" s="595"/>
      <c r="D138" s="595"/>
      <c r="E138" s="463"/>
      <c r="F138" s="596"/>
      <c r="G138" s="463"/>
      <c r="H138" s="463"/>
      <c r="I138" s="463"/>
      <c r="J138" s="597"/>
      <c r="K138" s="447"/>
      <c r="L138" s="432"/>
    </row>
    <row r="139" spans="1:12" ht="40.5" customHeight="1">
      <c r="A139" s="432"/>
      <c r="B139" s="582" t="s">
        <v>692</v>
      </c>
      <c r="C139" s="583"/>
      <c r="D139" s="583"/>
      <c r="E139" s="584"/>
      <c r="F139" s="585"/>
      <c r="G139" s="584"/>
      <c r="H139" s="584"/>
      <c r="I139" s="584"/>
      <c r="J139" s="586"/>
      <c r="K139" s="587"/>
      <c r="L139" s="432"/>
    </row>
    <row r="140" spans="1:12" ht="14.25">
      <c r="A140" s="432"/>
      <c r="B140" s="588" t="s">
        <v>842</v>
      </c>
      <c r="C140" s="589"/>
      <c r="D140" s="589"/>
      <c r="E140" s="590"/>
      <c r="F140" s="591"/>
      <c r="G140" s="590"/>
      <c r="H140" s="590"/>
      <c r="I140" s="590"/>
      <c r="J140" s="592"/>
      <c r="K140" s="593"/>
      <c r="L140" s="432"/>
    </row>
    <row r="141" spans="1:12" ht="14.25">
      <c r="A141" s="432"/>
      <c r="B141" s="450"/>
      <c r="C141" s="571"/>
      <c r="D141" s="571"/>
      <c r="E141" s="569"/>
      <c r="F141" s="598"/>
      <c r="G141" s="569"/>
      <c r="H141" s="569"/>
      <c r="I141" s="569"/>
      <c r="J141" s="480"/>
      <c r="K141" s="444"/>
      <c r="L141" s="432"/>
    </row>
    <row r="142" spans="1:12" ht="14.25">
      <c r="A142" s="432"/>
      <c r="B142" s="588" t="s">
        <v>843</v>
      </c>
      <c r="C142" s="589"/>
      <c r="D142" s="589"/>
      <c r="E142" s="590"/>
      <c r="F142" s="591"/>
      <c r="G142" s="590"/>
      <c r="H142" s="590"/>
      <c r="I142" s="590"/>
      <c r="J142" s="592"/>
      <c r="K142" s="593"/>
      <c r="L142" s="432"/>
    </row>
    <row r="143" spans="1:12" ht="14.25">
      <c r="A143" s="432"/>
      <c r="B143" s="450"/>
      <c r="C143" s="571"/>
      <c r="D143" s="571"/>
      <c r="E143" s="569"/>
      <c r="F143" s="598"/>
      <c r="G143" s="569"/>
      <c r="H143" s="569"/>
      <c r="I143" s="569"/>
      <c r="J143" s="480"/>
      <c r="K143" s="444"/>
      <c r="L143" s="432"/>
    </row>
    <row r="144" spans="1:12" ht="76.5" customHeight="1">
      <c r="A144" s="432"/>
      <c r="B144" s="730" t="s">
        <v>844</v>
      </c>
      <c r="C144" s="731"/>
      <c r="D144" s="731"/>
      <c r="E144" s="731"/>
      <c r="F144" s="731"/>
      <c r="G144" s="731"/>
      <c r="H144" s="731"/>
      <c r="I144" s="731"/>
      <c r="J144" s="731"/>
      <c r="K144" s="732"/>
      <c r="L144" s="432"/>
    </row>
    <row r="145" spans="1:12" ht="15" thickBot="1">
      <c r="A145" s="432"/>
      <c r="B145" s="450"/>
      <c r="C145" s="571"/>
      <c r="D145" s="571"/>
      <c r="E145" s="569"/>
      <c r="F145" s="598"/>
      <c r="G145" s="569"/>
      <c r="H145" s="569"/>
      <c r="I145" s="569"/>
      <c r="J145" s="480"/>
      <c r="K145" s="444"/>
      <c r="L145" s="432"/>
    </row>
    <row r="146" spans="1:12" ht="14.25">
      <c r="A146" s="432"/>
      <c r="B146" s="438" t="s">
        <v>696</v>
      </c>
      <c r="C146" s="599"/>
      <c r="D146" s="599"/>
      <c r="E146" s="600"/>
      <c r="F146" s="601"/>
      <c r="G146" s="600"/>
      <c r="H146" s="600"/>
      <c r="I146" s="600"/>
      <c r="J146" s="602"/>
      <c r="K146" s="440"/>
      <c r="L146" s="432"/>
    </row>
    <row r="147" spans="1:12" ht="14.25">
      <c r="A147" s="432"/>
      <c r="B147" s="450"/>
      <c r="C147" s="708" t="s">
        <v>845</v>
      </c>
      <c r="D147" s="708"/>
      <c r="E147" s="569"/>
      <c r="F147" s="598" t="s">
        <v>846</v>
      </c>
      <c r="G147" s="569"/>
      <c r="H147" s="569"/>
      <c r="I147" s="569"/>
      <c r="J147" s="733" t="s">
        <v>847</v>
      </c>
      <c r="K147" s="734"/>
      <c r="L147" s="432"/>
    </row>
    <row r="148" spans="1:12" ht="14.25">
      <c r="A148" s="432"/>
      <c r="B148" s="450"/>
      <c r="C148" s="735">
        <v>52.869</v>
      </c>
      <c r="D148" s="735"/>
      <c r="E148" s="569" t="s">
        <v>37</v>
      </c>
      <c r="F148" s="570">
        <v>133685008</v>
      </c>
      <c r="G148" s="603" t="s">
        <v>703</v>
      </c>
      <c r="H148" s="569">
        <v>1000</v>
      </c>
      <c r="I148" s="569" t="s">
        <v>702</v>
      </c>
      <c r="J148" s="708">
        <f>C148*(F148/1000)</f>
        <v>7067792.687952</v>
      </c>
      <c r="K148" s="736"/>
      <c r="L148" s="432"/>
    </row>
    <row r="149" spans="1:12" ht="15" thickBot="1">
      <c r="A149" s="432"/>
      <c r="B149" s="445"/>
      <c r="C149" s="595"/>
      <c r="D149" s="595"/>
      <c r="E149" s="463"/>
      <c r="F149" s="596"/>
      <c r="G149" s="463"/>
      <c r="H149" s="463"/>
      <c r="I149" s="463"/>
      <c r="J149" s="597"/>
      <c r="K149" s="447"/>
      <c r="L149" s="432"/>
    </row>
    <row r="150" spans="1:12" ht="15" thickBot="1">
      <c r="A150" s="432"/>
      <c r="B150" s="445"/>
      <c r="C150" s="446"/>
      <c r="D150" s="446"/>
      <c r="E150" s="446"/>
      <c r="F150" s="446"/>
      <c r="G150" s="446"/>
      <c r="H150" s="446"/>
      <c r="I150" s="446"/>
      <c r="J150" s="446"/>
      <c r="K150" s="447"/>
      <c r="L150" s="432"/>
    </row>
    <row r="151" spans="1:12" ht="14.25">
      <c r="A151" s="432"/>
      <c r="B151" s="432"/>
      <c r="C151" s="432"/>
      <c r="D151" s="432"/>
      <c r="E151" s="432"/>
      <c r="F151" s="432"/>
      <c r="G151" s="432"/>
      <c r="H151" s="432"/>
      <c r="I151" s="432"/>
      <c r="J151" s="432"/>
      <c r="K151" s="432"/>
      <c r="L151" s="432"/>
    </row>
    <row r="152" spans="1:12" ht="14.25">
      <c r="A152" s="432"/>
      <c r="B152" s="432"/>
      <c r="C152" s="432"/>
      <c r="D152" s="432"/>
      <c r="E152" s="432"/>
      <c r="F152" s="432"/>
      <c r="G152" s="432"/>
      <c r="H152" s="432"/>
      <c r="I152" s="432"/>
      <c r="J152" s="432"/>
      <c r="K152" s="432"/>
      <c r="L152" s="432"/>
    </row>
    <row r="153" spans="1:12" ht="14.25">
      <c r="A153" s="432"/>
      <c r="B153" s="432"/>
      <c r="C153" s="432"/>
      <c r="D153" s="432"/>
      <c r="E153" s="432"/>
      <c r="F153" s="432"/>
      <c r="G153" s="432"/>
      <c r="H153" s="432"/>
      <c r="I153" s="432"/>
      <c r="J153" s="432"/>
      <c r="K153" s="432"/>
      <c r="L153" s="432"/>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mergeCells count="55">
    <mergeCell ref="C136:D136"/>
    <mergeCell ref="B144:K144"/>
    <mergeCell ref="C147:D147"/>
    <mergeCell ref="J147:K147"/>
    <mergeCell ref="C148:D148"/>
    <mergeCell ref="J148:K148"/>
    <mergeCell ref="C137:D137"/>
    <mergeCell ref="B125:K125"/>
    <mergeCell ref="B126:K126"/>
    <mergeCell ref="B128:K128"/>
    <mergeCell ref="C133:D133"/>
    <mergeCell ref="H133:I133"/>
    <mergeCell ref="B130:K130"/>
    <mergeCell ref="B106:K106"/>
    <mergeCell ref="B108:K108"/>
    <mergeCell ref="C114:D114"/>
    <mergeCell ref="C117:D117"/>
    <mergeCell ref="C120:D120"/>
    <mergeCell ref="C123:D123"/>
    <mergeCell ref="B35:K35"/>
    <mergeCell ref="C41:D41"/>
    <mergeCell ref="B48:C48"/>
    <mergeCell ref="B85:K85"/>
    <mergeCell ref="B86:K86"/>
    <mergeCell ref="C77:D77"/>
    <mergeCell ref="C80:D80"/>
    <mergeCell ref="C83:D83"/>
    <mergeCell ref="B53:K53"/>
    <mergeCell ref="B57:K57"/>
    <mergeCell ref="B6:K6"/>
    <mergeCell ref="B7:K7"/>
    <mergeCell ref="B8:K8"/>
    <mergeCell ref="B10:K10"/>
    <mergeCell ref="B12:K12"/>
    <mergeCell ref="F23:G23"/>
    <mergeCell ref="C25:D25"/>
    <mergeCell ref="B88:K88"/>
    <mergeCell ref="B55:K55"/>
    <mergeCell ref="B58:K58"/>
    <mergeCell ref="G50:H50"/>
    <mergeCell ref="B52:K52"/>
    <mergeCell ref="I51:K51"/>
    <mergeCell ref="B30:K30"/>
    <mergeCell ref="B31:K31"/>
    <mergeCell ref="B33:K33"/>
    <mergeCell ref="C74:D74"/>
    <mergeCell ref="C134:D134"/>
    <mergeCell ref="H134:I134"/>
    <mergeCell ref="B110:K110"/>
    <mergeCell ref="B90:K90"/>
    <mergeCell ref="C94:D94"/>
    <mergeCell ref="B105:K105"/>
    <mergeCell ref="C97:D97"/>
    <mergeCell ref="C100:D100"/>
    <mergeCell ref="C103:D103"/>
  </mergeCells>
  <printOptions/>
  <pageMargins left="0.7" right="0.7" top="0.75" bottom="0.75" header="0.3" footer="0.3"/>
  <pageSetup blackAndWhite="1" horizontalDpi="600" verticalDpi="600" orientation="portrait" scale="73" r:id="rId1"/>
  <rowBreaks count="2" manualBreakCount="2">
    <brk id="32" min="1" max="10" man="1"/>
    <brk id="88"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
  <cols>
    <col min="1" max="1" width="71.19921875" style="0" customWidth="1"/>
  </cols>
  <sheetData>
    <row r="1" ht="16.5">
      <c r="A1" s="482" t="s">
        <v>751</v>
      </c>
    </row>
    <row r="3" ht="31.5">
      <c r="A3" s="483" t="s">
        <v>752</v>
      </c>
    </row>
    <row r="4" ht="15.75">
      <c r="A4" s="484" t="s">
        <v>753</v>
      </c>
    </row>
    <row r="7" ht="31.5">
      <c r="A7" s="483" t="s">
        <v>754</v>
      </c>
    </row>
    <row r="8" ht="15.75">
      <c r="A8" s="484" t="s">
        <v>755</v>
      </c>
    </row>
    <row r="11" ht="15.75">
      <c r="A11" s="1" t="s">
        <v>756</v>
      </c>
    </row>
    <row r="12" ht="15.75">
      <c r="A12" s="484" t="s">
        <v>757</v>
      </c>
    </row>
    <row r="15" ht="15.75">
      <c r="A15" s="1" t="s">
        <v>758</v>
      </c>
    </row>
    <row r="16" ht="15.75">
      <c r="A16" s="484" t="s">
        <v>759</v>
      </c>
    </row>
    <row r="19" ht="15.75">
      <c r="A19" s="1" t="s">
        <v>760</v>
      </c>
    </row>
    <row r="20" ht="15.75">
      <c r="A20" s="484" t="s">
        <v>761</v>
      </c>
    </row>
    <row r="23" ht="15.75">
      <c r="A23" s="1" t="s">
        <v>762</v>
      </c>
    </row>
    <row r="24" ht="15.75">
      <c r="A24" s="484" t="s">
        <v>763</v>
      </c>
    </row>
    <row r="27" ht="15.75">
      <c r="A27" s="1" t="s">
        <v>764</v>
      </c>
    </row>
    <row r="28" ht="15.75">
      <c r="A28" s="484" t="s">
        <v>765</v>
      </c>
    </row>
    <row r="31" ht="15.75">
      <c r="A31" s="1" t="s">
        <v>766</v>
      </c>
    </row>
    <row r="32" ht="15.75">
      <c r="A32" s="484" t="s">
        <v>767</v>
      </c>
    </row>
    <row r="35" ht="15.75">
      <c r="A35" s="1" t="s">
        <v>768</v>
      </c>
    </row>
    <row r="36" ht="15.75">
      <c r="A36" s="484" t="s">
        <v>769</v>
      </c>
    </row>
    <row r="39" ht="15.75">
      <c r="A39" s="1" t="s">
        <v>770</v>
      </c>
    </row>
    <row r="40" ht="15.75">
      <c r="A40" s="484" t="s">
        <v>771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37"/>
  <sheetViews>
    <sheetView zoomScalePageLayoutView="0" workbookViewId="0" topLeftCell="A1">
      <selection activeCell="A30" sqref="A30"/>
    </sheetView>
  </sheetViews>
  <sheetFormatPr defaultColWidth="8.796875" defaultRowHeight="15"/>
  <cols>
    <col min="1" max="1" width="80.09765625" style="10" customWidth="1"/>
    <col min="2" max="16384" width="8.8984375" style="10" customWidth="1"/>
  </cols>
  <sheetData>
    <row r="1" ht="15.75">
      <c r="A1" s="398" t="s">
        <v>778</v>
      </c>
    </row>
    <row r="2" ht="15.75">
      <c r="A2" s="507" t="s">
        <v>779</v>
      </c>
    </row>
    <row r="3" ht="15.75">
      <c r="A3" s="507" t="s">
        <v>780</v>
      </c>
    </row>
    <row r="4" ht="15.75">
      <c r="A4" s="508" t="s">
        <v>813</v>
      </c>
    </row>
    <row r="5" ht="15.75">
      <c r="A5" s="507" t="s">
        <v>814</v>
      </c>
    </row>
    <row r="6" ht="15.75">
      <c r="A6" s="507" t="s">
        <v>815</v>
      </c>
    </row>
    <row r="7" ht="15.75">
      <c r="A7" s="507" t="s">
        <v>816</v>
      </c>
    </row>
    <row r="8" ht="15.75">
      <c r="A8" s="507" t="s">
        <v>817</v>
      </c>
    </row>
    <row r="9" ht="15.75">
      <c r="A9" s="507" t="s">
        <v>818</v>
      </c>
    </row>
    <row r="10" ht="15.75">
      <c r="A10" s="507" t="s">
        <v>819</v>
      </c>
    </row>
    <row r="11" ht="15.75">
      <c r="A11" s="507" t="s">
        <v>820</v>
      </c>
    </row>
    <row r="12" ht="15.75">
      <c r="A12" s="507" t="s">
        <v>821</v>
      </c>
    </row>
    <row r="13" ht="15.75">
      <c r="A13" s="507" t="s">
        <v>822</v>
      </c>
    </row>
    <row r="14" ht="15.75">
      <c r="A14" s="507" t="s">
        <v>823</v>
      </c>
    </row>
    <row r="15" ht="15.75">
      <c r="A15" s="507" t="s">
        <v>824</v>
      </c>
    </row>
    <row r="16" ht="15.75">
      <c r="A16" s="507" t="s">
        <v>825</v>
      </c>
    </row>
    <row r="17" ht="15.75">
      <c r="A17" s="507" t="s">
        <v>826</v>
      </c>
    </row>
    <row r="18" ht="15.75">
      <c r="A18" s="507" t="s">
        <v>827</v>
      </c>
    </row>
    <row r="19" ht="15.75">
      <c r="A19" s="507" t="s">
        <v>828</v>
      </c>
    </row>
    <row r="20" ht="15.75">
      <c r="A20" s="507" t="s">
        <v>829</v>
      </c>
    </row>
    <row r="21" ht="15.75">
      <c r="A21" s="507" t="s">
        <v>830</v>
      </c>
    </row>
    <row r="22" ht="15.75">
      <c r="A22" s="507" t="s">
        <v>831</v>
      </c>
    </row>
    <row r="23" ht="15.75">
      <c r="A23" s="507" t="s">
        <v>832</v>
      </c>
    </row>
    <row r="24" ht="15.75">
      <c r="A24" s="507" t="s">
        <v>833</v>
      </c>
    </row>
    <row r="25" ht="15.75">
      <c r="A25" s="507" t="s">
        <v>834</v>
      </c>
    </row>
    <row r="26" ht="15.75">
      <c r="A26" s="507" t="s">
        <v>835</v>
      </c>
    </row>
    <row r="27" ht="15.75">
      <c r="A27" s="507" t="s">
        <v>836</v>
      </c>
    </row>
    <row r="28" ht="15.75">
      <c r="A28" s="507" t="s">
        <v>837</v>
      </c>
    </row>
    <row r="29" ht="15.75">
      <c r="A29" s="507" t="s">
        <v>838</v>
      </c>
    </row>
    <row r="31" ht="15.75">
      <c r="A31" s="398" t="s">
        <v>679</v>
      </c>
    </row>
    <row r="32" ht="15.75">
      <c r="A32" s="10" t="s">
        <v>680</v>
      </c>
    </row>
    <row r="33" ht="15.75">
      <c r="A33" s="10" t="s">
        <v>681</v>
      </c>
    </row>
    <row r="34" ht="15.75">
      <c r="A34" s="10" t="s">
        <v>682</v>
      </c>
    </row>
    <row r="36" ht="15.75">
      <c r="A36" s="404" t="s">
        <v>668</v>
      </c>
    </row>
    <row r="37" ht="15.75">
      <c r="A37" s="10" t="s">
        <v>678</v>
      </c>
    </row>
    <row r="39" ht="15.75">
      <c r="A39" s="398" t="s">
        <v>643</v>
      </c>
    </row>
    <row r="40" ht="15.75">
      <c r="A40" s="397" t="s">
        <v>644</v>
      </c>
    </row>
    <row r="41" ht="15.75">
      <c r="A41" s="397" t="s">
        <v>645</v>
      </c>
    </row>
    <row r="42" ht="15.75">
      <c r="A42" s="397" t="s">
        <v>646</v>
      </c>
    </row>
    <row r="43" ht="15.75">
      <c r="A43" s="10" t="s">
        <v>666</v>
      </c>
    </row>
    <row r="45" ht="15.75">
      <c r="A45" s="368" t="s">
        <v>388</v>
      </c>
    </row>
    <row r="46" ht="15.75">
      <c r="A46" s="374" t="s">
        <v>416</v>
      </c>
    </row>
    <row r="47" ht="15.75">
      <c r="A47" s="372" t="s">
        <v>417</v>
      </c>
    </row>
    <row r="48" ht="15.75">
      <c r="A48" s="372" t="s">
        <v>418</v>
      </c>
    </row>
    <row r="49" ht="21" customHeight="1">
      <c r="A49" s="373" t="s">
        <v>419</v>
      </c>
    </row>
    <row r="50" ht="15.75">
      <c r="A50" s="372" t="s">
        <v>420</v>
      </c>
    </row>
    <row r="51" ht="15.75">
      <c r="A51" s="372" t="s">
        <v>421</v>
      </c>
    </row>
    <row r="52" ht="15.75">
      <c r="A52" s="372" t="s">
        <v>422</v>
      </c>
    </row>
    <row r="53" ht="15.75">
      <c r="A53" s="372" t="s">
        <v>423</v>
      </c>
    </row>
    <row r="54" ht="15.75">
      <c r="A54" s="10" t="s">
        <v>424</v>
      </c>
    </row>
    <row r="55" ht="15.75">
      <c r="A55" s="10" t="s">
        <v>425</v>
      </c>
    </row>
    <row r="56" ht="15.75">
      <c r="A56" s="10" t="s">
        <v>426</v>
      </c>
    </row>
    <row r="58" ht="15.75">
      <c r="A58" s="368" t="s">
        <v>364</v>
      </c>
    </row>
    <row r="59" ht="31.5">
      <c r="A59" s="13" t="s">
        <v>365</v>
      </c>
    </row>
    <row r="61" ht="15.75">
      <c r="A61" s="368" t="s">
        <v>361</v>
      </c>
    </row>
    <row r="62" ht="15.75">
      <c r="A62" s="10" t="s">
        <v>362</v>
      </c>
    </row>
    <row r="63" ht="15.75">
      <c r="A63" s="10" t="s">
        <v>363</v>
      </c>
    </row>
    <row r="65" ht="15.75">
      <c r="A65" s="368" t="s">
        <v>358</v>
      </c>
    </row>
    <row r="66" ht="15.75">
      <c r="A66" s="10" t="s">
        <v>340</v>
      </c>
    </row>
    <row r="67" ht="15.75">
      <c r="A67" s="10" t="s">
        <v>341</v>
      </c>
    </row>
    <row r="68" ht="15.75">
      <c r="A68" s="10" t="s">
        <v>342</v>
      </c>
    </row>
    <row r="69" ht="15.75">
      <c r="A69" s="10" t="s">
        <v>343</v>
      </c>
    </row>
    <row r="70" ht="15.75">
      <c r="A70" s="10" t="s">
        <v>344</v>
      </c>
    </row>
    <row r="71" ht="15.75">
      <c r="A71" s="10" t="s">
        <v>345</v>
      </c>
    </row>
    <row r="72" ht="31.5">
      <c r="A72" s="13" t="s">
        <v>346</v>
      </c>
    </row>
    <row r="73" ht="31.5">
      <c r="A73" s="13" t="s">
        <v>347</v>
      </c>
    </row>
    <row r="74" ht="15.75">
      <c r="A74" s="13" t="s">
        <v>348</v>
      </c>
    </row>
    <row r="75" ht="15.75">
      <c r="A75" s="13" t="s">
        <v>349</v>
      </c>
    </row>
    <row r="76" ht="31.5">
      <c r="A76" s="13" t="s">
        <v>350</v>
      </c>
    </row>
    <row r="77" ht="15.75">
      <c r="A77" s="10" t="s">
        <v>351</v>
      </c>
    </row>
    <row r="78" ht="31.5">
      <c r="A78" s="13" t="s">
        <v>352</v>
      </c>
    </row>
    <row r="79" ht="15.75">
      <c r="A79" s="10" t="s">
        <v>353</v>
      </c>
    </row>
    <row r="80" ht="15.75">
      <c r="A80" s="10" t="s">
        <v>354</v>
      </c>
    </row>
    <row r="81" ht="15.75">
      <c r="A81" s="10" t="s">
        <v>355</v>
      </c>
    </row>
    <row r="82" ht="31.5">
      <c r="A82" s="13" t="s">
        <v>356</v>
      </c>
    </row>
    <row r="83" ht="15.75">
      <c r="A83" s="10" t="s">
        <v>357</v>
      </c>
    </row>
    <row r="86" ht="15.75">
      <c r="A86" s="368" t="s">
        <v>336</v>
      </c>
    </row>
    <row r="87" ht="15.75">
      <c r="A87" s="10" t="s">
        <v>0</v>
      </c>
    </row>
    <row r="88" ht="15.75">
      <c r="A88" s="10" t="s">
        <v>1</v>
      </c>
    </row>
    <row r="89" ht="15.75">
      <c r="A89" s="10" t="s">
        <v>2</v>
      </c>
    </row>
    <row r="90" ht="15.75">
      <c r="A90" s="10" t="s">
        <v>337</v>
      </c>
    </row>
    <row r="92" ht="15.75">
      <c r="A92" s="368" t="s">
        <v>331</v>
      </c>
    </row>
    <row r="93" ht="15.75">
      <c r="A93" s="10" t="s">
        <v>332</v>
      </c>
    </row>
    <row r="94" ht="15.75">
      <c r="A94" s="10" t="s">
        <v>333</v>
      </c>
    </row>
    <row r="95" ht="31.5">
      <c r="A95" s="13" t="s">
        <v>334</v>
      </c>
    </row>
    <row r="96" ht="15.75">
      <c r="A96" s="10" t="s">
        <v>335</v>
      </c>
    </row>
    <row r="99" ht="18" customHeight="1">
      <c r="A99" s="368" t="s">
        <v>209</v>
      </c>
    </row>
    <row r="100" ht="51" customHeight="1">
      <c r="A100" s="13" t="s">
        <v>254</v>
      </c>
    </row>
    <row r="101" ht="15.75">
      <c r="A101" s="10" t="s">
        <v>5</v>
      </c>
    </row>
    <row r="102" ht="15.75">
      <c r="A102" s="10" t="s">
        <v>211</v>
      </c>
    </row>
    <row r="103" ht="15.75">
      <c r="A103" s="10" t="s">
        <v>255</v>
      </c>
    </row>
    <row r="104" ht="15.75">
      <c r="A104" s="10" t="s">
        <v>212</v>
      </c>
    </row>
    <row r="105" ht="15.75">
      <c r="A105" s="10" t="s">
        <v>213</v>
      </c>
    </row>
    <row r="106" ht="15.75">
      <c r="A106" s="10" t="s">
        <v>214</v>
      </c>
    </row>
    <row r="107" ht="15.75">
      <c r="A107" s="10" t="s">
        <v>215</v>
      </c>
    </row>
    <row r="108" ht="15.75">
      <c r="A108" s="10" t="s">
        <v>216</v>
      </c>
    </row>
    <row r="109" ht="31.5">
      <c r="A109" s="13" t="s">
        <v>225</v>
      </c>
    </row>
    <row r="110" ht="31.5">
      <c r="A110" s="13" t="s">
        <v>289</v>
      </c>
    </row>
    <row r="111" ht="15.75">
      <c r="A111" s="10" t="s">
        <v>220</v>
      </c>
    </row>
    <row r="112" ht="15.75">
      <c r="A112" s="10" t="s">
        <v>226</v>
      </c>
    </row>
    <row r="113" ht="15.75">
      <c r="A113" s="10" t="s">
        <v>256</v>
      </c>
    </row>
    <row r="114" ht="15.75">
      <c r="A114" s="10" t="s">
        <v>222</v>
      </c>
    </row>
    <row r="115" ht="15.75">
      <c r="A115" s="10" t="s">
        <v>257</v>
      </c>
    </row>
    <row r="116" ht="31.5">
      <c r="A116" s="13" t="s">
        <v>258</v>
      </c>
    </row>
    <row r="117" ht="15.75">
      <c r="A117" s="10" t="s">
        <v>232</v>
      </c>
    </row>
    <row r="118" ht="15.75">
      <c r="A118" s="10" t="s">
        <v>233</v>
      </c>
    </row>
    <row r="119" ht="31.5">
      <c r="A119" s="13" t="s">
        <v>234</v>
      </c>
    </row>
    <row r="120" ht="15.75">
      <c r="A120" s="10" t="s">
        <v>313</v>
      </c>
    </row>
    <row r="121" ht="15.75">
      <c r="A121" s="10" t="s">
        <v>314</v>
      </c>
    </row>
    <row r="122" ht="15.75">
      <c r="A122" s="10" t="s">
        <v>315</v>
      </c>
    </row>
    <row r="123" ht="15.75">
      <c r="A123" s="10" t="s">
        <v>316</v>
      </c>
    </row>
    <row r="124" ht="15.75">
      <c r="A124" s="10" t="s">
        <v>317</v>
      </c>
    </row>
    <row r="125" ht="15.75">
      <c r="A125" s="10" t="s">
        <v>318</v>
      </c>
    </row>
    <row r="126" ht="15.75">
      <c r="A126" s="10" t="s">
        <v>319</v>
      </c>
    </row>
    <row r="127" ht="15.75">
      <c r="A127" s="10" t="s">
        <v>320</v>
      </c>
    </row>
    <row r="128" ht="15.75">
      <c r="A128" s="10" t="s">
        <v>321</v>
      </c>
    </row>
    <row r="129" ht="15.75">
      <c r="A129" s="10" t="s">
        <v>322</v>
      </c>
    </row>
    <row r="130" ht="15.75">
      <c r="A130" s="10" t="s">
        <v>323</v>
      </c>
    </row>
    <row r="131" ht="15.75">
      <c r="A131" s="10" t="s">
        <v>324</v>
      </c>
    </row>
    <row r="132" ht="15.75">
      <c r="A132" s="10" t="s">
        <v>325</v>
      </c>
    </row>
    <row r="133" ht="15.75">
      <c r="A133" s="10" t="s">
        <v>326</v>
      </c>
    </row>
    <row r="134" ht="15.75">
      <c r="A134" s="10" t="s">
        <v>327</v>
      </c>
    </row>
    <row r="135" ht="15.75">
      <c r="A135" s="10" t="s">
        <v>328</v>
      </c>
    </row>
    <row r="136" ht="15.75">
      <c r="A136" s="10" t="s">
        <v>330</v>
      </c>
    </row>
    <row r="137" ht="15.75">
      <c r="A137" s="10" t="s">
        <v>329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9">
      <selection activeCell="B6" sqref="B6"/>
    </sheetView>
  </sheetViews>
  <sheetFormatPr defaultColWidth="13.796875" defaultRowHeight="15"/>
  <cols>
    <col min="1" max="1" width="13.796875" style="0" customWidth="1"/>
    <col min="2" max="2" width="16.09765625" style="0" customWidth="1"/>
    <col min="3" max="8" width="8.8984375" style="0" customWidth="1"/>
  </cols>
  <sheetData>
    <row r="2" spans="1:6" ht="54" customHeight="1">
      <c r="A2" s="641" t="s">
        <v>427</v>
      </c>
      <c r="B2" s="642"/>
      <c r="C2" s="642"/>
      <c r="D2" s="642"/>
      <c r="E2" s="642"/>
      <c r="F2" s="642"/>
    </row>
    <row r="4" spans="1:2" ht="15.75">
      <c r="A4" s="1" t="s">
        <v>686</v>
      </c>
      <c r="B4" s="380" t="s">
        <v>182</v>
      </c>
    </row>
    <row r="5" spans="1:6" ht="15.75">
      <c r="A5" s="377"/>
      <c r="B5" s="377"/>
      <c r="C5" s="377"/>
      <c r="D5" s="379"/>
      <c r="E5" s="377"/>
      <c r="F5" s="377"/>
    </row>
    <row r="6" spans="1:6" ht="15.75">
      <c r="A6" s="378" t="s">
        <v>428</v>
      </c>
      <c r="B6" s="380" t="s">
        <v>879</v>
      </c>
      <c r="C6" s="381"/>
      <c r="D6" s="378" t="s">
        <v>849</v>
      </c>
      <c r="E6" s="377"/>
      <c r="F6" s="377"/>
    </row>
    <row r="7" spans="1:6" ht="15.75">
      <c r="A7" s="378"/>
      <c r="B7" s="382"/>
      <c r="C7" s="383"/>
      <c r="D7" s="378" t="s">
        <v>848</v>
      </c>
      <c r="E7" s="377"/>
      <c r="F7" s="377"/>
    </row>
    <row r="8" spans="1:6" ht="15.75">
      <c r="A8" s="378" t="s">
        <v>429</v>
      </c>
      <c r="B8" s="380" t="s">
        <v>872</v>
      </c>
      <c r="C8" s="384"/>
      <c r="D8" s="378"/>
      <c r="E8" s="377"/>
      <c r="F8" s="377"/>
    </row>
    <row r="9" spans="1:6" ht="15.75">
      <c r="A9" s="378"/>
      <c r="B9" s="378"/>
      <c r="C9" s="378"/>
      <c r="D9" s="378"/>
      <c r="E9" s="377"/>
      <c r="F9" s="377"/>
    </row>
    <row r="10" spans="1:6" ht="15.75">
      <c r="A10" s="378" t="s">
        <v>430</v>
      </c>
      <c r="B10" s="385" t="s">
        <v>873</v>
      </c>
      <c r="C10" s="385"/>
      <c r="D10" s="385"/>
      <c r="E10" s="386"/>
      <c r="F10" s="377"/>
    </row>
    <row r="11" spans="1:6" ht="15.75">
      <c r="A11" s="378"/>
      <c r="B11" s="378"/>
      <c r="C11" s="378"/>
      <c r="D11" s="378"/>
      <c r="E11" s="377"/>
      <c r="F11" s="377"/>
    </row>
    <row r="12" spans="1:6" ht="15.75">
      <c r="A12" s="378"/>
      <c r="B12" s="378"/>
      <c r="C12" s="378"/>
      <c r="D12" s="378"/>
      <c r="E12" s="377"/>
      <c r="F12" s="377"/>
    </row>
    <row r="13" spans="1:6" ht="15.75">
      <c r="A13" s="378" t="s">
        <v>431</v>
      </c>
      <c r="B13" s="385" t="s">
        <v>874</v>
      </c>
      <c r="C13" s="385"/>
      <c r="D13" s="385"/>
      <c r="E13" s="386"/>
      <c r="F13" s="377"/>
    </row>
    <row r="16" spans="1:6" ht="15.75">
      <c r="A16" s="643" t="s">
        <v>432</v>
      </c>
      <c r="B16" s="643"/>
      <c r="C16" s="378"/>
      <c r="D16" s="378"/>
      <c r="E16" s="378"/>
      <c r="F16" s="377"/>
    </row>
    <row r="17" spans="1:6" ht="15.75">
      <c r="A17" s="378"/>
      <c r="B17" s="378"/>
      <c r="C17" s="378"/>
      <c r="D17" s="378"/>
      <c r="E17" s="378"/>
      <c r="F17" s="377"/>
    </row>
    <row r="18" spans="1:6" ht="15.75">
      <c r="A18" s="1" t="s">
        <v>686</v>
      </c>
      <c r="B18" s="378" t="s">
        <v>687</v>
      </c>
      <c r="C18" s="378"/>
      <c r="D18" s="378"/>
      <c r="E18" s="378"/>
      <c r="F18" s="377"/>
    </row>
    <row r="19" spans="1:6" ht="15.75">
      <c r="A19" s="378"/>
      <c r="B19" s="378"/>
      <c r="C19" s="378"/>
      <c r="D19" s="378"/>
      <c r="E19" s="378"/>
      <c r="F19" s="377"/>
    </row>
    <row r="20" spans="1:5" ht="15.75">
      <c r="A20" s="378" t="s">
        <v>428</v>
      </c>
      <c r="B20" s="382" t="s">
        <v>433</v>
      </c>
      <c r="C20" s="378"/>
      <c r="D20" s="378"/>
      <c r="E20" s="378"/>
    </row>
    <row r="21" spans="1:5" ht="15.75">
      <c r="A21" s="378"/>
      <c r="B21" s="378"/>
      <c r="C21" s="378"/>
      <c r="D21" s="378"/>
      <c r="E21" s="378"/>
    </row>
    <row r="22" spans="1:5" ht="15.75">
      <c r="A22" s="378" t="s">
        <v>429</v>
      </c>
      <c r="B22" s="378" t="s">
        <v>434</v>
      </c>
      <c r="C22" s="378"/>
      <c r="D22" s="378"/>
      <c r="E22" s="378"/>
    </row>
    <row r="23" spans="1:5" ht="15.75">
      <c r="A23" s="378"/>
      <c r="B23" s="378"/>
      <c r="C23" s="378"/>
      <c r="D23" s="378"/>
      <c r="E23" s="378"/>
    </row>
    <row r="24" spans="1:5" ht="15.75">
      <c r="A24" s="378" t="s">
        <v>430</v>
      </c>
      <c r="B24" s="378" t="s">
        <v>435</v>
      </c>
      <c r="C24" s="378"/>
      <c r="D24" s="378"/>
      <c r="E24" s="378"/>
    </row>
    <row r="25" spans="1:5" ht="15.75">
      <c r="A25" s="378"/>
      <c r="B25" s="378"/>
      <c r="C25" s="378"/>
      <c r="D25" s="378"/>
      <c r="E25" s="378"/>
    </row>
    <row r="26" spans="1:5" ht="15.75">
      <c r="A26" s="378" t="s">
        <v>431</v>
      </c>
      <c r="B26" s="378" t="s">
        <v>435</v>
      </c>
      <c r="C26" s="378"/>
      <c r="D26" s="378"/>
      <c r="E26" s="378"/>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4">
      <selection activeCell="B42" sqref="B42:C42"/>
    </sheetView>
  </sheetViews>
  <sheetFormatPr defaultColWidth="8.796875" defaultRowHeight="15" customHeight="1"/>
  <cols>
    <col min="1" max="1" width="24.3984375" style="142" customWidth="1"/>
    <col min="2" max="2" width="11.296875" style="142" customWidth="1"/>
    <col min="3" max="3" width="5.796875" style="142" customWidth="1"/>
    <col min="4" max="4" width="13.8984375" style="142" customWidth="1"/>
    <col min="5" max="5" width="14" style="142" customWidth="1"/>
    <col min="6" max="6" width="13" style="142" customWidth="1"/>
    <col min="7" max="16384" width="8.8984375" style="142" customWidth="1"/>
  </cols>
  <sheetData>
    <row r="1" spans="1:6" ht="15" customHeight="1">
      <c r="A1" s="140"/>
      <c r="B1" s="140"/>
      <c r="C1" s="140"/>
      <c r="D1" s="140"/>
      <c r="E1" s="140"/>
      <c r="F1" s="141">
        <f>inputPrYr!$C$10</f>
        <v>2012</v>
      </c>
    </row>
    <row r="2" spans="1:6" ht="15" customHeight="1">
      <c r="A2" s="28"/>
      <c r="B2" s="28"/>
      <c r="C2" s="27" t="s">
        <v>103</v>
      </c>
      <c r="D2" s="28"/>
      <c r="E2" s="28"/>
      <c r="F2" s="143"/>
    </row>
    <row r="3" spans="1:6" s="24" customFormat="1" ht="15" customHeight="1">
      <c r="A3" s="649" t="str">
        <f>CONCATENATE("To the Clerk of ",inputPrYr!D4,", State of Kansas")</f>
        <v>To the Clerk of Clay County, State of Kansas</v>
      </c>
      <c r="B3" s="610"/>
      <c r="C3" s="610"/>
      <c r="D3" s="610"/>
      <c r="E3" s="610"/>
      <c r="F3" s="610"/>
    </row>
    <row r="4" spans="1:6" s="24" customFormat="1" ht="15" customHeight="1">
      <c r="A4" s="39" t="s">
        <v>683</v>
      </c>
      <c r="B4" s="38"/>
      <c r="C4" s="38"/>
      <c r="D4" s="38"/>
      <c r="E4" s="38"/>
      <c r="F4" s="38"/>
    </row>
    <row r="5" spans="1:6" s="24" customFormat="1" ht="15" customHeight="1">
      <c r="A5" s="28"/>
      <c r="B5" s="28"/>
      <c r="C5" s="555" t="str">
        <f>(inputPrYr!D3)</f>
        <v>City of Vining</v>
      </c>
      <c r="D5" s="28"/>
      <c r="E5" s="28"/>
      <c r="F5" s="28"/>
    </row>
    <row r="6" spans="1:6" s="24" customFormat="1" ht="15" customHeight="1">
      <c r="A6" s="39" t="s">
        <v>23</v>
      </c>
      <c r="B6" s="38"/>
      <c r="C6" s="38"/>
      <c r="D6" s="38"/>
      <c r="E6" s="38"/>
      <c r="F6" s="38"/>
    </row>
    <row r="7" spans="1:6" s="24" customFormat="1" ht="15" customHeight="1">
      <c r="A7" s="39" t="s">
        <v>24</v>
      </c>
      <c r="B7" s="38"/>
      <c r="C7" s="38"/>
      <c r="D7" s="38"/>
      <c r="E7" s="38"/>
      <c r="F7" s="38"/>
    </row>
    <row r="8" spans="1:6" s="24" customFormat="1" ht="15" customHeight="1">
      <c r="A8" s="39" t="str">
        <f>CONCATENATE("maximum expenditure for the various funds for the year ",D11,"; and")</f>
        <v>maximum expenditure for the various funds for the year 2012; and</v>
      </c>
      <c r="B8" s="38"/>
      <c r="C8" s="38"/>
      <c r="D8" s="38"/>
      <c r="E8" s="38"/>
      <c r="F8" s="38"/>
    </row>
    <row r="9" spans="1:6" s="24" customFormat="1" ht="15" customHeight="1">
      <c r="A9" s="39" t="str">
        <f>CONCATENATE("(3) the Amount(s) of ",E12," Ad Valorem Tax are within statutory limiations.")</f>
        <v>(3) the Amount(s) of Amount of 2011 Ad Valorem Tax Ad Valorem Tax are within statutory limiations.</v>
      </c>
      <c r="B9" s="38"/>
      <c r="C9" s="38"/>
      <c r="D9" s="38"/>
      <c r="E9" s="38"/>
      <c r="F9" s="38"/>
    </row>
    <row r="10" spans="1:6" ht="15" customHeight="1">
      <c r="A10" s="145"/>
      <c r="B10" s="146"/>
      <c r="C10" s="146"/>
      <c r="D10" s="147"/>
      <c r="E10" s="146"/>
      <c r="F10" s="146"/>
    </row>
    <row r="11" spans="1:6" ht="15" customHeight="1">
      <c r="A11" s="28"/>
      <c r="B11" s="28"/>
      <c r="C11" s="148"/>
      <c r="D11" s="149">
        <f>inputPrYr!$C$10</f>
        <v>2012</v>
      </c>
      <c r="E11" s="150" t="s">
        <v>49</v>
      </c>
      <c r="F11" s="151"/>
    </row>
    <row r="12" spans="1:6" ht="16.5" customHeight="1">
      <c r="A12" s="146"/>
      <c r="B12" s="28"/>
      <c r="C12" s="152"/>
      <c r="D12" s="153" t="s">
        <v>25</v>
      </c>
      <c r="E12" s="650" t="str">
        <f>CONCATENATE("Amount of ",$F$1-1," Ad Valorem Tax")</f>
        <v>Amount of 2011 Ad Valorem Tax</v>
      </c>
      <c r="F12" s="154" t="s">
        <v>26</v>
      </c>
    </row>
    <row r="13" spans="1:6" ht="14.25" customHeight="1">
      <c r="A13" s="28"/>
      <c r="B13" s="28"/>
      <c r="C13" s="154" t="s">
        <v>27</v>
      </c>
      <c r="D13" s="155" t="s">
        <v>283</v>
      </c>
      <c r="E13" s="651"/>
      <c r="F13" s="155" t="s">
        <v>28</v>
      </c>
    </row>
    <row r="14" spans="1:6" ht="12.75" customHeight="1">
      <c r="A14" s="156" t="s">
        <v>29</v>
      </c>
      <c r="B14" s="74"/>
      <c r="C14" s="157" t="s">
        <v>30</v>
      </c>
      <c r="D14" s="157" t="s">
        <v>781</v>
      </c>
      <c r="E14" s="627"/>
      <c r="F14" s="157" t="s">
        <v>32</v>
      </c>
    </row>
    <row r="15" spans="1:6" ht="15" customHeight="1">
      <c r="A15" s="113" t="s">
        <v>194</v>
      </c>
      <c r="B15" s="158">
        <f>inputPrYr!$C$10</f>
        <v>2012</v>
      </c>
      <c r="C15" s="159">
        <v>2</v>
      </c>
      <c r="D15" s="36"/>
      <c r="E15" s="36"/>
      <c r="F15" s="111"/>
    </row>
    <row r="16" spans="1:6" ht="15" customHeight="1">
      <c r="A16" s="153" t="s">
        <v>278</v>
      </c>
      <c r="B16" s="160"/>
      <c r="C16" s="159">
        <v>3</v>
      </c>
      <c r="D16" s="36"/>
      <c r="E16" s="36"/>
      <c r="F16" s="148"/>
    </row>
    <row r="17" spans="1:6" ht="15" customHeight="1">
      <c r="A17" s="113" t="s">
        <v>167</v>
      </c>
      <c r="B17" s="80"/>
      <c r="C17" s="161">
        <v>4</v>
      </c>
      <c r="D17" s="36"/>
      <c r="E17" s="36"/>
      <c r="F17" s="148"/>
    </row>
    <row r="18" spans="1:6" ht="15" customHeight="1">
      <c r="A18" s="113" t="s">
        <v>33</v>
      </c>
      <c r="B18" s="80"/>
      <c r="C18" s="161">
        <v>5</v>
      </c>
      <c r="D18" s="36"/>
      <c r="E18" s="36"/>
      <c r="F18" s="148"/>
    </row>
    <row r="19" spans="1:7" ht="15" customHeight="1">
      <c r="A19" s="113" t="s">
        <v>34</v>
      </c>
      <c r="B19" s="80"/>
      <c r="C19" s="161">
        <v>6</v>
      </c>
      <c r="D19" s="36"/>
      <c r="E19" s="36"/>
      <c r="F19" s="148"/>
      <c r="G19" s="162"/>
    </row>
    <row r="20" spans="1:6" ht="15" customHeight="1">
      <c r="A20" s="163" t="s">
        <v>35</v>
      </c>
      <c r="B20" s="164" t="s">
        <v>36</v>
      </c>
      <c r="C20" s="165"/>
      <c r="D20" s="36"/>
      <c r="E20" s="36"/>
      <c r="F20" s="148"/>
    </row>
    <row r="21" spans="1:6" ht="15" customHeight="1">
      <c r="A21" s="50" t="s">
        <v>18</v>
      </c>
      <c r="B21" s="166" t="str">
        <f>inputPrYr!C22</f>
        <v>12-101a</v>
      </c>
      <c r="C21" s="159">
        <f>general!C67</f>
        <v>7</v>
      </c>
      <c r="D21" s="206">
        <f>IF((general!$E$58)&lt;&gt;0,general!$E$58,"  ")</f>
        <v>28798</v>
      </c>
      <c r="E21" s="581">
        <f>IF((general!$E$65)&lt;&gt;0,(general!$E$65),0)</f>
        <v>8959</v>
      </c>
      <c r="F21" s="352">
        <f aca="true" t="shared" si="0" ref="F21:F26">IF($B$44=0,"",ROUND(E21/$B$44*1000,3))</f>
        <v>48.815</v>
      </c>
    </row>
    <row r="22" spans="1:6" ht="15" customHeight="1">
      <c r="A22" s="50" t="s">
        <v>339</v>
      </c>
      <c r="B22" s="166" t="s">
        <v>191</v>
      </c>
      <c r="C22" s="159" t="str">
        <f>IF(DebtService!C77&gt;0,DebtService!C77," ")</f>
        <v> </v>
      </c>
      <c r="D22" s="206" t="str">
        <f>IF((DebtService!$E$32)&lt;&gt;0,DebtService!$E$32,"  ")</f>
        <v>  </v>
      </c>
      <c r="E22" s="581">
        <f>IF((DebtService!$E$39)&lt;&gt;0,(DebtService!$E$39),0)</f>
        <v>0</v>
      </c>
      <c r="F22" s="352">
        <f t="shared" si="0"/>
        <v>0</v>
      </c>
    </row>
    <row r="23" spans="1:6" ht="15" customHeight="1">
      <c r="A23" s="72" t="str">
        <f>IF((inputPrYr!$B25&gt;"  "),(inputPrYr!$B25),"  ")</f>
        <v>  </v>
      </c>
      <c r="B23" s="166" t="str">
        <f>IF((inputPrYr!$C25&gt;"  "),(inputPrYr!$C25),"  ")</f>
        <v>  </v>
      </c>
      <c r="C23" s="159" t="str">
        <f>IF('levy page9'!C77&gt;0,'levy page9'!C77," ")</f>
        <v> </v>
      </c>
      <c r="D23" s="206" t="str">
        <f>IF((DebtService!$E$69)&lt;&gt;0,(DebtService!$E$69),"  ")</f>
        <v>  </v>
      </c>
      <c r="E23" s="581">
        <f>IF((DebtService!$E$76)&lt;&gt;0,(DebtService!$E$76),0)</f>
        <v>0</v>
      </c>
      <c r="F23" s="352">
        <f t="shared" si="0"/>
        <v>0</v>
      </c>
    </row>
    <row r="24" spans="1:6" ht="15" customHeight="1">
      <c r="A24" s="72" t="str">
        <f>IF((inputPrYr!$B26&gt;"  "),(inputPrYr!$B26),"  ")</f>
        <v>  </v>
      </c>
      <c r="B24" s="166" t="str">
        <f>IF((inputPrYr!$C26&gt;"  "),(inputPrYr!$C26),"  ")</f>
        <v>  </v>
      </c>
      <c r="C24" s="159" t="str">
        <f>IF('levy page9'!C77&gt;0,'levy page9'!C77," ")</f>
        <v> </v>
      </c>
      <c r="D24" s="206" t="str">
        <f>IF(('levy page9'!$E$32)&lt;&gt;0,('levy page9'!$E$32),"  ")</f>
        <v>  </v>
      </c>
      <c r="E24" s="581">
        <f>IF(('levy page9'!$E$39)&lt;&gt;0,('levy page9'!$E$39),0)</f>
        <v>0</v>
      </c>
      <c r="F24" s="352">
        <f t="shared" si="0"/>
        <v>0</v>
      </c>
    </row>
    <row r="25" spans="1:6" ht="15" customHeight="1">
      <c r="A25" s="72" t="str">
        <f>IF((inputPrYr!$B27&gt;"  "),(inputPrYr!$B27),"  ")</f>
        <v>  </v>
      </c>
      <c r="B25" s="166" t="str">
        <f>IF((inputPrYr!$C27&gt;"  "),(inputPrYr!$C27),"  ")</f>
        <v>  </v>
      </c>
      <c r="C25" s="159" t="str">
        <f>IF('levy page10'!C78&gt;0,'levy page10'!C78," ")</f>
        <v> </v>
      </c>
      <c r="D25" s="206" t="str">
        <f>IF(('levy page9'!$E$69)&lt;&gt;0,('levy page9'!$E$69),"  ")</f>
        <v>  </v>
      </c>
      <c r="E25" s="581">
        <f>IF(('levy page9'!$E$76)&lt;&gt;0,('levy page9'!$E$76),0)</f>
        <v>0</v>
      </c>
      <c r="F25" s="352">
        <f t="shared" si="0"/>
        <v>0</v>
      </c>
    </row>
    <row r="26" spans="1:6" ht="15" customHeight="1">
      <c r="A26" s="72" t="str">
        <f>IF((inputPrYr!$B28&gt;"  "),(inputPrYr!$B28),"  ")</f>
        <v>  </v>
      </c>
      <c r="B26" s="166" t="str">
        <f>IF((inputPrYr!$C28&gt;"  "),(inputPrYr!$C28),"  ")</f>
        <v>  </v>
      </c>
      <c r="C26" s="159" t="str">
        <f>IF('levy page10'!C78&gt;0,'levy page10'!C78," ")</f>
        <v> </v>
      </c>
      <c r="D26" s="206" t="str">
        <f>IF(('levy page10'!$E$32)&lt;&gt;0,('levy page10'!$E$32),"  ")</f>
        <v>  </v>
      </c>
      <c r="E26" s="581">
        <f>IF(('levy page10'!$E$39)&lt;&gt;0,('levy page10'!$E$39),0)</f>
        <v>0</v>
      </c>
      <c r="F26" s="352">
        <f t="shared" si="0"/>
        <v>0</v>
      </c>
    </row>
    <row r="27" spans="1:6" ht="15" customHeight="1">
      <c r="A27" s="168" t="str">
        <f>IF((inputPrYr!$B33&gt;"  "),(inputPrYr!$B33),"  ")</f>
        <v>Special Highway</v>
      </c>
      <c r="B27" s="111"/>
      <c r="C27" s="161">
        <f>IF('SpecHwy-Park'!C68&gt;0,'SpecHwy-Park'!C68," ")</f>
        <v>8</v>
      </c>
      <c r="D27" s="206">
        <f>IF(('SpecHwy-Park'!$E$31)&lt;&gt;0,('SpecHwy-Park'!$E$31),"  ")</f>
        <v>4510</v>
      </c>
      <c r="E27" s="165"/>
      <c r="F27" s="165"/>
    </row>
    <row r="28" spans="1:6" ht="15" customHeight="1">
      <c r="A28" s="168" t="str">
        <f>IF((inputPrYr!$B34&gt;"  "),(inputPrYr!$B34),"  ")</f>
        <v>Parks &amp; Recreation</v>
      </c>
      <c r="B28" s="80"/>
      <c r="C28" s="161">
        <f>IF('SpecHwy-Park'!C68&gt;0,'SpecHwy-Park'!C68," ")</f>
        <v>8</v>
      </c>
      <c r="D28" s="206">
        <f>IF(('SpecHwy-Park'!$E$62)&lt;&gt;0,('SpecHwy-Park'!$E$62),"  ")</f>
        <v>6456</v>
      </c>
      <c r="E28" s="165"/>
      <c r="F28" s="165"/>
    </row>
    <row r="29" spans="1:6" ht="15" customHeight="1">
      <c r="A29" s="169" t="str">
        <f>IF((inputPrYr!$B35&gt;"  "),(inputPrYr!$B35),"  ")</f>
        <v>  </v>
      </c>
      <c r="B29" s="80"/>
      <c r="C29" s="161" t="str">
        <f>IF('no levy page12'!C66&gt;0,'no levy page12'!C66," ")</f>
        <v> </v>
      </c>
      <c r="D29" s="206" t="str">
        <f>IF(('no levy page12'!$E$29)&lt;&gt;0,('no levy page12'!$E$29),"  ")</f>
        <v>  </v>
      </c>
      <c r="E29" s="165"/>
      <c r="F29" s="165"/>
    </row>
    <row r="30" spans="1:6" ht="15" customHeight="1">
      <c r="A30" s="169" t="str">
        <f>IF((inputPrYr!$B36&gt;"  "),(inputPrYr!$B36),"  ")</f>
        <v>  </v>
      </c>
      <c r="B30" s="148"/>
      <c r="C30" s="161" t="str">
        <f>IF('no levy page12'!C66&gt;0,'no levy page12'!C66," ")</f>
        <v> </v>
      </c>
      <c r="D30" s="206" t="str">
        <f>IF(('no levy page12'!$E$60)&lt;&gt;0,('no levy page12'!$E$60),"  ")</f>
        <v>  </v>
      </c>
      <c r="E30" s="165"/>
      <c r="F30" s="165"/>
    </row>
    <row r="31" spans="1:6" ht="15" customHeight="1">
      <c r="A31" s="169" t="str">
        <f>IF((inputPrYr!$B37&gt;"  "),(inputPrYr!$B37),"  ")</f>
        <v>  </v>
      </c>
      <c r="B31" s="80"/>
      <c r="C31" s="161" t="str">
        <f>IF('no levy page13'!C66&gt;0,'no levy page13'!C66," ")</f>
        <v> </v>
      </c>
      <c r="D31" s="206" t="str">
        <f>IF(('no levy page13'!$E$29)&lt;&gt;0,('no levy page13'!$E$29),"  ")</f>
        <v>  </v>
      </c>
      <c r="E31" s="165"/>
      <c r="F31" s="165"/>
    </row>
    <row r="32" spans="1:6" ht="15" customHeight="1">
      <c r="A32" s="169" t="str">
        <f>IF((inputPrYr!$B38&gt;"  "),(inputPrYr!$B38),"  ")</f>
        <v>  </v>
      </c>
      <c r="B32" s="74"/>
      <c r="C32" s="161" t="str">
        <f>IF('no levy page13'!C66&gt;0,'no levy page13'!C66," ")</f>
        <v> </v>
      </c>
      <c r="D32" s="206" t="str">
        <f>IF(('no levy page13'!$E$60)&lt;&gt;0,('no levy page13'!$E$60),"  ")</f>
        <v>  </v>
      </c>
      <c r="E32" s="165"/>
      <c r="F32" s="165"/>
    </row>
    <row r="33" spans="1:6" ht="15" customHeight="1">
      <c r="A33" s="169" t="str">
        <f>IF((inputPrYr!$B40&gt;"  "),(inputPrYr!$B40),"  ")</f>
        <v>  </v>
      </c>
      <c r="B33" s="148"/>
      <c r="C33" s="161" t="str">
        <f>IF(Sinnolevy14!C53&gt;0,Sinnolevy14!C53," ")</f>
        <v> </v>
      </c>
      <c r="D33" s="206" t="str">
        <f>IF((Sinnolevy14!$E$47)&lt;&gt;0,(Sinnolevy14!$E$47),"  ")</f>
        <v>  </v>
      </c>
      <c r="E33" s="165"/>
      <c r="F33" s="165"/>
    </row>
    <row r="34" spans="1:6" ht="15" customHeight="1" thickBot="1">
      <c r="A34" s="168" t="str">
        <f>IF((inputPrYr!$B43&gt;"  "),(nonbud!$A3),"  ")</f>
        <v>Non-Budgeted Funds</v>
      </c>
      <c r="B34" s="80"/>
      <c r="C34" s="161">
        <f>IF(nonbud!F33&gt;0,nonbud!F33,"")</f>
        <v>9</v>
      </c>
      <c r="D34" s="485"/>
      <c r="E34" s="512"/>
      <c r="F34" s="486"/>
    </row>
    <row r="35" spans="1:6" ht="15" customHeight="1" thickBot="1">
      <c r="A35" s="171" t="s">
        <v>812</v>
      </c>
      <c r="B35" s="80"/>
      <c r="C35" s="172" t="s">
        <v>37</v>
      </c>
      <c r="D35" s="558">
        <f>SUM(D21:D33)</f>
        <v>39764</v>
      </c>
      <c r="E35" s="558">
        <f>SUM(E21:E33)</f>
        <v>8959</v>
      </c>
      <c r="F35" s="559">
        <f>IF(SUM(F21:F33)=0,"",SUM(F21:F33))</f>
        <v>48.815</v>
      </c>
    </row>
    <row r="36" spans="1:6" ht="15" customHeight="1" thickTop="1">
      <c r="A36" s="174" t="s">
        <v>249</v>
      </c>
      <c r="B36" s="175"/>
      <c r="C36" s="427"/>
      <c r="D36" s="556"/>
      <c r="E36" s="557" t="str">
        <f>IF(E32&gt;computation!J37,"Yes","No")</f>
        <v>No</v>
      </c>
      <c r="F36" s="28"/>
    </row>
    <row r="37" spans="1:6" ht="15" customHeight="1">
      <c r="A37" s="113" t="s">
        <v>238</v>
      </c>
      <c r="B37" s="74"/>
      <c r="C37" s="159">
        <f>IF(summ!D34&gt;0,summ!D34,"")</f>
        <v>10</v>
      </c>
      <c r="D37" s="173"/>
      <c r="E37" s="28"/>
      <c r="F37" s="28"/>
    </row>
    <row r="38" spans="1:6" ht="15" customHeight="1">
      <c r="A38" s="113" t="s">
        <v>12</v>
      </c>
      <c r="B38" s="80"/>
      <c r="C38" s="159">
        <f>IF(nhood!C35&gt;0,nhood!C35,"")</f>
        <v>11</v>
      </c>
      <c r="D38" s="173"/>
      <c r="E38" s="28"/>
      <c r="F38" s="28"/>
    </row>
    <row r="39" spans="1:6" ht="15" customHeight="1">
      <c r="A39" s="176" t="s">
        <v>275</v>
      </c>
      <c r="B39" s="652" t="s">
        <v>171</v>
      </c>
      <c r="C39" s="653"/>
      <c r="D39" s="28"/>
      <c r="E39" s="28"/>
      <c r="F39" s="28"/>
    </row>
    <row r="40" spans="1:6" ht="15" customHeight="1">
      <c r="A40" s="177" t="str">
        <f>inputPrYr!D4</f>
        <v>Clay County</v>
      </c>
      <c r="B40" s="654">
        <v>87215</v>
      </c>
      <c r="C40" s="655"/>
      <c r="D40" s="28"/>
      <c r="E40" s="28"/>
      <c r="F40" s="28"/>
    </row>
    <row r="41" spans="1:6" ht="15" customHeight="1">
      <c r="A41" s="50" t="str">
        <f>inputPrYr!D6</f>
        <v>Washington</v>
      </c>
      <c r="B41" s="654">
        <v>96315</v>
      </c>
      <c r="C41" s="655"/>
      <c r="D41" s="28"/>
      <c r="E41" s="28"/>
      <c r="F41" s="28"/>
    </row>
    <row r="42" spans="1:6" ht="15" customHeight="1">
      <c r="A42" s="50">
        <f>inputPrYr!D7</f>
        <v>0</v>
      </c>
      <c r="B42" s="654"/>
      <c r="C42" s="655"/>
      <c r="D42" s="28"/>
      <c r="E42" s="28"/>
      <c r="F42" s="28"/>
    </row>
    <row r="43" spans="1:6" ht="15" customHeight="1">
      <c r="A43" s="50">
        <f>inputPrYr!D8</f>
        <v>0</v>
      </c>
      <c r="B43" s="654"/>
      <c r="C43" s="655"/>
      <c r="D43" s="28"/>
      <c r="E43" s="28"/>
      <c r="F43" s="28"/>
    </row>
    <row r="44" spans="1:6" ht="15" customHeight="1">
      <c r="A44" s="177" t="s">
        <v>268</v>
      </c>
      <c r="B44" s="656">
        <f>SUM(B40:C43)</f>
        <v>183530</v>
      </c>
      <c r="C44" s="657"/>
      <c r="D44" s="28"/>
      <c r="E44" s="28"/>
      <c r="F44" s="28"/>
    </row>
    <row r="45" spans="1:6" ht="15" customHeight="1">
      <c r="A45" s="146"/>
      <c r="B45" s="644" t="str">
        <f>CONCATENATE("Nov 1, ",F1-1," Total Accessed Valuation")</f>
        <v>Nov 1, 2011 Total Accessed Valuation</v>
      </c>
      <c r="C45" s="645"/>
      <c r="D45" s="28"/>
      <c r="E45" s="178"/>
      <c r="F45" s="178"/>
    </row>
    <row r="46" spans="1:6" ht="15" customHeight="1">
      <c r="A46" s="36" t="s">
        <v>38</v>
      </c>
      <c r="B46" s="646"/>
      <c r="C46" s="647"/>
      <c r="D46" s="428"/>
      <c r="E46" s="430"/>
      <c r="F46" s="101"/>
    </row>
    <row r="47" spans="1:6" ht="15" customHeight="1">
      <c r="A47" s="375" t="s">
        <v>877</v>
      </c>
      <c r="B47" s="36"/>
      <c r="C47" s="28"/>
      <c r="D47" s="28"/>
      <c r="E47" s="429"/>
      <c r="F47" s="36"/>
    </row>
    <row r="48" spans="1:6" ht="15" customHeight="1">
      <c r="A48" s="376" t="s">
        <v>878</v>
      </c>
      <c r="B48" s="36"/>
      <c r="C48" s="34"/>
      <c r="D48" s="101"/>
      <c r="E48" s="101"/>
      <c r="F48" s="101"/>
    </row>
    <row r="49" spans="1:6" ht="15" customHeight="1">
      <c r="A49" s="28" t="s">
        <v>189</v>
      </c>
      <c r="B49" s="34"/>
      <c r="C49" s="36"/>
      <c r="D49" s="57"/>
      <c r="E49" s="179"/>
      <c r="F49" s="179"/>
    </row>
    <row r="50" spans="1:6" ht="15" customHeight="1">
      <c r="A50" s="375"/>
      <c r="B50" s="34"/>
      <c r="C50" s="36"/>
      <c r="D50" s="28"/>
      <c r="E50" s="25"/>
      <c r="F50" s="25"/>
    </row>
    <row r="51" spans="1:6" ht="15" customHeight="1">
      <c r="A51" s="376"/>
      <c r="B51" s="312"/>
      <c r="C51" s="36"/>
      <c r="D51" s="57"/>
      <c r="E51" s="179"/>
      <c r="F51" s="179"/>
    </row>
    <row r="52" spans="1:6" ht="15" customHeight="1">
      <c r="A52" s="376"/>
      <c r="B52" s="28"/>
      <c r="C52" s="36"/>
      <c r="D52" s="28"/>
      <c r="E52" s="25"/>
      <c r="F52" s="25"/>
    </row>
    <row r="53" spans="1:6" ht="15" customHeight="1">
      <c r="A53" s="33" t="s">
        <v>237</v>
      </c>
      <c r="B53" s="180">
        <f>inputPrYr!$C$10-1</f>
        <v>2011</v>
      </c>
      <c r="C53" s="36"/>
      <c r="D53" s="57"/>
      <c r="E53" s="179"/>
      <c r="F53" s="179"/>
    </row>
    <row r="54" spans="1:6" ht="15" customHeight="1">
      <c r="A54" s="28"/>
      <c r="B54" s="28"/>
      <c r="C54" s="211"/>
      <c r="D54" s="25"/>
      <c r="E54" s="181"/>
      <c r="F54" s="182"/>
    </row>
    <row r="55" spans="1:6" ht="15" customHeight="1">
      <c r="A55" s="553"/>
      <c r="B55" s="28"/>
      <c r="C55" s="36"/>
      <c r="D55" s="57"/>
      <c r="E55" s="179"/>
      <c r="F55" s="179"/>
    </row>
    <row r="56" spans="1:6" ht="15" customHeight="1">
      <c r="A56" s="48" t="s">
        <v>40</v>
      </c>
      <c r="B56" s="28"/>
      <c r="C56" s="183"/>
      <c r="D56" s="648" t="s">
        <v>39</v>
      </c>
      <c r="E56" s="648"/>
      <c r="F56" s="648"/>
    </row>
    <row r="57" spans="1:2" ht="15" customHeight="1">
      <c r="A57" s="10"/>
      <c r="B57" s="184"/>
    </row>
    <row r="59" ht="15" customHeight="1">
      <c r="D59" s="185"/>
    </row>
    <row r="60" spans="1:6" ht="15" customHeight="1">
      <c r="A60" s="10"/>
      <c r="B60" s="10"/>
      <c r="C60" s="10"/>
      <c r="D60" s="10"/>
      <c r="E60" s="10"/>
      <c r="F60" s="10"/>
    </row>
    <row r="61" spans="1:6" ht="15" customHeight="1">
      <c r="A61" s="10"/>
      <c r="B61" s="10"/>
      <c r="C61" s="10"/>
      <c r="D61" s="10"/>
      <c r="E61" s="10"/>
      <c r="F61" s="10"/>
    </row>
    <row r="62" ht="15" customHeight="1">
      <c r="A62" s="10"/>
    </row>
    <row r="63" ht="15" customHeight="1">
      <c r="A63" s="10"/>
    </row>
  </sheetData>
  <sheetProtection sheet="1"/>
  <mergeCells count="10">
    <mergeCell ref="B45:C46"/>
    <mergeCell ref="D56:F56"/>
    <mergeCell ref="A3:F3"/>
    <mergeCell ref="E12:E14"/>
    <mergeCell ref="B39:C39"/>
    <mergeCell ref="B40:C40"/>
    <mergeCell ref="B41:C41"/>
    <mergeCell ref="B42:C42"/>
    <mergeCell ref="B43:C43"/>
    <mergeCell ref="B44:C44"/>
  </mergeCells>
  <printOptions/>
  <pageMargins left="0.5" right="0.5" top="0.5" bottom="0.5" header="0" footer="0.5"/>
  <pageSetup blackAndWhite="1" fitToHeight="1" fitToWidth="1" horizontalDpi="600" verticalDpi="60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40">
      <selection activeCell="J40" sqref="J40"/>
    </sheetView>
  </sheetViews>
  <sheetFormatPr defaultColWidth="8.796875" defaultRowHeight="15.75" customHeight="1"/>
  <cols>
    <col min="1" max="2" width="3.296875" style="10" customWidth="1"/>
    <col min="3" max="3" width="31.296875" style="10" customWidth="1"/>
    <col min="4" max="4" width="2.296875" style="10" customWidth="1"/>
    <col min="5" max="5" width="15.796875" style="10" customWidth="1"/>
    <col min="6" max="6" width="2" style="10" customWidth="1"/>
    <col min="7" max="7" width="15.796875" style="10" customWidth="1"/>
    <col min="8" max="8" width="1.8984375" style="10" customWidth="1"/>
    <col min="9" max="9" width="1.796875" style="10" customWidth="1"/>
    <col min="10" max="10" width="15.796875" style="10" customWidth="1"/>
    <col min="11" max="16384" width="8.8984375" style="10" customWidth="1"/>
  </cols>
  <sheetData>
    <row r="1" spans="1:10" ht="15.75" customHeight="1">
      <c r="A1" s="28"/>
      <c r="B1" s="28"/>
      <c r="C1" s="186" t="str">
        <f>inputPrYr!D3</f>
        <v>City of Vining</v>
      </c>
      <c r="D1" s="28"/>
      <c r="E1" s="28"/>
      <c r="F1" s="28"/>
      <c r="G1" s="28"/>
      <c r="H1" s="28"/>
      <c r="I1" s="28"/>
      <c r="J1" s="141">
        <f>inputPrYr!$C$10</f>
        <v>2012</v>
      </c>
    </row>
    <row r="2" spans="1:10" ht="15.75" customHeight="1">
      <c r="A2" s="28"/>
      <c r="B2" s="28"/>
      <c r="C2" s="28"/>
      <c r="D2" s="28"/>
      <c r="E2" s="28"/>
      <c r="F2" s="28"/>
      <c r="G2" s="28"/>
      <c r="H2" s="28"/>
      <c r="I2" s="28"/>
      <c r="J2" s="28"/>
    </row>
    <row r="3" spans="1:10" ht="15.75">
      <c r="A3" s="660" t="str">
        <f>CONCATENATE("Computation to Determine Limit for ",J1)</f>
        <v>Computation to Determine Limit for 2012</v>
      </c>
      <c r="B3" s="661"/>
      <c r="C3" s="661"/>
      <c r="D3" s="661"/>
      <c r="E3" s="661"/>
      <c r="F3" s="661"/>
      <c r="G3" s="661"/>
      <c r="H3" s="661"/>
      <c r="I3" s="661"/>
      <c r="J3" s="661"/>
    </row>
    <row r="4" spans="1:10" ht="15.75">
      <c r="A4" s="28"/>
      <c r="B4" s="28"/>
      <c r="C4" s="28"/>
      <c r="D4" s="28"/>
      <c r="E4" s="661"/>
      <c r="F4" s="661"/>
      <c r="G4" s="661"/>
      <c r="H4" s="187"/>
      <c r="I4" s="28"/>
      <c r="J4" s="188" t="s">
        <v>114</v>
      </c>
    </row>
    <row r="5" spans="1:10" ht="15.75">
      <c r="A5" s="189" t="s">
        <v>115</v>
      </c>
      <c r="B5" s="28" t="str">
        <f>CONCATENATE("Total Tax Levy Amount in ",J1-1," Budget")</f>
        <v>Total Tax Levy Amount in 2011 Budget</v>
      </c>
      <c r="C5" s="28"/>
      <c r="D5" s="28"/>
      <c r="E5" s="53"/>
      <c r="F5" s="53"/>
      <c r="G5" s="53"/>
      <c r="H5" s="190" t="s">
        <v>116</v>
      </c>
      <c r="I5" s="53" t="s">
        <v>117</v>
      </c>
      <c r="J5" s="191">
        <f>inputPrYr!E30</f>
        <v>8358</v>
      </c>
    </row>
    <row r="6" spans="1:10" ht="15.75">
      <c r="A6" s="189" t="s">
        <v>118</v>
      </c>
      <c r="B6" s="28" t="str">
        <f>CONCATENATE("Debt Service Levy in ",J1-1," Budget")</f>
        <v>Debt Service Levy in 2011 Budget</v>
      </c>
      <c r="C6" s="28"/>
      <c r="D6" s="28"/>
      <c r="E6" s="53"/>
      <c r="F6" s="53"/>
      <c r="G6" s="53"/>
      <c r="H6" s="190" t="s">
        <v>119</v>
      </c>
      <c r="I6" s="53" t="s">
        <v>117</v>
      </c>
      <c r="J6" s="192">
        <f>inputPrYr!$E$23</f>
        <v>0</v>
      </c>
    </row>
    <row r="7" spans="1:10" ht="15.75">
      <c r="A7" s="189" t="s">
        <v>143</v>
      </c>
      <c r="B7" s="46" t="s">
        <v>147</v>
      </c>
      <c r="C7" s="28"/>
      <c r="D7" s="28"/>
      <c r="E7" s="53"/>
      <c r="F7" s="53"/>
      <c r="G7" s="53"/>
      <c r="H7" s="53"/>
      <c r="I7" s="53" t="s">
        <v>117</v>
      </c>
      <c r="J7" s="58">
        <f>J5-J6</f>
        <v>8358</v>
      </c>
    </row>
    <row r="8" spans="1:10" ht="15.75">
      <c r="A8" s="28"/>
      <c r="B8" s="28"/>
      <c r="C8" s="28"/>
      <c r="D8" s="28"/>
      <c r="E8" s="53"/>
      <c r="F8" s="53"/>
      <c r="G8" s="53"/>
      <c r="H8" s="53"/>
      <c r="I8" s="53"/>
      <c r="J8" s="53"/>
    </row>
    <row r="9" spans="1:10" ht="15.75">
      <c r="A9" s="28"/>
      <c r="B9" s="46" t="str">
        <f>CONCATENATE(J1-1," Valuation Information for Valuation Adjustments:")</f>
        <v>2011 Valuation Information for Valuation Adjustments:</v>
      </c>
      <c r="C9" s="28"/>
      <c r="D9" s="28"/>
      <c r="E9" s="53"/>
      <c r="F9" s="53"/>
      <c r="G9" s="53"/>
      <c r="H9" s="53"/>
      <c r="I9" s="53"/>
      <c r="J9" s="53"/>
    </row>
    <row r="10" spans="1:10" ht="15.75">
      <c r="A10" s="28"/>
      <c r="B10" s="28"/>
      <c r="C10" s="46"/>
      <c r="D10" s="28"/>
      <c r="E10" s="53"/>
      <c r="F10" s="53"/>
      <c r="G10" s="53"/>
      <c r="H10" s="53"/>
      <c r="I10" s="53"/>
      <c r="J10" s="53"/>
    </row>
    <row r="11" spans="1:10" ht="15.75">
      <c r="A11" s="189" t="s">
        <v>120</v>
      </c>
      <c r="B11" s="46" t="str">
        <f>CONCATENATE("New Improvements for ",J1-1," :")</f>
        <v>New Improvements for 2011 :</v>
      </c>
      <c r="C11" s="28"/>
      <c r="D11" s="28"/>
      <c r="E11" s="190"/>
      <c r="F11" s="190" t="s">
        <v>116</v>
      </c>
      <c r="G11" s="191">
        <f>inputOth!C14</f>
        <v>23599</v>
      </c>
      <c r="H11" s="193"/>
      <c r="I11" s="53"/>
      <c r="J11" s="53"/>
    </row>
    <row r="12" spans="1:10" ht="15.75">
      <c r="A12" s="189"/>
      <c r="B12" s="194"/>
      <c r="C12" s="28"/>
      <c r="D12" s="28"/>
      <c r="E12" s="190"/>
      <c r="F12" s="190"/>
      <c r="G12" s="193"/>
      <c r="H12" s="193"/>
      <c r="I12" s="53"/>
      <c r="J12" s="53"/>
    </row>
    <row r="13" spans="1:10" ht="15.75">
      <c r="A13" s="189" t="s">
        <v>121</v>
      </c>
      <c r="B13" s="46" t="str">
        <f>CONCATENATE("Increase in Personal Property for ",J1-1," :")</f>
        <v>Increase in Personal Property for 2011 :</v>
      </c>
      <c r="C13" s="28"/>
      <c r="D13" s="28"/>
      <c r="E13" s="190"/>
      <c r="F13" s="190"/>
      <c r="G13" s="193"/>
      <c r="H13" s="193"/>
      <c r="I13" s="53"/>
      <c r="J13" s="53"/>
    </row>
    <row r="14" spans="1:10" ht="15.75">
      <c r="A14" s="195"/>
      <c r="B14" s="28" t="s">
        <v>122</v>
      </c>
      <c r="C14" s="28" t="str">
        <f>CONCATENATE("Personal Property ",J1-1)</f>
        <v>Personal Property 2011</v>
      </c>
      <c r="D14" s="194" t="s">
        <v>116</v>
      </c>
      <c r="E14" s="191">
        <f>inputOth!D14</f>
        <v>14026</v>
      </c>
      <c r="F14" s="190"/>
      <c r="G14" s="53"/>
      <c r="H14" s="53"/>
      <c r="I14" s="193"/>
      <c r="J14" s="53"/>
    </row>
    <row r="15" spans="1:10" ht="15.75">
      <c r="A15" s="194"/>
      <c r="B15" s="28" t="s">
        <v>123</v>
      </c>
      <c r="C15" s="28" t="str">
        <f>CONCATENATE("Personal Property ",J1-2)</f>
        <v>Personal Property 2010</v>
      </c>
      <c r="D15" s="194" t="s">
        <v>119</v>
      </c>
      <c r="E15" s="58">
        <f>inputOth!F14</f>
        <v>13182</v>
      </c>
      <c r="F15" s="190"/>
      <c r="G15" s="193"/>
      <c r="H15" s="193"/>
      <c r="I15" s="53"/>
      <c r="J15" s="53"/>
    </row>
    <row r="16" spans="1:10" ht="15.75">
      <c r="A16" s="194"/>
      <c r="B16" s="28" t="s">
        <v>124</v>
      </c>
      <c r="C16" s="28" t="s">
        <v>148</v>
      </c>
      <c r="D16" s="28"/>
      <c r="E16" s="53"/>
      <c r="F16" s="53" t="s">
        <v>116</v>
      </c>
      <c r="G16" s="191">
        <f>IF(E14&gt;E15,E14-E15,0)</f>
        <v>844</v>
      </c>
      <c r="H16" s="193"/>
      <c r="I16" s="53"/>
      <c r="J16" s="53"/>
    </row>
    <row r="17" spans="1:10" ht="15.75">
      <c r="A17" s="194"/>
      <c r="B17" s="194"/>
      <c r="C17" s="28"/>
      <c r="D17" s="28"/>
      <c r="E17" s="53"/>
      <c r="F17" s="53"/>
      <c r="G17" s="193" t="s">
        <v>137</v>
      </c>
      <c r="H17" s="193"/>
      <c r="I17" s="53"/>
      <c r="J17" s="53"/>
    </row>
    <row r="18" spans="1:10" ht="15.75">
      <c r="A18" s="194" t="s">
        <v>125</v>
      </c>
      <c r="B18" s="46" t="str">
        <f>CONCATENATE("Valuation of annexed territory for ",J1-1," :")</f>
        <v>Valuation of annexed territory for 2011 :</v>
      </c>
      <c r="C18" s="28"/>
      <c r="D18" s="28"/>
      <c r="E18" s="193"/>
      <c r="F18" s="53"/>
      <c r="G18" s="53"/>
      <c r="H18" s="53"/>
      <c r="I18" s="53"/>
      <c r="J18" s="53"/>
    </row>
    <row r="19" spans="1:10" ht="15.75">
      <c r="A19" s="194"/>
      <c r="B19" s="28" t="s">
        <v>126</v>
      </c>
      <c r="C19" s="28" t="s">
        <v>149</v>
      </c>
      <c r="D19" s="194" t="s">
        <v>116</v>
      </c>
      <c r="E19" s="191">
        <f>inputOth!B22</f>
        <v>0</v>
      </c>
      <c r="F19" s="53"/>
      <c r="G19" s="53"/>
      <c r="H19" s="53"/>
      <c r="I19" s="53"/>
      <c r="J19" s="53"/>
    </row>
    <row r="20" spans="1:10" ht="15.75">
      <c r="A20" s="194"/>
      <c r="B20" s="28" t="s">
        <v>127</v>
      </c>
      <c r="C20" s="28" t="s">
        <v>150</v>
      </c>
      <c r="D20" s="194" t="s">
        <v>116</v>
      </c>
      <c r="E20" s="58">
        <f>inputOth!C22</f>
        <v>0</v>
      </c>
      <c r="F20" s="53"/>
      <c r="G20" s="193"/>
      <c r="H20" s="193"/>
      <c r="I20" s="53"/>
      <c r="J20" s="53"/>
    </row>
    <row r="21" spans="1:10" ht="15.75">
      <c r="A21" s="194"/>
      <c r="B21" s="28" t="s">
        <v>128</v>
      </c>
      <c r="C21" s="28" t="s">
        <v>151</v>
      </c>
      <c r="D21" s="194" t="s">
        <v>119</v>
      </c>
      <c r="E21" s="58">
        <f>inputOth!D22</f>
        <v>0</v>
      </c>
      <c r="F21" s="53"/>
      <c r="G21" s="193"/>
      <c r="H21" s="193"/>
      <c r="I21" s="53"/>
      <c r="J21" s="53"/>
    </row>
    <row r="22" spans="1:10" ht="15.75">
      <c r="A22" s="194"/>
      <c r="B22" s="28" t="s">
        <v>129</v>
      </c>
      <c r="C22" s="28" t="s">
        <v>152</v>
      </c>
      <c r="D22" s="194"/>
      <c r="E22" s="193"/>
      <c r="F22" s="53" t="s">
        <v>116</v>
      </c>
      <c r="G22" s="191">
        <f>E19+E20-E21</f>
        <v>0</v>
      </c>
      <c r="H22" s="193"/>
      <c r="I22" s="53"/>
      <c r="J22" s="53"/>
    </row>
    <row r="23" spans="1:10" ht="15.75">
      <c r="A23" s="194"/>
      <c r="B23" s="194"/>
      <c r="C23" s="28"/>
      <c r="D23" s="194"/>
      <c r="E23" s="193"/>
      <c r="F23" s="53"/>
      <c r="G23" s="193"/>
      <c r="H23" s="193"/>
      <c r="I23" s="53"/>
      <c r="J23" s="53"/>
    </row>
    <row r="24" spans="1:10" ht="15.75">
      <c r="A24" s="194" t="s">
        <v>130</v>
      </c>
      <c r="B24" s="46" t="str">
        <f>CONCATENATE("Valuation of Property that has Changed in Use during ",J1-1," :")</f>
        <v>Valuation of Property that has Changed in Use during 2011 :</v>
      </c>
      <c r="C24" s="28"/>
      <c r="D24" s="28"/>
      <c r="E24" s="53"/>
      <c r="F24" s="190" t="s">
        <v>116</v>
      </c>
      <c r="G24" s="191">
        <f>inputOth!E14</f>
        <v>0</v>
      </c>
      <c r="H24" s="53"/>
      <c r="I24" s="53"/>
      <c r="J24" s="53"/>
    </row>
    <row r="25" spans="1:10" ht="15.75">
      <c r="A25" s="28" t="s">
        <v>25</v>
      </c>
      <c r="B25" s="28"/>
      <c r="C25" s="28"/>
      <c r="D25" s="194"/>
      <c r="E25" s="193"/>
      <c r="F25" s="53"/>
      <c r="G25" s="53"/>
      <c r="H25" s="53"/>
      <c r="I25" s="53"/>
      <c r="J25" s="53"/>
    </row>
    <row r="26" spans="1:10" ht="15.75">
      <c r="A26" s="194" t="s">
        <v>131</v>
      </c>
      <c r="B26" s="46" t="s">
        <v>153</v>
      </c>
      <c r="C26" s="28"/>
      <c r="D26" s="28"/>
      <c r="E26" s="53"/>
      <c r="F26" s="53"/>
      <c r="G26" s="191">
        <f>G11+G16+G22+G24</f>
        <v>24443</v>
      </c>
      <c r="H26" s="193"/>
      <c r="I26" s="53"/>
      <c r="J26" s="53"/>
    </row>
    <row r="27" spans="1:10" ht="15.75">
      <c r="A27" s="194"/>
      <c r="B27" s="194"/>
      <c r="C27" s="46"/>
      <c r="D27" s="28"/>
      <c r="E27" s="53"/>
      <c r="F27" s="53"/>
      <c r="G27" s="193"/>
      <c r="H27" s="193"/>
      <c r="I27" s="53"/>
      <c r="J27" s="53"/>
    </row>
    <row r="28" spans="1:10" ht="15.75">
      <c r="A28" s="194" t="s">
        <v>132</v>
      </c>
      <c r="B28" s="28" t="str">
        <f>CONCATENATE("Total Estimated Valuation July 1, ",J1-1)</f>
        <v>Total Estimated Valuation July 1, 2011</v>
      </c>
      <c r="C28" s="28"/>
      <c r="D28" s="28"/>
      <c r="E28" s="191">
        <f>inputOth!B14</f>
        <v>182951</v>
      </c>
      <c r="F28" s="53"/>
      <c r="G28" s="53"/>
      <c r="H28" s="53"/>
      <c r="I28" s="190"/>
      <c r="J28" s="53"/>
    </row>
    <row r="29" spans="1:10" ht="15.75">
      <c r="A29" s="194"/>
      <c r="B29" s="194"/>
      <c r="C29" s="28"/>
      <c r="D29" s="28"/>
      <c r="E29" s="193"/>
      <c r="F29" s="53"/>
      <c r="G29" s="53"/>
      <c r="H29" s="53"/>
      <c r="I29" s="190"/>
      <c r="J29" s="53"/>
    </row>
    <row r="30" spans="1:10" ht="15.75">
      <c r="A30" s="194" t="s">
        <v>133</v>
      </c>
      <c r="B30" s="46" t="s">
        <v>154</v>
      </c>
      <c r="C30" s="28"/>
      <c r="D30" s="28"/>
      <c r="E30" s="53"/>
      <c r="F30" s="53"/>
      <c r="G30" s="191">
        <f>E28-G26</f>
        <v>158508</v>
      </c>
      <c r="H30" s="193"/>
      <c r="I30" s="190"/>
      <c r="J30" s="53"/>
    </row>
    <row r="31" spans="1:10" ht="15.75">
      <c r="A31" s="194"/>
      <c r="B31" s="194"/>
      <c r="C31" s="46"/>
      <c r="D31" s="28"/>
      <c r="E31" s="53"/>
      <c r="F31" s="53"/>
      <c r="G31" s="196"/>
      <c r="H31" s="193"/>
      <c r="I31" s="190"/>
      <c r="J31" s="53"/>
    </row>
    <row r="32" spans="1:10" ht="15.75">
      <c r="A32" s="194" t="s">
        <v>134</v>
      </c>
      <c r="B32" s="28" t="s">
        <v>155</v>
      </c>
      <c r="C32" s="28"/>
      <c r="D32" s="28"/>
      <c r="E32" s="28"/>
      <c r="F32" s="28"/>
      <c r="G32" s="197">
        <f>IF(G26&gt;0,G26/G30,0)</f>
        <v>0.1542067277361395</v>
      </c>
      <c r="H32" s="36"/>
      <c r="I32" s="28"/>
      <c r="J32" s="28"/>
    </row>
    <row r="33" spans="1:10" ht="15.75">
      <c r="A33" s="194"/>
      <c r="B33" s="194"/>
      <c r="C33" s="28"/>
      <c r="D33" s="28"/>
      <c r="E33" s="28"/>
      <c r="F33" s="28"/>
      <c r="G33" s="36"/>
      <c r="H33" s="36"/>
      <c r="I33" s="28"/>
      <c r="J33" s="28"/>
    </row>
    <row r="34" spans="1:10" ht="15.75">
      <c r="A34" s="194" t="s">
        <v>135</v>
      </c>
      <c r="B34" s="28" t="s">
        <v>156</v>
      </c>
      <c r="C34" s="28"/>
      <c r="D34" s="28"/>
      <c r="E34" s="28"/>
      <c r="F34" s="28"/>
      <c r="G34" s="36"/>
      <c r="H34" s="198" t="s">
        <v>116</v>
      </c>
      <c r="I34" s="28" t="s">
        <v>117</v>
      </c>
      <c r="J34" s="191">
        <f>ROUND(G32*J7,0)</f>
        <v>1289</v>
      </c>
    </row>
    <row r="35" spans="1:10" ht="15.75">
      <c r="A35" s="194"/>
      <c r="B35" s="194"/>
      <c r="C35" s="28"/>
      <c r="D35" s="28"/>
      <c r="E35" s="28"/>
      <c r="F35" s="28"/>
      <c r="G35" s="36"/>
      <c r="H35" s="198"/>
      <c r="I35" s="28"/>
      <c r="J35" s="193"/>
    </row>
    <row r="36" spans="1:10" ht="16.5" thickBot="1">
      <c r="A36" s="194" t="s">
        <v>136</v>
      </c>
      <c r="B36" s="46" t="s">
        <v>161</v>
      </c>
      <c r="C36" s="28"/>
      <c r="D36" s="28"/>
      <c r="E36" s="28"/>
      <c r="F36" s="28"/>
      <c r="G36" s="28"/>
      <c r="H36" s="28"/>
      <c r="I36" s="28" t="s">
        <v>117</v>
      </c>
      <c r="J36" s="199">
        <f>J7+J34</f>
        <v>9647</v>
      </c>
    </row>
    <row r="37" spans="1:10" ht="16.5" thickTop="1">
      <c r="A37" s="28"/>
      <c r="B37" s="28"/>
      <c r="C37" s="28"/>
      <c r="D37" s="28"/>
      <c r="E37" s="28"/>
      <c r="F37" s="28"/>
      <c r="G37" s="28"/>
      <c r="H37" s="28"/>
      <c r="I37" s="28"/>
      <c r="J37" s="193"/>
    </row>
    <row r="38" spans="1:10" ht="15.75">
      <c r="A38" s="194" t="s">
        <v>159</v>
      </c>
      <c r="B38" s="46" t="str">
        <f>CONCATENATE("Debt Service Levy in this ",J1," Budget")</f>
        <v>Debt Service Levy in this 2012 Budget</v>
      </c>
      <c r="C38" s="28"/>
      <c r="D38" s="28"/>
      <c r="E38" s="28"/>
      <c r="F38" s="28"/>
      <c r="G38" s="28"/>
      <c r="H38" s="28"/>
      <c r="I38" s="28"/>
      <c r="J38" s="200">
        <f>DebtService!$E$39</f>
        <v>0</v>
      </c>
    </row>
    <row r="39" spans="1:10" ht="15.75">
      <c r="A39" s="194"/>
      <c r="B39" s="46"/>
      <c r="C39" s="28"/>
      <c r="D39" s="28"/>
      <c r="E39" s="28"/>
      <c r="F39" s="28"/>
      <c r="G39" s="28"/>
      <c r="H39" s="28"/>
      <c r="I39" s="28"/>
      <c r="J39" s="193"/>
    </row>
    <row r="40" spans="1:10" ht="16.5" thickBot="1">
      <c r="A40" s="194" t="s">
        <v>160</v>
      </c>
      <c r="B40" s="46" t="s">
        <v>162</v>
      </c>
      <c r="C40" s="28"/>
      <c r="D40" s="28"/>
      <c r="E40" s="28"/>
      <c r="F40" s="28"/>
      <c r="G40" s="28"/>
      <c r="H40" s="28"/>
      <c r="I40" s="28"/>
      <c r="J40" s="199">
        <f>J36+J38</f>
        <v>9647</v>
      </c>
    </row>
    <row r="41" spans="1:10" ht="19.5" thickTop="1">
      <c r="A41" s="659"/>
      <c r="B41" s="659"/>
      <c r="C41" s="659"/>
      <c r="D41" s="659"/>
      <c r="E41" s="659"/>
      <c r="F41" s="659"/>
      <c r="G41" s="659"/>
      <c r="H41" s="659"/>
      <c r="I41" s="659"/>
      <c r="J41" s="659"/>
    </row>
    <row r="42" spans="1:10" s="201" customFormat="1" ht="18.75">
      <c r="A42" s="659" t="str">
        <f>CONCATENATE("If the ",J1," budget includes tax levies exceeding the total on line 15, you must")</f>
        <v>If the 2012 budget includes tax levies exceeding the total on line 15, you must</v>
      </c>
      <c r="B42" s="659"/>
      <c r="C42" s="659"/>
      <c r="D42" s="659"/>
      <c r="E42" s="659"/>
      <c r="F42" s="659"/>
      <c r="G42" s="659"/>
      <c r="H42" s="659"/>
      <c r="I42" s="659"/>
      <c r="J42" s="659"/>
    </row>
    <row r="43" spans="1:10" s="201" customFormat="1" ht="18.75">
      <c r="A43" s="659" t="s">
        <v>217</v>
      </c>
      <c r="B43" s="659"/>
      <c r="C43" s="659"/>
      <c r="D43" s="659"/>
      <c r="E43" s="659"/>
      <c r="F43" s="659"/>
      <c r="G43" s="659"/>
      <c r="H43" s="659"/>
      <c r="I43" s="659"/>
      <c r="J43" s="659"/>
    </row>
    <row r="44" spans="1:10" ht="15.75" customHeight="1">
      <c r="A44" s="658" t="s">
        <v>218</v>
      </c>
      <c r="B44" s="658"/>
      <c r="C44" s="658"/>
      <c r="D44" s="658"/>
      <c r="E44" s="658"/>
      <c r="F44" s="658"/>
      <c r="G44" s="658"/>
      <c r="H44" s="658"/>
      <c r="I44" s="658"/>
      <c r="J44" s="658"/>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28">
      <selection activeCell="A14" sqref="A14:IV14"/>
    </sheetView>
  </sheetViews>
  <sheetFormatPr defaultColWidth="8.796875" defaultRowHeight="15" customHeight="1"/>
  <cols>
    <col min="1" max="2" width="17.3984375" style="24" customWidth="1"/>
    <col min="3" max="5" width="12.796875" style="24" customWidth="1"/>
    <col min="6" max="6" width="12.796875" style="144" customWidth="1"/>
    <col min="7" max="16384" width="8.8984375" style="24" customWidth="1"/>
  </cols>
  <sheetData>
    <row r="1" spans="1:6" ht="15" customHeight="1">
      <c r="A1" s="186" t="str">
        <f>inputPrYr!D3</f>
        <v>City of Vining</v>
      </c>
      <c r="B1" s="28"/>
      <c r="C1" s="28"/>
      <c r="D1" s="28"/>
      <c r="E1" s="202"/>
      <c r="F1" s="141">
        <f>inputPrYr!$C$10</f>
        <v>2012</v>
      </c>
    </row>
    <row r="2" spans="1:6" ht="15" customHeight="1">
      <c r="A2" s="28"/>
      <c r="B2" s="28"/>
      <c r="C2" s="28"/>
      <c r="D2" s="28"/>
      <c r="E2" s="28"/>
      <c r="F2" s="36"/>
    </row>
    <row r="3" spans="1:6" ht="20.25" customHeight="1">
      <c r="A3" s="660" t="s">
        <v>279</v>
      </c>
      <c r="B3" s="660"/>
      <c r="C3" s="660"/>
      <c r="D3" s="660"/>
      <c r="E3" s="660"/>
      <c r="F3" s="36"/>
    </row>
    <row r="4" spans="1:6" ht="15" customHeight="1">
      <c r="A4" s="39"/>
      <c r="B4" s="38"/>
      <c r="C4" s="38"/>
      <c r="D4" s="38"/>
      <c r="E4" s="28"/>
      <c r="F4" s="36"/>
    </row>
    <row r="5" spans="1:6" ht="15" customHeight="1">
      <c r="A5" s="28"/>
      <c r="B5" s="28"/>
      <c r="C5" s="28"/>
      <c r="D5" s="28"/>
      <c r="E5" s="28"/>
      <c r="F5" s="36"/>
    </row>
    <row r="6" spans="1:6" ht="15.75" customHeight="1">
      <c r="A6" s="203" t="s">
        <v>201</v>
      </c>
      <c r="B6" s="154" t="s">
        <v>370</v>
      </c>
      <c r="C6" s="662" t="str">
        <f>CONCATENATE("Allocation for Year ",F1,"")</f>
        <v>Allocation for Year 2012</v>
      </c>
      <c r="D6" s="663"/>
      <c r="E6" s="664"/>
      <c r="F6" s="665"/>
    </row>
    <row r="7" spans="1:6" ht="23.25" customHeight="1">
      <c r="A7" s="204">
        <f>SUM(Mvalloc!F1-1)</f>
        <v>2011</v>
      </c>
      <c r="B7" s="205" t="str">
        <f>CONCATENATE("Amount for ",F1-2,"")</f>
        <v>Amount for 2010</v>
      </c>
      <c r="C7" s="159" t="s">
        <v>113</v>
      </c>
      <c r="D7" s="159" t="s">
        <v>112</v>
      </c>
      <c r="E7" s="159" t="s">
        <v>111</v>
      </c>
      <c r="F7" s="165" t="s">
        <v>11</v>
      </c>
    </row>
    <row r="8" spans="1:6" ht="15" customHeight="1">
      <c r="A8" s="50" t="s">
        <v>18</v>
      </c>
      <c r="B8" s="206">
        <f>IF((inputPrYr!E22)&gt;0,(inputPrYr!E22),"  ")</f>
        <v>8358</v>
      </c>
      <c r="C8" s="206">
        <f>IF(inputPrYr!E22&gt;0,C16-SUM(C9:C13),0)</f>
        <v>1890</v>
      </c>
      <c r="D8" s="206">
        <f>IF(inputPrYr!E22=0,0,D18-SUM(D9:D13))</f>
        <v>0</v>
      </c>
      <c r="E8" s="206">
        <f>IF(inputPrYr!E22=0,0,E20-SUM(E9:E13))</f>
        <v>71</v>
      </c>
      <c r="F8" s="206">
        <f>IF(inputPrYr!E22=0,0,F22-SUM(F9:F13))</f>
        <v>0</v>
      </c>
    </row>
    <row r="9" spans="1:6" ht="15" customHeight="1">
      <c r="A9" s="50" t="str">
        <f>inputPrYr!B23</f>
        <v>Debt Service</v>
      </c>
      <c r="B9" s="206" t="str">
        <f>IF((inputPrYr!E23)&gt;0,(inputPrYr!E23),"  ")</f>
        <v>  </v>
      </c>
      <c r="C9" s="206" t="str">
        <f>IF(inputPrYr!$E23&gt;0,ROUND(B9*C$24,0),"  ")</f>
        <v>  </v>
      </c>
      <c r="D9" s="206" t="str">
        <f>IF(inputPrYr!$E23&gt;0,ROUND(+B9*D$26,0),"  ")</f>
        <v>  </v>
      </c>
      <c r="E9" s="206" t="str">
        <f>IF(inputPrYr!$E23&gt;0,ROUND(B9*E$28,0),"  ")</f>
        <v>  </v>
      </c>
      <c r="F9" s="206" t="str">
        <f>IF(inputPrYr!$E23&gt;0,ROUND(B9*F$30,0),"  ")</f>
        <v>  </v>
      </c>
    </row>
    <row r="10" spans="1:6" ht="15" customHeight="1">
      <c r="A10" s="72" t="str">
        <f>IF((inputPrYr!$B25&gt;"  "),(inputPrYr!$B25),"  ")</f>
        <v>  </v>
      </c>
      <c r="B10" s="206" t="str">
        <f>IF((inputPrYr!E25)&gt;0,(inputPrYr!E25),"  ")</f>
        <v>  </v>
      </c>
      <c r="C10" s="206" t="str">
        <f>IF(inputPrYr!$E25&gt;0,ROUND(B10*C$24,0),"  ")</f>
        <v>  </v>
      </c>
      <c r="D10" s="206" t="str">
        <f>IF(inputPrYr!$E25&gt;0,ROUND(+B10*D$26,0),"  ")</f>
        <v>  </v>
      </c>
      <c r="E10" s="206" t="str">
        <f>IF(inputPrYr!E25&gt;0,ROUND(B10*E$28,0),"  ")</f>
        <v>  </v>
      </c>
      <c r="F10" s="206" t="str">
        <f>IF(inputPrYr!E25&gt;0,ROUND(B10*F$30,0),"  ")</f>
        <v>  </v>
      </c>
    </row>
    <row r="11" spans="1:6" ht="15" customHeight="1">
      <c r="A11" s="72" t="str">
        <f>IF((inputPrYr!$B26&gt;"  "),(inputPrYr!$B26),"  ")</f>
        <v>  </v>
      </c>
      <c r="B11" s="206" t="str">
        <f>IF((inputPrYr!E26)&gt;0,(inputPrYr!E26),"  ")</f>
        <v>  </v>
      </c>
      <c r="C11" s="206" t="str">
        <f>IF(inputPrYr!$E26&gt;0,ROUND(B11*C$24,0),"  ")</f>
        <v>  </v>
      </c>
      <c r="D11" s="206" t="str">
        <f>IF(inputPrYr!$E26&gt;0,ROUND(+B11*D$26,0),"  ")</f>
        <v>  </v>
      </c>
      <c r="E11" s="206" t="str">
        <f>IF(inputPrYr!E26&gt;0,ROUND(B11*E$28,0),"  ")</f>
        <v>  </v>
      </c>
      <c r="F11" s="206" t="str">
        <f>IF(inputPrYr!E26&gt;0,ROUND(B11*F$30,0),"  ")</f>
        <v>  </v>
      </c>
    </row>
    <row r="12" spans="1:6" ht="15" customHeight="1">
      <c r="A12" s="72" t="str">
        <f>IF((inputPrYr!$B27&gt;"  "),(inputPrYr!$B27),"  ")</f>
        <v>  </v>
      </c>
      <c r="B12" s="206" t="str">
        <f>IF((inputPrYr!E27)&gt;0,(inputPrYr!E27),"  ")</f>
        <v>  </v>
      </c>
      <c r="C12" s="206" t="str">
        <f>IF(inputPrYr!$E27&gt;0,ROUND(B12*C$24,0),"  ")</f>
        <v>  </v>
      </c>
      <c r="D12" s="206" t="str">
        <f>IF(inputPrYr!$E27&gt;0,ROUND(+B12*D$26,0),"  ")</f>
        <v>  </v>
      </c>
      <c r="E12" s="206" t="str">
        <f>IF(inputPrYr!E27&gt;0,ROUND(B12*E$28,0),"  ")</f>
        <v>  </v>
      </c>
      <c r="F12" s="206" t="str">
        <f>IF(inputPrYr!E27&gt;0,ROUND(B12*F$30,0),"  ")</f>
        <v>  </v>
      </c>
    </row>
    <row r="13" spans="1:6" ht="15" customHeight="1">
      <c r="A13" s="72" t="str">
        <f>IF((inputPrYr!$B28&gt;"  "),(inputPrYr!$B28),"  ")</f>
        <v>  </v>
      </c>
      <c r="B13" s="206" t="str">
        <f>IF((inputPrYr!E28)&gt;0,(inputPrYr!E28),"  ")</f>
        <v>  </v>
      </c>
      <c r="C13" s="206" t="str">
        <f>IF(inputPrYr!$E28&gt;0,ROUND(B13*C$24,0),"  ")</f>
        <v>  </v>
      </c>
      <c r="D13" s="206" t="str">
        <f>IF(inputPrYr!$E28&gt;0,ROUND(+B13*D$26,0),"  ")</f>
        <v>  </v>
      </c>
      <c r="E13" s="206" t="str">
        <f>IF(inputPrYr!E28&gt;0,ROUND(B13*E$28,0),"  ")</f>
        <v>  </v>
      </c>
      <c r="F13" s="206" t="str">
        <f>IF(inputPrYr!E28&gt;0,ROUND(B13*F$30,0),"  ")</f>
        <v>  </v>
      </c>
    </row>
    <row r="14" spans="1:6" ht="18.75" customHeight="1" thickBot="1">
      <c r="A14" s="51" t="s">
        <v>43</v>
      </c>
      <c r="B14" s="207">
        <f>SUM(B8:B13)</f>
        <v>8358</v>
      </c>
      <c r="C14" s="207">
        <f>SUM(C8:C13)</f>
        <v>1890</v>
      </c>
      <c r="D14" s="207">
        <f>SUM(D8:D13)</f>
        <v>0</v>
      </c>
      <c r="E14" s="208">
        <f>SUM(E8:E13)</f>
        <v>71</v>
      </c>
      <c r="F14" s="207">
        <f>SUM(F8:F13)</f>
        <v>0</v>
      </c>
    </row>
    <row r="15" spans="1:6" ht="15" customHeight="1" thickTop="1">
      <c r="A15" s="28"/>
      <c r="B15" s="28"/>
      <c r="C15" s="28"/>
      <c r="D15" s="28"/>
      <c r="E15" s="28"/>
      <c r="F15" s="36"/>
    </row>
    <row r="16" spans="1:6" ht="16.5" customHeight="1">
      <c r="A16" s="34" t="s">
        <v>44</v>
      </c>
      <c r="B16" s="209"/>
      <c r="C16" s="191">
        <f>(inputOth!C54)</f>
        <v>1890</v>
      </c>
      <c r="D16" s="209"/>
      <c r="E16" s="28"/>
      <c r="F16" s="36"/>
    </row>
    <row r="17" spans="1:6" ht="15" customHeight="1">
      <c r="A17" s="28"/>
      <c r="B17" s="28"/>
      <c r="C17" s="28"/>
      <c r="D17" s="28"/>
      <c r="E17" s="28"/>
      <c r="F17" s="36"/>
    </row>
    <row r="18" spans="1:6" ht="17.25" customHeight="1">
      <c r="A18" s="34" t="s">
        <v>45</v>
      </c>
      <c r="B18" s="28"/>
      <c r="C18" s="28"/>
      <c r="D18" s="191">
        <f>(inputOth!D54)</f>
        <v>0</v>
      </c>
      <c r="E18" s="28"/>
      <c r="F18" s="36"/>
    </row>
    <row r="19" spans="1:6" ht="15" customHeight="1">
      <c r="A19" s="28"/>
      <c r="B19" s="28"/>
      <c r="C19" s="28"/>
      <c r="D19" s="28"/>
      <c r="E19" s="28"/>
      <c r="F19" s="36"/>
    </row>
    <row r="20" spans="1:6" ht="16.5" customHeight="1">
      <c r="A20" s="34" t="s">
        <v>110</v>
      </c>
      <c r="B20" s="28"/>
      <c r="C20" s="28"/>
      <c r="D20" s="28"/>
      <c r="E20" s="191">
        <f>inputOth!E54</f>
        <v>71</v>
      </c>
      <c r="F20" s="36"/>
    </row>
    <row r="21" spans="1:6" ht="15" customHeight="1">
      <c r="A21" s="28"/>
      <c r="B21" s="28"/>
      <c r="C21" s="28"/>
      <c r="D21" s="28"/>
      <c r="E21" s="28"/>
      <c r="F21" s="36"/>
    </row>
    <row r="22" spans="1:6" ht="18.75" customHeight="1">
      <c r="A22" s="28" t="s">
        <v>280</v>
      </c>
      <c r="B22" s="28"/>
      <c r="C22" s="28"/>
      <c r="D22" s="28"/>
      <c r="E22" s="28"/>
      <c r="F22" s="191">
        <f>inputOth!F58</f>
        <v>0</v>
      </c>
    </row>
    <row r="23" spans="1:6" ht="15" customHeight="1">
      <c r="A23" s="28"/>
      <c r="B23" s="28"/>
      <c r="C23" s="28"/>
      <c r="D23" s="28"/>
      <c r="E23" s="28"/>
      <c r="F23" s="36"/>
    </row>
    <row r="24" spans="1:6" ht="16.5" customHeight="1">
      <c r="A24" s="34" t="s">
        <v>46</v>
      </c>
      <c r="B24" s="28"/>
      <c r="C24" s="210">
        <f>IF(B14=0,0,C16/B14)</f>
        <v>0.22613065326633167</v>
      </c>
      <c r="D24" s="28"/>
      <c r="E24" s="28"/>
      <c r="F24" s="36"/>
    </row>
    <row r="25" spans="1:6" ht="15" customHeight="1">
      <c r="A25" s="28"/>
      <c r="B25" s="28"/>
      <c r="C25" s="28"/>
      <c r="D25" s="28"/>
      <c r="E25" s="28"/>
      <c r="F25" s="36"/>
    </row>
    <row r="26" spans="1:6" ht="18" customHeight="1">
      <c r="A26" s="34" t="s">
        <v>47</v>
      </c>
      <c r="B26" s="28"/>
      <c r="C26" s="28"/>
      <c r="D26" s="210">
        <f>IF(B14=0,0,D18/B14)</f>
        <v>0</v>
      </c>
      <c r="E26" s="28"/>
      <c r="F26" s="36"/>
    </row>
    <row r="27" spans="1:6" ht="15" customHeight="1">
      <c r="A27" s="28"/>
      <c r="B27" s="28"/>
      <c r="C27" s="28"/>
      <c r="D27" s="28"/>
      <c r="E27" s="28"/>
      <c r="F27" s="36"/>
    </row>
    <row r="28" spans="1:6" ht="18" customHeight="1">
      <c r="A28" s="28" t="s">
        <v>109</v>
      </c>
      <c r="B28" s="28"/>
      <c r="C28" s="28"/>
      <c r="D28" s="28"/>
      <c r="E28" s="210">
        <f>IF(B14=0,0,E20/B14)</f>
        <v>0.00849485522852357</v>
      </c>
      <c r="F28" s="36"/>
    </row>
    <row r="29" spans="1:6" ht="15" customHeight="1">
      <c r="A29" s="25"/>
      <c r="B29" s="25"/>
      <c r="C29" s="25"/>
      <c r="D29" s="25"/>
      <c r="E29" s="25"/>
      <c r="F29" s="211"/>
    </row>
    <row r="30" spans="1:6" ht="16.5" customHeight="1">
      <c r="A30" s="25" t="s">
        <v>281</v>
      </c>
      <c r="B30" s="25"/>
      <c r="C30" s="25"/>
      <c r="D30" s="25"/>
      <c r="E30" s="25"/>
      <c r="F30" s="210">
        <f>IF(B14=0,0,F22/B14)</f>
        <v>0</v>
      </c>
    </row>
    <row r="31" spans="1:6" ht="15" customHeight="1">
      <c r="A31" s="25"/>
      <c r="B31" s="25"/>
      <c r="C31" s="25"/>
      <c r="D31" s="25"/>
      <c r="E31" s="25"/>
      <c r="F31" s="211"/>
    </row>
    <row r="32" spans="1:6" ht="15" customHeight="1">
      <c r="A32" s="25"/>
      <c r="B32" s="25"/>
      <c r="C32" s="25"/>
      <c r="D32" s="25"/>
      <c r="E32" s="25"/>
      <c r="F32" s="211"/>
    </row>
    <row r="33" spans="1:6" ht="16.5" customHeight="1">
      <c r="A33" s="88"/>
      <c r="B33" s="88"/>
      <c r="C33" s="88"/>
      <c r="D33" s="88"/>
      <c r="E33" s="88"/>
      <c r="F33" s="88"/>
    </row>
    <row r="34" spans="1:6" ht="15.75" customHeight="1">
      <c r="A34" s="88"/>
      <c r="B34" s="88"/>
      <c r="C34" s="88"/>
      <c r="D34" s="88"/>
      <c r="E34" s="88"/>
      <c r="F34" s="88"/>
    </row>
    <row r="35" spans="1:6" s="212" customFormat="1" ht="15.75" customHeight="1">
      <c r="A35" s="88"/>
      <c r="B35" s="88"/>
      <c r="C35" s="88"/>
      <c r="D35" s="88"/>
      <c r="E35" s="88"/>
      <c r="F35" s="88"/>
    </row>
    <row r="36" spans="1:6" ht="18.75" customHeight="1">
      <c r="A36" s="88"/>
      <c r="B36" s="88"/>
      <c r="C36" s="88"/>
      <c r="D36" s="88"/>
      <c r="E36" s="88"/>
      <c r="F36" s="88"/>
    </row>
    <row r="37" spans="1:6" ht="15" customHeight="1">
      <c r="A37" s="88"/>
      <c r="B37" s="88"/>
      <c r="C37" s="88"/>
      <c r="D37" s="88"/>
      <c r="E37" s="88"/>
      <c r="F37" s="88"/>
    </row>
    <row r="38" spans="1:6" ht="15" customHeight="1">
      <c r="A38" s="88"/>
      <c r="B38" s="88"/>
      <c r="C38" s="88"/>
      <c r="D38" s="88"/>
      <c r="E38" s="88"/>
      <c r="F38" s="88"/>
    </row>
    <row r="39" spans="1:6" ht="15" customHeight="1">
      <c r="A39" s="88"/>
      <c r="B39" s="88"/>
      <c r="C39" s="88"/>
      <c r="D39" s="88"/>
      <c r="E39" s="88"/>
      <c r="F39" s="88"/>
    </row>
    <row r="40" spans="1:6" ht="15" customHeight="1">
      <c r="A40" s="88"/>
      <c r="B40" s="88"/>
      <c r="C40" s="88"/>
      <c r="D40" s="88"/>
      <c r="E40" s="88"/>
      <c r="F40" s="88"/>
    </row>
    <row r="41" spans="1:6" ht="15" customHeight="1">
      <c r="A41" s="88"/>
      <c r="B41" s="88"/>
      <c r="C41" s="88"/>
      <c r="D41" s="88"/>
      <c r="E41" s="88"/>
      <c r="F41" s="88"/>
    </row>
    <row r="42" spans="1:6" ht="15" customHeight="1">
      <c r="A42" s="88"/>
      <c r="B42" s="88"/>
      <c r="C42" s="88"/>
      <c r="D42" s="88"/>
      <c r="E42" s="88"/>
      <c r="F42" s="88"/>
    </row>
    <row r="43" spans="1:6" ht="15" customHeight="1">
      <c r="A43" s="88"/>
      <c r="B43" s="88"/>
      <c r="C43" s="88"/>
      <c r="D43" s="88"/>
      <c r="E43" s="88"/>
      <c r="F43" s="88"/>
    </row>
    <row r="44" spans="1:6" ht="15" customHeight="1">
      <c r="A44" s="88"/>
      <c r="B44" s="88"/>
      <c r="C44" s="88"/>
      <c r="D44" s="88"/>
      <c r="E44" s="88"/>
      <c r="F44" s="88"/>
    </row>
    <row r="45" spans="1:6" ht="15" customHeight="1">
      <c r="A45" s="88"/>
      <c r="B45" s="88"/>
      <c r="C45" s="88"/>
      <c r="D45" s="88"/>
      <c r="E45" s="88"/>
      <c r="F45" s="88"/>
    </row>
    <row r="46" spans="1:6" ht="15" customHeight="1">
      <c r="A46" s="88"/>
      <c r="B46" s="88"/>
      <c r="C46" s="88"/>
      <c r="D46" s="88"/>
      <c r="E46" s="88"/>
      <c r="F46" s="88"/>
    </row>
    <row r="47" spans="1:6" ht="15" customHeight="1">
      <c r="A47" s="88"/>
      <c r="B47" s="88"/>
      <c r="C47" s="88"/>
      <c r="D47" s="88"/>
      <c r="E47" s="88"/>
      <c r="F47" s="88"/>
    </row>
    <row r="48" spans="1:6" ht="15" customHeight="1">
      <c r="A48" s="88"/>
      <c r="B48" s="88"/>
      <c r="C48" s="88"/>
      <c r="D48" s="88"/>
      <c r="E48" s="88"/>
      <c r="F48" s="88"/>
    </row>
    <row r="49" spans="1:6" ht="15" customHeight="1">
      <c r="A49" s="88"/>
      <c r="B49" s="88"/>
      <c r="C49" s="88"/>
      <c r="D49" s="88"/>
      <c r="E49" s="88"/>
      <c r="F49" s="88"/>
    </row>
    <row r="50" spans="1:6" ht="15" customHeight="1">
      <c r="A50" s="88"/>
      <c r="B50" s="88"/>
      <c r="C50" s="88"/>
      <c r="D50" s="88"/>
      <c r="E50" s="88"/>
      <c r="F50" s="88"/>
    </row>
  </sheetData>
  <sheetProtection/>
  <mergeCells count="2">
    <mergeCell ref="A3:E3"/>
    <mergeCell ref="C6:F6"/>
  </mergeCells>
  <printOptions/>
  <pageMargins left="0.5" right="0.5" top="0.5" bottom="0.5" header="0" footer="0.5"/>
  <pageSetup blackAndWhite="1" fitToHeight="1" fitToWidth="1" horizontalDpi="600" verticalDpi="600" orientation="portrait" scale="93"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6">
      <selection activeCell="G25" sqref="G25"/>
    </sheetView>
  </sheetViews>
  <sheetFormatPr defaultColWidth="8.796875" defaultRowHeight="15"/>
  <cols>
    <col min="1" max="2" width="17.796875" style="88" customWidth="1"/>
    <col min="3" max="6" width="12.796875" style="88" customWidth="1"/>
    <col min="7" max="16384" width="8.8984375" style="88" customWidth="1"/>
  </cols>
  <sheetData>
    <row r="1" spans="1:6" ht="15.75">
      <c r="A1" s="186" t="str">
        <f>inputPrYr!D3</f>
        <v>City of Vining</v>
      </c>
      <c r="B1" s="28"/>
      <c r="C1" s="28"/>
      <c r="D1" s="28"/>
      <c r="E1" s="28"/>
      <c r="F1" s="28">
        <f>inputPrYr!C10</f>
        <v>2012</v>
      </c>
    </row>
    <row r="2" spans="1:6" ht="15.75">
      <c r="A2" s="28"/>
      <c r="B2" s="28"/>
      <c r="C2" s="28"/>
      <c r="D2" s="28"/>
      <c r="E2" s="28"/>
      <c r="F2" s="28"/>
    </row>
    <row r="3" spans="1:6" ht="15.75">
      <c r="A3" s="28"/>
      <c r="B3" s="28"/>
      <c r="C3" s="28"/>
      <c r="D3" s="28"/>
      <c r="E3" s="28"/>
      <c r="F3" s="28"/>
    </row>
    <row r="4" spans="1:6" ht="15.75">
      <c r="A4" s="661" t="s">
        <v>167</v>
      </c>
      <c r="B4" s="661"/>
      <c r="C4" s="661"/>
      <c r="D4" s="661"/>
      <c r="E4" s="661"/>
      <c r="F4" s="661"/>
    </row>
    <row r="5" spans="1:6" ht="15.75">
      <c r="A5" s="213"/>
      <c r="B5" s="213"/>
      <c r="C5" s="213"/>
      <c r="D5" s="213"/>
      <c r="E5" s="213"/>
      <c r="F5" s="213"/>
    </row>
    <row r="6" spans="1:6" ht="15.75">
      <c r="A6" s="214" t="s">
        <v>672</v>
      </c>
      <c r="B6" s="214" t="s">
        <v>673</v>
      </c>
      <c r="C6" s="214" t="s">
        <v>64</v>
      </c>
      <c r="D6" s="214" t="s">
        <v>185</v>
      </c>
      <c r="E6" s="214" t="s">
        <v>186</v>
      </c>
      <c r="F6" s="214" t="s">
        <v>200</v>
      </c>
    </row>
    <row r="7" spans="1:6" ht="15.75">
      <c r="A7" s="215" t="s">
        <v>674</v>
      </c>
      <c r="B7" s="215" t="s">
        <v>675</v>
      </c>
      <c r="C7" s="215" t="s">
        <v>199</v>
      </c>
      <c r="D7" s="215" t="s">
        <v>199</v>
      </c>
      <c r="E7" s="215" t="s">
        <v>199</v>
      </c>
      <c r="F7" s="215" t="s">
        <v>187</v>
      </c>
    </row>
    <row r="8" spans="1:6" ht="15.75">
      <c r="A8" s="216" t="s">
        <v>197</v>
      </c>
      <c r="B8" s="216" t="s">
        <v>198</v>
      </c>
      <c r="C8" s="217">
        <f>F1-2</f>
        <v>2010</v>
      </c>
      <c r="D8" s="217">
        <f>F1-1</f>
        <v>2011</v>
      </c>
      <c r="E8" s="217">
        <f>F1</f>
        <v>2012</v>
      </c>
      <c r="F8" s="216" t="s">
        <v>188</v>
      </c>
    </row>
    <row r="9" spans="1:6" ht="15.75">
      <c r="A9" s="218" t="s">
        <v>18</v>
      </c>
      <c r="B9" s="218" t="s">
        <v>854</v>
      </c>
      <c r="C9" s="562">
        <v>2000</v>
      </c>
      <c r="D9" s="562">
        <v>6000</v>
      </c>
      <c r="E9" s="562">
        <v>6000</v>
      </c>
      <c r="F9" s="218" t="s">
        <v>871</v>
      </c>
    </row>
    <row r="10" spans="1:6" ht="15.75">
      <c r="A10" s="219"/>
      <c r="B10" s="219"/>
      <c r="C10" s="561"/>
      <c r="D10" s="561"/>
      <c r="E10" s="561"/>
      <c r="F10" s="218"/>
    </row>
    <row r="11" spans="1:6" ht="15.75">
      <c r="A11" s="219"/>
      <c r="B11" s="219"/>
      <c r="C11" s="561"/>
      <c r="D11" s="561"/>
      <c r="E11" s="561"/>
      <c r="F11" s="218"/>
    </row>
    <row r="12" spans="1:6" ht="15.75">
      <c r="A12" s="219"/>
      <c r="B12" s="219"/>
      <c r="C12" s="561"/>
      <c r="D12" s="561"/>
      <c r="E12" s="561"/>
      <c r="F12" s="218"/>
    </row>
    <row r="13" spans="1:6" ht="15.75">
      <c r="A13" s="219"/>
      <c r="B13" s="219"/>
      <c r="C13" s="561"/>
      <c r="D13" s="561"/>
      <c r="E13" s="561"/>
      <c r="F13" s="218"/>
    </row>
    <row r="14" spans="1:6" ht="15.75">
      <c r="A14" s="219"/>
      <c r="B14" s="219"/>
      <c r="C14" s="561"/>
      <c r="D14" s="561"/>
      <c r="E14" s="561"/>
      <c r="F14" s="218"/>
    </row>
    <row r="15" spans="1:6" ht="15.75">
      <c r="A15" s="219"/>
      <c r="B15" s="219"/>
      <c r="C15" s="561"/>
      <c r="D15" s="561"/>
      <c r="E15" s="561"/>
      <c r="F15" s="218"/>
    </row>
    <row r="16" spans="1:6" ht="15.75">
      <c r="A16" s="219"/>
      <c r="B16" s="219"/>
      <c r="C16" s="561"/>
      <c r="D16" s="561"/>
      <c r="E16" s="561"/>
      <c r="F16" s="218"/>
    </row>
    <row r="17" spans="1:6" ht="15.75">
      <c r="A17" s="219"/>
      <c r="B17" s="219"/>
      <c r="C17" s="561"/>
      <c r="D17" s="561"/>
      <c r="E17" s="561"/>
      <c r="F17" s="218"/>
    </row>
    <row r="18" spans="1:6" ht="15.75">
      <c r="A18" s="219"/>
      <c r="B18" s="219"/>
      <c r="C18" s="561"/>
      <c r="D18" s="561"/>
      <c r="E18" s="561"/>
      <c r="F18" s="218"/>
    </row>
    <row r="19" spans="1:6" ht="15.75">
      <c r="A19" s="219"/>
      <c r="B19" s="219"/>
      <c r="C19" s="561"/>
      <c r="D19" s="561"/>
      <c r="E19" s="561"/>
      <c r="F19" s="218"/>
    </row>
    <row r="20" spans="1:6" ht="15.75">
      <c r="A20" s="219"/>
      <c r="B20" s="219"/>
      <c r="C20" s="561"/>
      <c r="D20" s="561"/>
      <c r="E20" s="561"/>
      <c r="F20" s="218"/>
    </row>
    <row r="21" spans="1:6" ht="15.75">
      <c r="A21" s="219"/>
      <c r="B21" s="219"/>
      <c r="C21" s="561"/>
      <c r="D21" s="561"/>
      <c r="E21" s="561"/>
      <c r="F21" s="218"/>
    </row>
    <row r="22" spans="1:6" ht="15.75">
      <c r="A22" s="219"/>
      <c r="B22" s="219"/>
      <c r="C22" s="561"/>
      <c r="D22" s="561"/>
      <c r="E22" s="561"/>
      <c r="F22" s="218"/>
    </row>
    <row r="23" spans="1:6" ht="15.75">
      <c r="A23" s="183"/>
      <c r="B23" s="220" t="s">
        <v>48</v>
      </c>
      <c r="C23" s="221">
        <f>SUM(C9:C22)</f>
        <v>2000</v>
      </c>
      <c r="D23" s="221">
        <f>SUM(D9:D22)</f>
        <v>6000</v>
      </c>
      <c r="E23" s="221">
        <f>SUM(E9:E22)</f>
        <v>6000</v>
      </c>
      <c r="F23" s="183"/>
    </row>
    <row r="24" spans="1:6" ht="15.75">
      <c r="A24" s="183"/>
      <c r="B24" s="222" t="s">
        <v>677</v>
      </c>
      <c r="C24" s="165"/>
      <c r="D24" s="219"/>
      <c r="E24" s="219"/>
      <c r="F24" s="183"/>
    </row>
    <row r="25" spans="1:6" ht="15.75">
      <c r="A25" s="183"/>
      <c r="B25" s="220" t="s">
        <v>6</v>
      </c>
      <c r="C25" s="221">
        <f>C23</f>
        <v>2000</v>
      </c>
      <c r="D25" s="221">
        <f>SUM(D23-D24)</f>
        <v>6000</v>
      </c>
      <c r="E25" s="221">
        <f>SUM(E23-E24)</f>
        <v>6000</v>
      </c>
      <c r="F25" s="183"/>
    </row>
    <row r="26" spans="1:6" ht="15.75">
      <c r="A26" s="25"/>
      <c r="B26" s="25"/>
      <c r="C26" s="25"/>
      <c r="D26" s="25"/>
      <c r="E26" s="25"/>
      <c r="F26" s="25"/>
    </row>
    <row r="27" spans="1:6" ht="15.75">
      <c r="A27" s="25"/>
      <c r="B27" s="25"/>
      <c r="C27" s="25"/>
      <c r="D27" s="25"/>
      <c r="E27" s="25"/>
      <c r="F27" s="25"/>
    </row>
    <row r="28" spans="1:6" ht="15.75">
      <c r="A28" s="405" t="s">
        <v>676</v>
      </c>
      <c r="B28" s="406" t="str">
        <f>CONCATENATE("Adjustments are required only if the transfer is being made in ",D8," and/or ",E8," from a non-budgeted fund.")</f>
        <v>Adjustments are required only if the transfer is being made in 2011 and/or 2012 from a non-budgeted fund.</v>
      </c>
      <c r="C28" s="25"/>
      <c r="D28" s="25"/>
      <c r="E28" s="25"/>
      <c r="F28" s="25"/>
    </row>
  </sheetData>
  <sheetProtection sheet="1"/>
  <mergeCells count="1">
    <mergeCell ref="A4:F4"/>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49"/>
  <sheetViews>
    <sheetView zoomScalePageLayoutView="0" workbookViewId="0" topLeftCell="A1">
      <selection activeCell="A2" sqref="A2"/>
    </sheetView>
  </sheetViews>
  <sheetFormatPr defaultColWidth="8.796875" defaultRowHeight="15"/>
  <cols>
    <col min="1" max="1" width="70.59765625" style="223" customWidth="1"/>
    <col min="2" max="16384" width="8.8984375" style="223" customWidth="1"/>
  </cols>
  <sheetData>
    <row r="1" ht="18.75">
      <c r="A1" s="224" t="s">
        <v>371</v>
      </c>
    </row>
    <row r="2" ht="15.75">
      <c r="A2" s="225"/>
    </row>
    <row r="3" ht="47.25">
      <c r="A3" s="226" t="s">
        <v>372</v>
      </c>
    </row>
    <row r="4" ht="15.75">
      <c r="A4" s="225"/>
    </row>
    <row r="5" ht="15.75">
      <c r="A5" s="225"/>
    </row>
    <row r="6" ht="63">
      <c r="A6" s="226" t="s">
        <v>373</v>
      </c>
    </row>
    <row r="7" ht="15.75">
      <c r="A7" s="227"/>
    </row>
    <row r="8" ht="15.75">
      <c r="A8" s="225"/>
    </row>
    <row r="9" ht="47.25">
      <c r="A9" s="226" t="s">
        <v>374</v>
      </c>
    </row>
    <row r="10" ht="15.75">
      <c r="A10" s="227"/>
    </row>
    <row r="11" ht="15.75">
      <c r="A11" s="225"/>
    </row>
    <row r="12" ht="47.25">
      <c r="A12" s="226" t="s">
        <v>375</v>
      </c>
    </row>
    <row r="13" ht="15.75">
      <c r="A13" s="227"/>
    </row>
    <row r="14" ht="15.75">
      <c r="A14" s="227"/>
    </row>
    <row r="15" ht="47.25">
      <c r="A15" s="226" t="s">
        <v>376</v>
      </c>
    </row>
    <row r="16" ht="15.75">
      <c r="A16" s="227"/>
    </row>
    <row r="17" ht="15.75">
      <c r="A17" s="227"/>
    </row>
    <row r="18" ht="47.25">
      <c r="A18" s="226" t="s">
        <v>377</v>
      </c>
    </row>
    <row r="19" ht="15.75">
      <c r="A19" s="227"/>
    </row>
    <row r="20" ht="15.75">
      <c r="A20" s="227"/>
    </row>
    <row r="21" ht="31.5">
      <c r="A21" s="226" t="s">
        <v>378</v>
      </c>
    </row>
    <row r="22" ht="15.75">
      <c r="A22" s="225"/>
    </row>
    <row r="23" ht="15.75">
      <c r="A23" s="225"/>
    </row>
    <row r="24" ht="60">
      <c r="A24" s="228" t="s">
        <v>379</v>
      </c>
    </row>
    <row r="25" ht="15">
      <c r="A25" s="229"/>
    </row>
    <row r="26" ht="15">
      <c r="A26" s="229"/>
    </row>
    <row r="27" ht="47.25">
      <c r="A27" s="226" t="s">
        <v>380</v>
      </c>
    </row>
    <row r="28" ht="15.75">
      <c r="A28" s="225"/>
    </row>
    <row r="29" ht="15.75">
      <c r="A29" s="225"/>
    </row>
    <row r="30" ht="63">
      <c r="A30" s="230" t="s">
        <v>381</v>
      </c>
    </row>
    <row r="31" ht="15.75">
      <c r="A31" s="227"/>
    </row>
    <row r="32" ht="15.75">
      <c r="A32" s="225"/>
    </row>
    <row r="33" ht="63">
      <c r="A33" s="226" t="s">
        <v>382</v>
      </c>
    </row>
    <row r="34" ht="15.75">
      <c r="A34" s="227"/>
    </row>
    <row r="35" ht="15.75">
      <c r="A35" s="227"/>
    </row>
    <row r="36" ht="63">
      <c r="A36" s="226" t="s">
        <v>383</v>
      </c>
    </row>
    <row r="37" ht="15.75">
      <c r="A37" s="227"/>
    </row>
    <row r="38" ht="15.75">
      <c r="A38" s="227"/>
    </row>
    <row r="39" ht="63">
      <c r="A39" s="226" t="s">
        <v>384</v>
      </c>
    </row>
    <row r="40" ht="15.75">
      <c r="A40" s="227"/>
    </row>
    <row r="41" ht="15.75">
      <c r="A41" s="227"/>
    </row>
    <row r="42" ht="47.25">
      <c r="A42" s="226" t="s">
        <v>385</v>
      </c>
    </row>
    <row r="43" ht="15.75">
      <c r="A43" s="227"/>
    </row>
    <row r="44" ht="15.75">
      <c r="A44" s="227"/>
    </row>
    <row r="45" ht="47.25">
      <c r="A45" s="226" t="s">
        <v>386</v>
      </c>
    </row>
    <row r="46" ht="15.75">
      <c r="A46" s="227"/>
    </row>
    <row r="47" ht="15.75">
      <c r="A47" s="227"/>
    </row>
    <row r="48" ht="78.75">
      <c r="A48" s="226" t="s">
        <v>387</v>
      </c>
    </row>
    <row r="49" ht="15">
      <c r="A49" s="231"/>
    </row>
  </sheetData>
  <sheetProtection sheet="1" objects="1" scenarios="1"/>
  <printOptions/>
  <pageMargins left="0.7" right="0.7" top="0.75" bottom="0.75" header="0.3" footer="0.3"/>
  <pageSetup horizontalDpi="600" verticalDpi="600" orientation="portrait" r:id="rId1"/>
  <headerFooter>
    <oddFooter>&amp;Lrevised 10/6/09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2011-07-18T15:23:12Z</cp:lastPrinted>
  <dcterms:created xsi:type="dcterms:W3CDTF">1998-12-22T16:13:18Z</dcterms:created>
  <dcterms:modified xsi:type="dcterms:W3CDTF">2011-10-13T21:13:40Z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