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evy page 8" sheetId="14" r:id="rId14"/>
    <sheet name="levy page9" sheetId="15" r:id="rId15"/>
    <sheet name="levy page10" sheetId="16" r:id="rId16"/>
    <sheet name="levy page11" sheetId="17" r:id="rId17"/>
    <sheet name="levy page12" sheetId="18" r:id="rId18"/>
    <sheet name="levy page13" sheetId="19" r:id="rId19"/>
    <sheet name="Sp Hiway" sheetId="20" r:id="rId20"/>
    <sheet name="no levy page15" sheetId="21" r:id="rId21"/>
    <sheet name="no levy page16" sheetId="22" r:id="rId22"/>
    <sheet name="no levy page17" sheetId="23" r:id="rId23"/>
    <sheet name="no levy page18"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'DebtSvs-levy page 8'!$B$1:$E$85</definedName>
    <definedName name="_xlnm.Print_Area" localSheetId="11">'general'!$B$1:$E$110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'summ'!$A$1:$H$51</definedName>
  </definedNames>
  <calcPr fullCalcOnLoad="1"/>
</workbook>
</file>

<file path=xl/sharedStrings.xml><?xml version="1.0" encoding="utf-8"?>
<sst xmlns="http://schemas.openxmlformats.org/spreadsheetml/2006/main" count="2455" uniqueCount="1093">
  <si>
    <t>Transfer to Bond &amp; Int</t>
  </si>
  <si>
    <t>Transfer to Gen Fund</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</si>
  <si>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</si>
  <si>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</si>
  <si>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</si>
  <si>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</si>
  <si>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</si>
  <si>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</si>
  <si>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</si>
  <si>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</si>
  <si>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</si>
  <si>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</si>
  <si>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</si>
  <si>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</si>
  <si>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</si>
  <si>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</si>
  <si>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</si>
  <si>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</si>
  <si>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</si>
  <si>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</si>
  <si>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</si>
  <si>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</si>
  <si>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</si>
  <si>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</si>
  <si>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</si>
  <si>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</si>
  <si>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</si>
  <si>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</si>
  <si>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</si>
  <si>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</si>
  <si>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</si>
  <si>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</si>
  <si>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</si>
  <si>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</si>
  <si>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</si>
  <si>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</si>
  <si>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</si>
  <si>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</si>
  <si>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</si>
  <si>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</si>
  <si>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</si>
  <si>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</si>
  <si>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</si>
  <si>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</si>
  <si>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</si>
  <si>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</si>
  <si>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</si>
  <si>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</si>
  <si>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</si>
  <si>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</si>
  <si>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</si>
  <si>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</si>
  <si>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</si>
  <si>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</si>
  <si>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</si>
  <si>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</si>
  <si>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</si>
  <si>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</si>
  <si>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</si>
  <si>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</si>
  <si>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</si>
  <si>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</si>
  <si>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</si>
  <si>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</si>
  <si>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</si>
  <si>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</si>
  <si>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</si>
  <si>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</si>
  <si>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</si>
  <si>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</si>
  <si>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</si>
  <si>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</si>
  <si>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</si>
  <si>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</si>
  <si>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</si>
  <si>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</si>
  <si>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</si>
  <si>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</si>
  <si>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</si>
  <si>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</si>
  <si>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</si>
  <si>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</si>
  <si>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</si>
  <si>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</si>
  <si>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</si>
  <si>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</si>
  <si>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</si>
  <si>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</si>
  <si>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</si>
  <si>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</si>
  <si>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</si>
  <si>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</si>
  <si>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</si>
  <si>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</si>
  <si>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</si>
  <si>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</si>
  <si>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</si>
  <si>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</si>
  <si>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</si>
  <si>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</si>
  <si>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</si>
  <si>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</si>
  <si>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</si>
  <si>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Transfer In - Storm Water Management Fund 12</t>
  </si>
  <si>
    <t>Transfer In - Water Service Fund 09</t>
  </si>
  <si>
    <t>Reserve for Employee Departures</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</si>
  <si>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</si>
  <si>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</si>
  <si>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</si>
  <si>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</si>
  <si>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</si>
  <si>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</si>
  <si>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</si>
  <si>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</si>
  <si>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</si>
  <si>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</si>
  <si>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</si>
  <si>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</si>
  <si>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</si>
  <si>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</si>
  <si>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</si>
  <si>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</si>
  <si>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</si>
  <si>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</si>
  <si>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</si>
  <si>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</si>
  <si>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</si>
  <si>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</si>
  <si>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</si>
  <si>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</si>
  <si>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</si>
  <si>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</si>
  <si>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</si>
  <si>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</si>
  <si>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</si>
  <si>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</si>
  <si>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</si>
  <si>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</si>
  <si>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</si>
  <si>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</si>
  <si>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</si>
  <si>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</si>
  <si>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</si>
  <si>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</si>
  <si>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</si>
  <si>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</si>
  <si>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</si>
  <si>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</si>
  <si>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</si>
  <si>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</si>
  <si>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</si>
  <si>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</si>
  <si>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</si>
  <si>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</si>
  <si>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</si>
  <si>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</si>
  <si>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</si>
  <si>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</si>
  <si>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</si>
  <si>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</si>
  <si>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</si>
  <si>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</si>
  <si>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</si>
  <si>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</si>
  <si>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</si>
  <si>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</si>
  <si>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</si>
  <si>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</si>
  <si>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</si>
  <si>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</si>
  <si>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</si>
  <si>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</si>
  <si>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</si>
  <si>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City of Paola</t>
  </si>
  <si>
    <t>Miami County</t>
  </si>
  <si>
    <t>General - Fund 01</t>
  </si>
  <si>
    <t>Bond &amp; Interest - Fund 06</t>
  </si>
  <si>
    <t>Library - Fund 02</t>
  </si>
  <si>
    <t>12-1220</t>
  </si>
  <si>
    <t>Employee Benefits - Fund 05</t>
  </si>
  <si>
    <t>12-16,102</t>
  </si>
  <si>
    <t>Special Highway - Fund 17</t>
  </si>
  <si>
    <t>Sewer Service - Fund 04</t>
  </si>
  <si>
    <t>Aquatics Center - Fund 07</t>
  </si>
  <si>
    <t>Community Center - Fund 08</t>
  </si>
  <si>
    <t>Water Utility - Fund 09</t>
  </si>
  <si>
    <t>Stormwater - Fund 12</t>
  </si>
  <si>
    <t>Health &amp; Sanitation - Fund 13</t>
  </si>
  <si>
    <t>Special Parks &amp; Rec - Fund 14</t>
  </si>
  <si>
    <t>Sewer Reserve - Fund 11</t>
  </si>
  <si>
    <t>Transient Guest Tax - Fund 20</t>
  </si>
  <si>
    <t>Water Treatment Plant - Fund 15</t>
  </si>
  <si>
    <t xml:space="preserve">Waste Water TP - Fund 16 </t>
  </si>
  <si>
    <t>Pool Reserve Account</t>
  </si>
  <si>
    <t>Benefit Dist Const Funds</t>
  </si>
  <si>
    <t>Street Construction Funds</t>
  </si>
  <si>
    <t>WWTP Construction Fund</t>
  </si>
  <si>
    <t>Funds Held in Escrow</t>
  </si>
  <si>
    <t>Cemetery Benefit Fund</t>
  </si>
  <si>
    <t>Special Grants</t>
  </si>
  <si>
    <t>Equipment Reserve MERF</t>
  </si>
  <si>
    <t>Capital Improvements CIP</t>
  </si>
  <si>
    <t>Drug Tax Fund</t>
  </si>
  <si>
    <t>6:00 pm</t>
  </si>
  <si>
    <t>Municipal Court Room at the Paola Justice Center Located at 805 N Pearl Street</t>
  </si>
  <si>
    <t>Paola City Hall located at 19 E Peoria Street</t>
  </si>
  <si>
    <t>City Manager</t>
  </si>
  <si>
    <t>August 9, 2011</t>
  </si>
  <si>
    <t>Jay Wieland, City Manager</t>
  </si>
  <si>
    <t xml:space="preserve">19 E Peoria </t>
  </si>
  <si>
    <t>Paola, KS 66071</t>
  </si>
  <si>
    <t>Artie Stuteville, Mayor</t>
  </si>
  <si>
    <t>Jim Pritchard, City Council</t>
  </si>
  <si>
    <t>Gee Gee Wilhoite, City Council</t>
  </si>
  <si>
    <t>Leigh House, City Council</t>
  </si>
  <si>
    <t>Mark Minden, City Council</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</si>
  <si>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</si>
  <si>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</si>
  <si>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</si>
  <si>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</si>
  <si>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</si>
  <si>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</si>
  <si>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</si>
  <si>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</si>
  <si>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</si>
  <si>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</si>
  <si>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</si>
  <si>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</si>
  <si>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</si>
  <si>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</si>
  <si>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</si>
  <si>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</si>
  <si>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</si>
  <si>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</si>
  <si>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</si>
  <si>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</si>
  <si>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</si>
  <si>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</si>
  <si>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</si>
  <si>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</si>
  <si>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</si>
  <si>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</si>
  <si>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</si>
  <si>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</si>
  <si>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</si>
  <si>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</si>
  <si>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</si>
  <si>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</si>
  <si>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</si>
  <si>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</si>
  <si>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</si>
  <si>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</si>
  <si>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</si>
  <si>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</si>
  <si>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</si>
  <si>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</si>
  <si>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</si>
  <si>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</si>
  <si>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</si>
  <si>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</si>
  <si>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</si>
  <si>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</si>
  <si>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</si>
  <si>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</si>
  <si>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</si>
  <si>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</si>
  <si>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</si>
  <si>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</si>
  <si>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</si>
  <si>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</si>
  <si>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</si>
  <si>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</si>
  <si>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</si>
  <si>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</si>
  <si>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</si>
  <si>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</si>
  <si>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</si>
  <si>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</si>
  <si>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</si>
  <si>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</si>
  <si>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</si>
  <si>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</si>
  <si>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</si>
  <si>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</si>
  <si>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</si>
  <si>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</si>
  <si>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</si>
  <si>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</si>
  <si>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</si>
  <si>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</si>
  <si>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</si>
  <si>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</si>
  <si>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</si>
  <si>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</si>
  <si>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</si>
  <si>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</si>
  <si>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</si>
  <si>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</si>
  <si>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</si>
  <si>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</si>
  <si>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</si>
  <si>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</si>
  <si>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</si>
  <si>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</si>
  <si>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</si>
  <si>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</si>
  <si>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</si>
  <si>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</si>
  <si>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</si>
  <si>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</si>
  <si>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</si>
  <si>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</si>
  <si>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</si>
  <si>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</si>
  <si>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</si>
  <si>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</si>
  <si>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</si>
  <si>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</si>
  <si>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</si>
  <si>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</si>
  <si>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</si>
  <si>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</si>
  <si>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</si>
  <si>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</si>
  <si>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</si>
  <si>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</si>
  <si>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</si>
  <si>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</si>
  <si>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</si>
  <si>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</si>
  <si>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</si>
  <si>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</si>
  <si>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</si>
  <si>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</si>
  <si>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</si>
  <si>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Special Event Revenue</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</si>
  <si>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</si>
  <si>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</si>
  <si>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</si>
  <si>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</si>
  <si>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</si>
  <si>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</si>
  <si>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</si>
  <si>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</si>
  <si>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</si>
  <si>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</si>
  <si>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</si>
  <si>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</si>
  <si>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</si>
  <si>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</si>
  <si>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</si>
  <si>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</si>
  <si>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</si>
  <si>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</si>
  <si>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</si>
  <si>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</si>
  <si>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</si>
  <si>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</si>
  <si>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</si>
  <si>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</si>
  <si>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</si>
  <si>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</si>
  <si>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</si>
  <si>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</si>
  <si>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</si>
  <si>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</si>
  <si>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</si>
  <si>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</si>
  <si>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</si>
  <si>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</si>
  <si>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</si>
  <si>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</si>
  <si>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</si>
  <si>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</si>
  <si>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</si>
  <si>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</si>
  <si>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</si>
  <si>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</si>
  <si>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</si>
  <si>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</si>
  <si>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</si>
  <si>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</si>
  <si>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</si>
  <si>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</si>
  <si>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</si>
  <si>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</si>
  <si>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</si>
  <si>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</si>
  <si>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</si>
  <si>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</si>
  <si>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</si>
  <si>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</si>
  <si>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</si>
  <si>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</si>
  <si>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</si>
  <si>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</si>
  <si>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</si>
  <si>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</si>
  <si>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</si>
  <si>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</si>
  <si>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</si>
  <si>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</si>
  <si>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</si>
  <si>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</si>
  <si>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</si>
  <si>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</si>
  <si>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</si>
  <si>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</si>
  <si>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</si>
  <si>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</si>
  <si>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</si>
  <si>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</si>
  <si>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</si>
  <si>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</si>
  <si>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</si>
  <si>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</si>
  <si>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</si>
  <si>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</si>
  <si>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</si>
  <si>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</si>
  <si>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</si>
  <si>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</si>
  <si>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</si>
  <si>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</si>
  <si>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</si>
  <si>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</si>
  <si>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</si>
  <si>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</si>
  <si>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</si>
  <si>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</si>
  <si>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</si>
  <si>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</si>
  <si>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</si>
  <si>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</si>
  <si>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</si>
  <si>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</si>
  <si>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</si>
  <si>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</si>
  <si>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</si>
  <si>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General Fund - Fund 01 (Admin)</t>
  </si>
  <si>
    <t>12-101/Ord #2954</t>
  </si>
  <si>
    <t>Waste Water TP - Fund 16</t>
  </si>
  <si>
    <t>12-825d</t>
  </si>
  <si>
    <t>12-1,118</t>
  </si>
  <si>
    <t>Capital Improvements CIP - Police (NB)</t>
  </si>
  <si>
    <t xml:space="preserve">12-197  </t>
  </si>
  <si>
    <t>Capital Improvements CIP - Fire (NB)</t>
  </si>
  <si>
    <t>Capital Improvements CIP - Com Ctr (NB)</t>
  </si>
  <si>
    <t>Capital Improvements CIP - City Hall (NB)</t>
  </si>
  <si>
    <t>Capital Improvements CIP - Library (NB)</t>
  </si>
  <si>
    <t>Acquatics Center -  Fund 07</t>
  </si>
  <si>
    <t>Storm Water - Fund 12</t>
  </si>
  <si>
    <t>Swimming Pool Reserve (NB)</t>
  </si>
  <si>
    <t>Capital Improvements CIP - CC Roof (NB)</t>
  </si>
  <si>
    <t>Series 2002 Refunding</t>
  </si>
  <si>
    <t>5/1 &amp; 11/1</t>
  </si>
  <si>
    <t>Series 2005a</t>
  </si>
  <si>
    <t>3/1 &amp; 9/1</t>
  </si>
  <si>
    <t>Series 2006a</t>
  </si>
  <si>
    <t>Series 2006b</t>
  </si>
  <si>
    <t>Series 2007</t>
  </si>
  <si>
    <t>Series PBC 2007</t>
  </si>
  <si>
    <t>Series PBC 2008</t>
  </si>
  <si>
    <t>State Revolving Fund</t>
  </si>
  <si>
    <t>Park Land</t>
  </si>
  <si>
    <t>Fire Heavy Rescue Vehicle</t>
  </si>
  <si>
    <t>Public Works Heavy Equipment</t>
  </si>
  <si>
    <t>Kansas Community Fisheries Program</t>
  </si>
  <si>
    <t>Local Alcoholic Liquor Tax</t>
  </si>
  <si>
    <t xml:space="preserve">In Lieu of Taxes </t>
  </si>
  <si>
    <t>City Sales Tax</t>
  </si>
  <si>
    <t>County Sales Tax</t>
  </si>
  <si>
    <t>Intergovernmental</t>
  </si>
  <si>
    <t>Utility Franchise Fees</t>
  </si>
  <si>
    <t>License &amp; Permits</t>
  </si>
  <si>
    <t>Fines &amp; Forfietures</t>
  </si>
  <si>
    <t>Reimbursed Direct Expenses</t>
  </si>
  <si>
    <t>Rentals</t>
  </si>
  <si>
    <t>Cemetery</t>
  </si>
  <si>
    <t>Rural Fire District</t>
  </si>
  <si>
    <t>Donations &amp; Gifts</t>
  </si>
  <si>
    <t>Transfer In from CIP - CC Roof (NB)</t>
  </si>
  <si>
    <t>Grants</t>
  </si>
  <si>
    <t>Sales Tax from direct sales</t>
  </si>
  <si>
    <t>Appropriated Reserve</t>
  </si>
  <si>
    <t>Administration Department 001</t>
  </si>
  <si>
    <t xml:space="preserve">  Transfer to Community Center 08</t>
  </si>
  <si>
    <t xml:space="preserve">  Transfer to Employee Benefits 05</t>
  </si>
  <si>
    <t>Police Department 002</t>
  </si>
  <si>
    <t>Fire Department 003</t>
  </si>
  <si>
    <t xml:space="preserve">  Transfer to CIP /MERF (NB)</t>
  </si>
  <si>
    <t>Municipal Court Department 004</t>
  </si>
  <si>
    <t>Street Department 005</t>
  </si>
  <si>
    <t xml:space="preserve">  Transfer to Bond &amp; Interest 06</t>
  </si>
  <si>
    <t>Parks &amp; Recreation Department 006</t>
  </si>
  <si>
    <t>Cemetery Department 007</t>
  </si>
  <si>
    <t>Community Development Department 009</t>
  </si>
  <si>
    <t>Special Assessments</t>
  </si>
  <si>
    <t>Transfer In - Water Utility Fund 09</t>
  </si>
  <si>
    <t>Transfer In - Storm Water Fund 12</t>
  </si>
  <si>
    <t>Transfer In - Waste Water TP Fund 16</t>
  </si>
  <si>
    <t>Transfer In - General Fund (Street) 01-005</t>
  </si>
  <si>
    <t>Transfer In - CIP - Police Sales Tax (NB)</t>
  </si>
  <si>
    <t>Transfer In - CIP - Community Center Sales Tax (NB)</t>
  </si>
  <si>
    <t>Transfer In - CIP - Fire Dept Sales Tax (NB)</t>
  </si>
  <si>
    <t>Transfer In - CIP - City Hall (NB)</t>
  </si>
  <si>
    <t>Transfer In - CIP - Library (NB)</t>
  </si>
  <si>
    <t>Reimbursements</t>
  </si>
  <si>
    <t>In Lieu of Tax (IRB)</t>
  </si>
  <si>
    <t xml:space="preserve">General Obligation Debt </t>
  </si>
  <si>
    <t>Interest Payments</t>
  </si>
  <si>
    <t>Administrative Expense</t>
  </si>
  <si>
    <t>Appropriated Balance</t>
  </si>
  <si>
    <t>In Lieu of Tax</t>
  </si>
  <si>
    <t>Fines &amp; Fees</t>
  </si>
  <si>
    <t>Reimbursed</t>
  </si>
  <si>
    <t>Personal Services</t>
  </si>
  <si>
    <t>Contractuals</t>
  </si>
  <si>
    <t>Commodities</t>
  </si>
  <si>
    <t>Capital Outlay</t>
  </si>
  <si>
    <t>Transfer to Employee Benefits 05</t>
  </si>
  <si>
    <t>Transfer In - Library Fund 02</t>
  </si>
  <si>
    <t>Transfer In - Sewer Service Fund 04</t>
  </si>
  <si>
    <t>Transfer In - Acquatics Center Fund 07</t>
  </si>
  <si>
    <t>Transfer In - Community Center Fund 08</t>
  </si>
  <si>
    <t>Transfer In - Health &amp; Sanitation Fund 13</t>
  </si>
  <si>
    <t>Transfer In - Waste Water Fund 16</t>
  </si>
  <si>
    <t>Transfer In - General Fund 01 (Administration 001)</t>
  </si>
  <si>
    <t>Transfer In - General Fund 01 (Police Dept 002)</t>
  </si>
  <si>
    <t>Transfer In - General Fund 01 (Municipal Court 004)</t>
  </si>
  <si>
    <t>Transfer In - General Fund 01 (Street Dept 005)</t>
  </si>
  <si>
    <t>Transfer In - General Fund 01 (Park &amp; Recreation 006)</t>
  </si>
  <si>
    <t>Transfer In - General Fund 01 (Cemetery 007)</t>
  </si>
  <si>
    <t>Transfer In - General Fund 01 (Community Dev. 009)</t>
  </si>
  <si>
    <t xml:space="preserve">Health Insurance </t>
  </si>
  <si>
    <t>FICA and Medicare</t>
  </si>
  <si>
    <t>Workers Compensation</t>
  </si>
  <si>
    <t>KPERS/KP&amp;F</t>
  </si>
  <si>
    <t>Unempolyment Compensation</t>
  </si>
  <si>
    <t>Employee Development</t>
  </si>
  <si>
    <t>Section 125 Payments</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</si>
  <si>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</si>
  <si>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</si>
  <si>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</si>
  <si>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</si>
  <si>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</si>
  <si>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</si>
  <si>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</si>
  <si>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</si>
  <si>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</si>
  <si>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</si>
  <si>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</si>
  <si>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</si>
  <si>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</si>
  <si>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</si>
  <si>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</si>
  <si>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</si>
  <si>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</si>
  <si>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</si>
  <si>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</si>
  <si>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</si>
  <si>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</si>
  <si>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</si>
  <si>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</si>
  <si>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</si>
  <si>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</si>
  <si>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Equipment &amp; Supplies</t>
  </si>
  <si>
    <t>Escrow Receipts</t>
  </si>
  <si>
    <t>None</t>
  </si>
  <si>
    <t>Escrow Disbursements</t>
  </si>
  <si>
    <t>Capital Improvmts</t>
  </si>
  <si>
    <t>Transfer to Pool Fund</t>
  </si>
  <si>
    <t>Lease Proceeds</t>
  </si>
  <si>
    <t>Donations</t>
  </si>
  <si>
    <t>Forefitures</t>
  </si>
  <si>
    <t>Bond Proceeds</t>
  </si>
  <si>
    <t>Capital Items</t>
  </si>
  <si>
    <t>Equipment</t>
  </si>
  <si>
    <t>Contractual</t>
  </si>
  <si>
    <t>Donations / Grants</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</si>
  <si>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</si>
  <si>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</si>
  <si>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</si>
  <si>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</si>
  <si>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</si>
  <si>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</si>
  <si>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</si>
  <si>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</si>
  <si>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</si>
  <si>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</si>
  <si>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</si>
  <si>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</si>
  <si>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</si>
  <si>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</si>
  <si>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</si>
  <si>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</si>
  <si>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</si>
  <si>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</si>
  <si>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</si>
  <si>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</si>
  <si>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</si>
  <si>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</si>
  <si>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</si>
  <si>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</si>
  <si>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</si>
  <si>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</si>
  <si>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</si>
  <si>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</si>
  <si>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</si>
  <si>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</si>
  <si>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</si>
  <si>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</si>
  <si>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</si>
  <si>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</si>
  <si>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</si>
  <si>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</si>
  <si>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</si>
  <si>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</si>
  <si>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</si>
  <si>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</si>
  <si>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</si>
  <si>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</si>
  <si>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</si>
  <si>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</si>
  <si>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</si>
  <si>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</si>
  <si>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</si>
  <si>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</si>
  <si>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</si>
  <si>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</si>
  <si>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</si>
  <si>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</si>
  <si>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</si>
  <si>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</si>
  <si>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</si>
  <si>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</si>
  <si>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</si>
  <si>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</si>
  <si>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</si>
  <si>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</si>
  <si>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</si>
  <si>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</si>
  <si>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</si>
  <si>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</si>
  <si>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</si>
  <si>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</si>
  <si>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</si>
  <si>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</si>
  <si>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</si>
  <si>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</si>
  <si>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</si>
  <si>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</si>
  <si>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</si>
  <si>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</si>
  <si>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</si>
  <si>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</si>
  <si>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</si>
  <si>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</si>
  <si>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</si>
  <si>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</si>
  <si>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</si>
  <si>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</si>
  <si>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</si>
  <si>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</si>
  <si>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</si>
  <si>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</si>
  <si>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</si>
  <si>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</si>
  <si>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</si>
  <si>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</si>
  <si>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</si>
  <si>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</si>
  <si>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</si>
  <si>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</si>
  <si>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</si>
  <si>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</si>
  <si>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</si>
  <si>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</si>
  <si>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</si>
  <si>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</si>
  <si>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</si>
  <si>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</si>
  <si>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</si>
  <si>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</si>
  <si>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</si>
  <si>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</si>
  <si>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</si>
  <si>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</si>
  <si>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</si>
  <si>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</si>
  <si>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</si>
  <si>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</si>
  <si>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</si>
  <si>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</si>
  <si>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</si>
  <si>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</si>
  <si>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</si>
  <si>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</si>
  <si>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</si>
  <si>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</si>
  <si>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</si>
  <si>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</si>
  <si>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</si>
  <si>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</si>
  <si>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</si>
  <si>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</si>
  <si>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</si>
  <si>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</si>
  <si>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</si>
  <si>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</si>
  <si>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General Fund 01 (Administration 001)</t>
  </si>
  <si>
    <t>General Fund 01 (Police Dept 002)</t>
  </si>
  <si>
    <t>General Fund 01 (Municipal Court 004)</t>
  </si>
  <si>
    <t>General Fund 01 (Street Dept 005)</t>
  </si>
  <si>
    <t>General Fund 01 (Park &amp; Recreation 006)</t>
  </si>
  <si>
    <t>General Fund 01 (Cemetery 007)</t>
  </si>
  <si>
    <t>General Fund 01 (Community Dev. 009)</t>
  </si>
  <si>
    <t>Contractual Services</t>
  </si>
  <si>
    <t>Comodities</t>
  </si>
  <si>
    <t>Transfer to MERF/CIP</t>
  </si>
  <si>
    <t>Sewer Use Charges</t>
  </si>
  <si>
    <t>Inspection Charges</t>
  </si>
  <si>
    <t>Connect/Disconnect Fees</t>
  </si>
  <si>
    <t>Transfer to Sewer Reserve Fund 11</t>
  </si>
  <si>
    <t>Transfer to CIP/MERF (NB)</t>
  </si>
  <si>
    <t>Transfer to Employee Benefits Fund 05</t>
  </si>
  <si>
    <t>Season Passes</t>
  </si>
  <si>
    <t>Gate Receipts</t>
  </si>
  <si>
    <t>Coupon Books</t>
  </si>
  <si>
    <t>Concessions</t>
  </si>
  <si>
    <t>Lessons</t>
  </si>
  <si>
    <t>Sales Tax</t>
  </si>
  <si>
    <t>Transfer in From Pool Reserve Fund (NB)</t>
  </si>
  <si>
    <t>Refunds</t>
  </si>
  <si>
    <t>Summer Program Revenue</t>
  </si>
  <si>
    <t>Programs, Events, Ticket Sales</t>
  </si>
  <si>
    <t>Memberships</t>
  </si>
  <si>
    <t>Transfer In from General Fund 01 (Admin)</t>
  </si>
  <si>
    <t>Summer Program Expense</t>
  </si>
  <si>
    <t>Water Sales</t>
  </si>
  <si>
    <t>Water for Resale</t>
  </si>
  <si>
    <t>Tank Sales</t>
  </si>
  <si>
    <t>Install Charges</t>
  </si>
  <si>
    <t>Transfer In from Water Treatment Plant Fund 15</t>
  </si>
  <si>
    <t>Transfer to Bond &amp; Interest Fund 06</t>
  </si>
  <si>
    <t>Storm Water Fees</t>
  </si>
  <si>
    <t>Transfer In from Sewer Service Fund 04</t>
  </si>
  <si>
    <t>Collection Fees</t>
  </si>
  <si>
    <t>Haulers Permits</t>
  </si>
  <si>
    <t>Local Alcoholic Liquor</t>
  </si>
  <si>
    <t>Transfer to Capital Improvement CIP</t>
  </si>
  <si>
    <t>Water Service Charges</t>
  </si>
  <si>
    <t>Transfer In from Water Depreciation Fund 10</t>
  </si>
  <si>
    <t>Transfer to Water Utility Fund 09</t>
  </si>
  <si>
    <t>Connection Charges</t>
  </si>
  <si>
    <t>Sewer Service Billing</t>
  </si>
  <si>
    <t>State Revolving Loan Fund Payment</t>
  </si>
  <si>
    <t>Transfer to Sewer Service Fund 04</t>
  </si>
  <si>
    <t xml:space="preserve">Transient Guest Tax - Fund 20 </t>
  </si>
  <si>
    <t>Bond &amp; Interest - Fund 6 (Debt Service)</t>
  </si>
  <si>
    <t>Transient Guest Tax</t>
  </si>
  <si>
    <t>Economic Development - Chamber of Commerce</t>
  </si>
  <si>
    <t>Promotional Campaigns</t>
  </si>
  <si>
    <t>Other Contractuals</t>
  </si>
  <si>
    <t>Reimbursed Expense</t>
  </si>
  <si>
    <t>2010 Dodge Charger Police Cars</t>
  </si>
  <si>
    <t>2007 Elgin Street Sweeper</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</si>
  <si>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</si>
  <si>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</si>
  <si>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</si>
  <si>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</si>
  <si>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</si>
  <si>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</si>
  <si>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</si>
  <si>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</si>
  <si>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</si>
  <si>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</si>
  <si>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</si>
  <si>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</si>
  <si>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</si>
  <si>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</si>
  <si>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</si>
  <si>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</si>
  <si>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</si>
  <si>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</si>
  <si>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</si>
  <si>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</si>
  <si>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</si>
  <si>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</si>
  <si>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</si>
  <si>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</si>
  <si>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</si>
  <si>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</si>
  <si>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</si>
  <si>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</si>
  <si>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</si>
  <si>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</si>
  <si>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</si>
  <si>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</si>
  <si>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</si>
  <si>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</si>
  <si>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</si>
  <si>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</si>
  <si>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</si>
  <si>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</si>
  <si>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</si>
  <si>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</si>
  <si>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</si>
  <si>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</si>
  <si>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</si>
  <si>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</si>
  <si>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</si>
  <si>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</si>
  <si>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</si>
  <si>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</si>
  <si>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</si>
  <si>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</si>
  <si>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</si>
  <si>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</si>
  <si>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</si>
  <si>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</si>
  <si>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</si>
  <si>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</si>
  <si>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</si>
  <si>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</si>
  <si>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</si>
  <si>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</si>
  <si>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</si>
  <si>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</si>
  <si>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</si>
  <si>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</si>
  <si>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</si>
  <si>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</si>
  <si>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</si>
  <si>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</si>
  <si>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</si>
  <si>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</si>
  <si>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</si>
  <si>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</si>
  <si>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</si>
  <si>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</si>
  <si>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</si>
  <si>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</si>
  <si>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</si>
  <si>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</si>
  <si>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</si>
  <si>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</si>
  <si>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</si>
  <si>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</si>
  <si>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</si>
  <si>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</si>
  <si>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</si>
  <si>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</si>
  <si>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</si>
  <si>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</si>
  <si>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</si>
  <si>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</si>
  <si>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</si>
  <si>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</si>
  <si>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</si>
  <si>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</si>
  <si>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</si>
  <si>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</si>
  <si>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</si>
  <si>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</si>
  <si>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</si>
  <si>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</si>
  <si>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</si>
  <si>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</si>
  <si>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</si>
  <si>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</si>
  <si>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</si>
  <si>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</si>
  <si>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</si>
  <si>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</si>
  <si>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</si>
  <si>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</si>
  <si>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</si>
  <si>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</si>
  <si>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</si>
  <si>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</si>
  <si>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</si>
  <si>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</si>
  <si>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</si>
  <si>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</si>
  <si>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</si>
  <si>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</si>
  <si>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</si>
  <si>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</si>
  <si>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</si>
  <si>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</si>
  <si>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</si>
  <si>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</si>
  <si>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</si>
  <si>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</si>
  <si>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</si>
  <si>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</si>
  <si>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</si>
  <si>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</si>
  <si>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</si>
  <si>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</si>
  <si>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</si>
  <si>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</si>
  <si>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</si>
  <si>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</si>
  <si>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</si>
  <si>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</si>
  <si>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</si>
  <si>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</si>
  <si>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</si>
  <si>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</si>
  <si>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</si>
  <si>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</si>
  <si>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</si>
  <si>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</si>
  <si>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</si>
  <si>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</si>
  <si>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</si>
  <si>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</si>
  <si>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</si>
  <si>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</si>
  <si>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</si>
  <si>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</si>
  <si>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</si>
  <si>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</si>
  <si>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</si>
  <si>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</si>
  <si>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</si>
  <si>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</si>
  <si>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</si>
  <si>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</si>
  <si>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</si>
  <si>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</si>
  <si>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</si>
  <si>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</si>
  <si>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</si>
  <si>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</si>
  <si>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</si>
  <si>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</si>
  <si>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</si>
  <si>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</si>
  <si>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</si>
  <si>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</si>
  <si>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</si>
  <si>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</si>
  <si>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</si>
  <si>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</si>
  <si>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</si>
  <si>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</si>
  <si>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</si>
  <si>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</si>
  <si>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</si>
  <si>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</si>
  <si>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</si>
  <si>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</si>
  <si>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</si>
  <si>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</si>
  <si>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</si>
  <si>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</si>
  <si>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</si>
  <si>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</si>
  <si>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</si>
  <si>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</si>
  <si>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</si>
  <si>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</si>
  <si>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</si>
  <si>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</si>
  <si>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</si>
  <si>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</si>
  <si>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</si>
  <si>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</si>
  <si>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</si>
  <si>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</si>
  <si>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</si>
  <si>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</si>
  <si>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</si>
  <si>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</si>
  <si>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</si>
  <si>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</si>
  <si>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</si>
  <si>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</si>
  <si>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</si>
  <si>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</si>
  <si>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</si>
  <si>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</si>
  <si>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</si>
  <si>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</si>
  <si>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</si>
  <si>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</si>
  <si>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</si>
  <si>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</si>
  <si>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</si>
  <si>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</si>
  <si>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</si>
  <si>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</si>
  <si>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</si>
  <si>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</si>
  <si>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</si>
  <si>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</si>
  <si>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</si>
  <si>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</si>
  <si>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</si>
  <si>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</si>
  <si>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</si>
  <si>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</si>
  <si>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</si>
  <si>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</si>
  <si>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</si>
  <si>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</si>
  <si>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</si>
  <si>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</si>
  <si>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</si>
  <si>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</si>
  <si>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</si>
  <si>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</si>
  <si>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</si>
  <si>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</si>
  <si>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</si>
  <si>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</si>
  <si>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</si>
  <si>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</si>
  <si>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</si>
  <si>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</si>
  <si>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</si>
  <si>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</si>
  <si>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</si>
  <si>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</si>
  <si>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</si>
  <si>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</si>
  <si>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</si>
  <si>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</si>
  <si>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</si>
  <si>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</si>
  <si>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</si>
  <si>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</si>
  <si>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</si>
  <si>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</si>
  <si>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</si>
  <si>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</si>
  <si>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</si>
  <si>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</si>
  <si>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</si>
  <si>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</si>
  <si>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</si>
  <si>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</si>
  <si>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</si>
  <si>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</si>
  <si>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</si>
  <si>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</si>
  <si>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</si>
  <si>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</si>
  <si>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</si>
  <si>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</si>
  <si>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</si>
  <si>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</si>
  <si>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</si>
  <si>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</si>
  <si>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</si>
  <si>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</si>
  <si>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</si>
  <si>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</si>
  <si>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</si>
  <si>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</si>
  <si>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</si>
  <si>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</si>
  <si>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</si>
  <si>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</si>
  <si>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</si>
  <si>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</si>
  <si>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</si>
  <si>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</si>
  <si>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</si>
  <si>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</si>
  <si>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</si>
  <si>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</si>
  <si>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</si>
  <si>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</si>
  <si>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</si>
  <si>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</si>
  <si>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</si>
  <si>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</si>
  <si>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</si>
  <si>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</si>
  <si>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</si>
  <si>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</si>
  <si>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</si>
  <si>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</si>
  <si>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</si>
  <si>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</si>
  <si>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</si>
  <si>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Transfer to Employee Fenefits Fund 05</t>
  </si>
  <si>
    <t>PAYT Sticker Sales</t>
  </si>
  <si>
    <t>KS Setoff Reimbursement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</si>
</sst>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s>
  <fonts count="6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u val="single"/>
      <sz val="12"/>
      <color indexed="10"/>
      <name val="Times New Roman"/>
      <family val="1"/>
    </font>
    <font>
      <sz val="11"/>
      <color indexed="8"/>
      <name val="Cambria"/>
      <family val="1"/>
    </font>
    <font>
      <sz val="10"/>
      <color indexed="10"/>
      <name val="Times New Roman"/>
      <family val="1"/>
    </font>
    <font>
      <sz val="10"/>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style="thin"/>
    </border>
  </borders>
  <cellStyleXfs count="3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92">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18" borderId="10" xfId="0" applyFont="1" applyFill="1" applyBorder="1" applyAlignment="1" applyProtection="1">
      <alignment/>
      <protection locked="0"/>
    </xf>
    <xf numFmtId="0" fontId="5" fillId="4" borderId="11" xfId="0" applyFont="1" applyFill="1" applyBorder="1" applyAlignment="1" applyProtection="1">
      <alignment/>
      <protection/>
    </xf>
    <xf numFmtId="0" fontId="5" fillId="4" borderId="0" xfId="0" applyFont="1" applyFill="1" applyAlignment="1" applyProtection="1">
      <alignment/>
      <protection/>
    </xf>
    <xf numFmtId="0" fontId="5" fillId="4" borderId="0" xfId="0" applyFont="1" applyFill="1" applyAlignment="1" applyProtection="1">
      <alignment horizontal="right"/>
      <protection/>
    </xf>
    <xf numFmtId="37" fontId="5" fillId="4" borderId="0" xfId="0" applyNumberFormat="1" applyFont="1" applyFill="1" applyAlignment="1" applyProtection="1">
      <alignment horizontal="right"/>
      <protection/>
    </xf>
    <xf numFmtId="0" fontId="5" fillId="4" borderId="0" xfId="0" applyFont="1" applyFill="1" applyAlignment="1" applyProtection="1">
      <alignment horizontal="centerContinuous"/>
      <protection/>
    </xf>
    <xf numFmtId="0" fontId="5" fillId="4" borderId="12" xfId="0" applyFont="1" applyFill="1" applyBorder="1" applyAlignment="1" applyProtection="1">
      <alignment/>
      <protection/>
    </xf>
    <xf numFmtId="37" fontId="5" fillId="4" borderId="0" xfId="0" applyNumberFormat="1" applyFont="1" applyFill="1" applyAlignment="1" applyProtection="1">
      <alignment/>
      <protection/>
    </xf>
    <xf numFmtId="0" fontId="4" fillId="4" borderId="0" xfId="349" applyFont="1" applyFill="1" applyAlignment="1" applyProtection="1">
      <alignment horizontal="centerContinuous"/>
      <protection/>
    </xf>
    <xf numFmtId="0" fontId="5" fillId="4" borderId="12" xfId="0"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4" xfId="0" applyFont="1" applyFill="1" applyBorder="1" applyAlignment="1" applyProtection="1">
      <alignment horizontal="center"/>
      <protection/>
    </xf>
    <xf numFmtId="14" fontId="5" fillId="4" borderId="14" xfId="0" applyNumberFormat="1" applyFont="1" applyFill="1" applyBorder="1" applyAlignment="1" applyProtection="1" quotePrefix="1">
      <alignment horizontal="center"/>
      <protection/>
    </xf>
    <xf numFmtId="0" fontId="5" fillId="4" borderId="11" xfId="0" applyFont="1" applyFill="1" applyBorder="1" applyAlignment="1" applyProtection="1">
      <alignment horizontal="fill"/>
      <protection/>
    </xf>
    <xf numFmtId="0" fontId="5" fillId="4" borderId="11" xfId="0" applyFont="1" applyFill="1" applyBorder="1" applyAlignment="1" applyProtection="1">
      <alignment horizontal="left"/>
      <protection/>
    </xf>
    <xf numFmtId="0" fontId="4" fillId="4" borderId="0" xfId="0" applyFont="1" applyFill="1" applyAlignment="1" applyProtection="1">
      <alignment horizontal="left"/>
      <protection/>
    </xf>
    <xf numFmtId="0" fontId="8" fillId="4" borderId="14" xfId="0" applyFont="1" applyFill="1" applyBorder="1" applyAlignment="1" applyProtection="1">
      <alignment horizontal="center"/>
      <protection/>
    </xf>
    <xf numFmtId="0" fontId="5" fillId="4" borderId="0" xfId="0" applyFont="1" applyFill="1" applyAlignment="1" applyProtection="1">
      <alignment horizontal="center"/>
      <protection/>
    </xf>
    <xf numFmtId="0" fontId="5" fillId="4" borderId="0" xfId="0" applyNumberFormat="1" applyFont="1" applyFill="1" applyAlignment="1" applyProtection="1">
      <alignment horizontal="right"/>
      <protection/>
    </xf>
    <xf numFmtId="2" fontId="5" fillId="18" borderId="10" xfId="0" applyNumberFormat="1" applyFont="1" applyFill="1" applyBorder="1" applyAlignment="1" applyProtection="1">
      <alignment horizontal="center"/>
      <protection locked="0"/>
    </xf>
    <xf numFmtId="3" fontId="5" fillId="18" borderId="10" xfId="0" applyNumberFormat="1" applyFont="1" applyFill="1" applyBorder="1" applyAlignment="1" applyProtection="1">
      <alignment horizontal="center"/>
      <protection locked="0"/>
    </xf>
    <xf numFmtId="1" fontId="5" fillId="18"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7" borderId="15" xfId="0" applyNumberFormat="1" applyFont="1" applyFill="1" applyBorder="1" applyAlignment="1" applyProtection="1">
      <alignment horizontal="center"/>
      <protection/>
    </xf>
    <xf numFmtId="14" fontId="5" fillId="18" borderId="10" xfId="0" applyNumberFormat="1" applyFont="1" applyFill="1" applyBorder="1" applyAlignment="1" applyProtection="1">
      <alignment horizontal="center"/>
      <protection locked="0"/>
    </xf>
    <xf numFmtId="0" fontId="5" fillId="14" borderId="0" xfId="348" applyFont="1" applyFill="1" applyProtection="1">
      <alignment/>
      <protection/>
    </xf>
    <xf numFmtId="0" fontId="5" fillId="1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18" borderId="0" xfId="0" applyFont="1" applyFill="1" applyAlignment="1">
      <alignment vertical="center"/>
    </xf>
    <xf numFmtId="0" fontId="5" fillId="0" borderId="0" xfId="0" applyFont="1" applyFill="1" applyAlignment="1">
      <alignment vertical="center"/>
    </xf>
    <xf numFmtId="0" fontId="5" fillId="4" borderId="0" xfId="0" applyFont="1" applyFill="1" applyAlignment="1">
      <alignment vertical="center" wrapText="1"/>
    </xf>
    <xf numFmtId="0" fontId="5" fillId="0" borderId="0" xfId="0" applyFont="1" applyFill="1" applyAlignment="1">
      <alignment vertical="center" wrapText="1"/>
    </xf>
    <xf numFmtId="0" fontId="5" fillId="19" borderId="0" xfId="0" applyFont="1" applyFill="1" applyAlignment="1">
      <alignment vertical="center" wrapText="1"/>
    </xf>
    <xf numFmtId="0" fontId="5" fillId="1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18" borderId="16" xfId="0" applyNumberFormat="1" applyFont="1" applyFill="1" applyBorder="1" applyAlignment="1" applyProtection="1">
      <alignment horizontal="left" vertical="center"/>
      <protection locked="0"/>
    </xf>
    <xf numFmtId="0" fontId="5" fillId="18" borderId="16"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Border="1" applyAlignment="1" applyProtection="1">
      <alignment horizontal="left" vertical="center"/>
      <protection locked="0"/>
    </xf>
    <xf numFmtId="0" fontId="4" fillId="18" borderId="10"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4" fillId="20" borderId="0" xfId="0" applyFont="1" applyFill="1" applyAlignment="1" applyProtection="1">
      <alignment vertical="center"/>
      <protection/>
    </xf>
    <xf numFmtId="0" fontId="5" fillId="20" borderId="0" xfId="0" applyFont="1" applyFill="1" applyAlignment="1" applyProtection="1">
      <alignment vertical="center"/>
      <protection/>
    </xf>
    <xf numFmtId="37" fontId="4" fillId="21" borderId="0" xfId="0" applyNumberFormat="1" applyFont="1" applyFill="1" applyAlignment="1" applyProtection="1">
      <alignment horizontal="left" vertical="center"/>
      <protection/>
    </xf>
    <xf numFmtId="0" fontId="5" fillId="21" borderId="0" xfId="0" applyFont="1" applyFill="1" applyAlignment="1" applyProtection="1">
      <alignment vertical="center"/>
      <protection/>
    </xf>
    <xf numFmtId="0" fontId="5" fillId="19" borderId="12"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center" vertical="center"/>
      <protection/>
    </xf>
    <xf numFmtId="37" fontId="5" fillId="19" borderId="14" xfId="0" applyNumberFormat="1" applyFont="1" applyFill="1" applyBorder="1" applyAlignment="1" applyProtection="1">
      <alignment horizontal="center" vertical="center"/>
      <protection/>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18" borderId="14" xfId="0" applyNumberFormat="1"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0" fillId="4" borderId="0" xfId="0" applyFill="1" applyAlignment="1">
      <alignment vertical="center"/>
    </xf>
    <xf numFmtId="0" fontId="5" fillId="18" borderId="10" xfId="0" applyFont="1" applyFill="1" applyBorder="1" applyAlignment="1" applyProtection="1">
      <alignment vertical="center"/>
      <protection locked="0"/>
    </xf>
    <xf numFmtId="37" fontId="5" fillId="4" borderId="11" xfId="0" applyNumberFormat="1" applyFont="1" applyFill="1" applyBorder="1" applyAlignment="1" applyProtection="1">
      <alignment horizontal="left" vertical="center"/>
      <protection/>
    </xf>
    <xf numFmtId="0" fontId="5" fillId="4" borderId="11" xfId="0" applyFont="1" applyFill="1" applyBorder="1" applyAlignment="1" applyProtection="1">
      <alignment vertical="center"/>
      <protection/>
    </xf>
    <xf numFmtId="0" fontId="5" fillId="4" borderId="16" xfId="0" applyFont="1" applyFill="1" applyBorder="1" applyAlignment="1" applyProtection="1">
      <alignment vertical="center"/>
      <protection/>
    </xf>
    <xf numFmtId="37" fontId="5" fillId="4" borderId="18" xfId="0" applyNumberFormat="1" applyFont="1" applyFill="1" applyBorder="1" applyAlignment="1" applyProtection="1">
      <alignment vertical="center"/>
      <protection/>
    </xf>
    <xf numFmtId="37" fontId="5" fillId="7" borderId="18"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4" fontId="5" fillId="18" borderId="10" xfId="0" applyNumberFormat="1" applyFont="1" applyFill="1" applyBorder="1" applyAlignment="1" applyProtection="1">
      <alignment vertical="center"/>
      <protection locked="0"/>
    </xf>
    <xf numFmtId="164" fontId="5" fillId="4" borderId="10" xfId="0" applyNumberFormat="1" applyFont="1" applyFill="1" applyBorder="1" applyAlignment="1" applyProtection="1">
      <alignment vertical="center"/>
      <protection locked="0"/>
    </xf>
    <xf numFmtId="164" fontId="5" fillId="4" borderId="11" xfId="0" applyNumberFormat="1"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164" fontId="5" fillId="4" borderId="14" xfId="0" applyNumberFormat="1" applyFont="1" applyFill="1" applyBorder="1" applyAlignment="1" applyProtection="1">
      <alignment vertical="center"/>
      <protection locked="0"/>
    </xf>
    <xf numFmtId="3" fontId="5" fillId="4" borderId="0" xfId="0" applyNumberFormat="1" applyFont="1" applyFill="1" applyBorder="1" applyAlignment="1" applyProtection="1">
      <alignment vertical="center"/>
      <protection locked="0"/>
    </xf>
    <xf numFmtId="37" fontId="5" fillId="20" borderId="0" xfId="0" applyNumberFormat="1" applyFont="1" applyFill="1" applyAlignment="1" applyProtection="1">
      <alignment horizontal="center" vertical="center"/>
      <protection/>
    </xf>
    <xf numFmtId="0" fontId="5" fillId="20" borderId="11" xfId="0" applyFont="1" applyFill="1" applyBorder="1" applyAlignment="1">
      <alignment horizontal="center" vertical="center"/>
    </xf>
    <xf numFmtId="37" fontId="5" fillId="4" borderId="10" xfId="0" applyNumberFormat="1" applyFont="1" applyFill="1" applyBorder="1" applyAlignment="1" applyProtection="1">
      <alignment vertical="center"/>
      <protection/>
    </xf>
    <xf numFmtId="164" fontId="5" fillId="7" borderId="10" xfId="0" applyNumberFormat="1" applyFont="1" applyFill="1" applyBorder="1" applyAlignment="1" applyProtection="1">
      <alignment vertical="center"/>
      <protection/>
    </xf>
    <xf numFmtId="37" fontId="5" fillId="19" borderId="11" xfId="0" applyNumberFormat="1" applyFont="1" applyFill="1" applyBorder="1" applyAlignment="1" applyProtection="1">
      <alignment horizontal="left" vertical="center"/>
      <protection/>
    </xf>
    <xf numFmtId="0" fontId="5" fillId="19" borderId="11" xfId="0" applyFont="1" applyFill="1" applyBorder="1" applyAlignment="1" applyProtection="1">
      <alignment vertical="center"/>
      <protection/>
    </xf>
    <xf numFmtId="37" fontId="5" fillId="19" borderId="16" xfId="0" applyNumberFormat="1" applyFont="1" applyFill="1" applyBorder="1" applyAlignment="1" applyProtection="1">
      <alignment horizontal="left" vertical="center"/>
      <protection/>
    </xf>
    <xf numFmtId="0" fontId="5" fillId="19" borderId="16" xfId="0" applyFont="1" applyFill="1" applyBorder="1" applyAlignment="1" applyProtection="1">
      <alignment vertical="center"/>
      <protection/>
    </xf>
    <xf numFmtId="0" fontId="5" fillId="4" borderId="18" xfId="0" applyFont="1" applyFill="1" applyBorder="1" applyAlignment="1" applyProtection="1">
      <alignment vertical="center"/>
      <protection/>
    </xf>
    <xf numFmtId="37" fontId="14" fillId="20"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0" fontId="6" fillId="4" borderId="0" xfId="0" applyFont="1" applyFill="1" applyAlignment="1" applyProtection="1">
      <alignment horizontal="center" vertical="center"/>
      <protection/>
    </xf>
    <xf numFmtId="3" fontId="5" fillId="4" borderId="0" xfId="0" applyNumberFormat="1" applyFont="1" applyFill="1" applyAlignment="1" applyProtection="1">
      <alignment vertical="center"/>
      <protection/>
    </xf>
    <xf numFmtId="0" fontId="5" fillId="4" borderId="0" xfId="0" applyFont="1" applyFill="1" applyAlignment="1" applyProtection="1">
      <alignment vertical="center"/>
      <protection locked="0"/>
    </xf>
    <xf numFmtId="0" fontId="5" fillId="4" borderId="11"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locked="0"/>
    </xf>
    <xf numFmtId="0" fontId="5" fillId="20" borderId="11" xfId="0" applyFont="1" applyFill="1" applyBorder="1" applyAlignment="1" applyProtection="1">
      <alignment vertical="center"/>
      <protection/>
    </xf>
    <xf numFmtId="0" fontId="5" fillId="4" borderId="17" xfId="0" applyFont="1" applyFill="1" applyBorder="1" applyAlignment="1" applyProtection="1">
      <alignment vertical="center"/>
      <protection locked="0"/>
    </xf>
    <xf numFmtId="3" fontId="5" fillId="18" borderId="10" xfId="0" applyNumberFormat="1" applyFont="1" applyFill="1" applyBorder="1" applyAlignment="1" applyProtection="1">
      <alignment vertical="center"/>
      <protection locked="0"/>
    </xf>
    <xf numFmtId="0" fontId="5" fillId="20" borderId="16" xfId="0" applyFont="1" applyFill="1" applyBorder="1" applyAlignment="1" applyProtection="1">
      <alignment vertical="center"/>
      <protection/>
    </xf>
    <xf numFmtId="0" fontId="5" fillId="4" borderId="18" xfId="0" applyFont="1" applyFill="1" applyBorder="1" applyAlignment="1" applyProtection="1">
      <alignment vertical="center"/>
      <protection locked="0"/>
    </xf>
    <xf numFmtId="0" fontId="0" fillId="0" borderId="0" xfId="0" applyAlignment="1">
      <alignment vertical="center"/>
    </xf>
    <xf numFmtId="37" fontId="5" fillId="4" borderId="16" xfId="0" applyNumberFormat="1" applyFont="1" applyFill="1" applyBorder="1" applyAlignment="1" applyProtection="1">
      <alignment horizontal="left" vertical="center"/>
      <protection/>
    </xf>
    <xf numFmtId="37" fontId="5" fillId="18" borderId="10" xfId="0" applyNumberFormat="1" applyFont="1" applyFill="1" applyBorder="1" applyAlignment="1" applyProtection="1">
      <alignment vertical="center"/>
      <protection locked="0"/>
    </xf>
    <xf numFmtId="37" fontId="4"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78" fontId="5" fillId="18" borderId="11" xfId="0" applyNumberFormat="1" applyFont="1" applyFill="1" applyBorder="1" applyAlignment="1" applyProtection="1">
      <alignment vertical="center"/>
      <protection locked="0"/>
    </xf>
    <xf numFmtId="178" fontId="5" fillId="18" borderId="16" xfId="0" applyNumberFormat="1"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178" fontId="5" fillId="18" borderId="19"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178" fontId="5" fillId="4" borderId="10" xfId="0" applyNumberFormat="1" applyFont="1" applyFill="1" applyBorder="1" applyAlignment="1" applyProtection="1">
      <alignment vertical="center"/>
      <protection/>
    </xf>
    <xf numFmtId="0" fontId="0" fillId="4" borderId="11" xfId="0" applyFill="1" applyBorder="1" applyAlignment="1" applyProtection="1">
      <alignment vertical="center"/>
      <protection/>
    </xf>
    <xf numFmtId="37" fontId="4" fillId="20" borderId="0" xfId="0" applyNumberFormat="1" applyFont="1" applyFill="1" applyAlignment="1" applyProtection="1">
      <alignment horizontal="left" vertical="center"/>
      <protection/>
    </xf>
    <xf numFmtId="3" fontId="5" fillId="20" borderId="0" xfId="0" applyNumberFormat="1" applyFont="1" applyFill="1" applyAlignment="1" applyProtection="1">
      <alignment vertical="center"/>
      <protection/>
    </xf>
    <xf numFmtId="3" fontId="5" fillId="4" borderId="17" xfId="0" applyNumberFormat="1" applyFont="1" applyFill="1" applyBorder="1" applyAlignment="1" applyProtection="1">
      <alignment vertical="center"/>
      <protection/>
    </xf>
    <xf numFmtId="3" fontId="5" fillId="4" borderId="18" xfId="0" applyNumberFormat="1" applyFont="1" applyFill="1" applyBorder="1" applyAlignment="1" applyProtection="1">
      <alignment vertical="center"/>
      <protection/>
    </xf>
    <xf numFmtId="0" fontId="4"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5" fillId="4" borderId="16" xfId="0" applyFont="1" applyFill="1" applyBorder="1" applyAlignment="1">
      <alignment vertical="center"/>
    </xf>
    <xf numFmtId="0" fontId="0" fillId="4" borderId="16" xfId="0" applyFill="1" applyBorder="1" applyAlignment="1">
      <alignment vertical="center"/>
    </xf>
    <xf numFmtId="0" fontId="0" fillId="4" borderId="18" xfId="0" applyFill="1" applyBorder="1" applyAlignment="1">
      <alignment vertical="center"/>
    </xf>
    <xf numFmtId="0" fontId="0" fillId="14" borderId="0" xfId="0" applyFill="1" applyAlignment="1">
      <alignment vertical="center"/>
    </xf>
    <xf numFmtId="0" fontId="5" fillId="19" borderId="12" xfId="0" applyFont="1" applyFill="1" applyBorder="1" applyAlignment="1">
      <alignment horizontal="center" vertical="center"/>
    </xf>
    <xf numFmtId="0" fontId="5" fillId="19" borderId="14" xfId="0" applyFont="1" applyFill="1" applyBorder="1" applyAlignment="1">
      <alignment horizontal="center" vertical="center"/>
    </xf>
    <xf numFmtId="0" fontId="17" fillId="4" borderId="0" xfId="0" applyFont="1" applyFill="1" applyAlignment="1">
      <alignment vertical="center"/>
    </xf>
    <xf numFmtId="0" fontId="20" fillId="4" borderId="0" xfId="0" applyFont="1" applyFill="1" applyAlignment="1">
      <alignment vertical="center"/>
    </xf>
    <xf numFmtId="37" fontId="5" fillId="4" borderId="10"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Continuous" vertical="center"/>
      <protection/>
    </xf>
    <xf numFmtId="37" fontId="5" fillId="4" borderId="20" xfId="0" applyNumberFormat="1" applyFont="1" applyFill="1" applyBorder="1" applyAlignment="1" applyProtection="1">
      <alignment horizontal="centerContinuous" vertical="center"/>
      <protection/>
    </xf>
    <xf numFmtId="0" fontId="5" fillId="4" borderId="16" xfId="0" applyFont="1" applyFill="1" applyBorder="1" applyAlignment="1" applyProtection="1">
      <alignment horizontal="centerContinuous" vertical="center"/>
      <protection/>
    </xf>
    <xf numFmtId="0" fontId="5" fillId="4" borderId="18" xfId="0" applyFont="1" applyFill="1" applyBorder="1" applyAlignment="1" applyProtection="1">
      <alignment horizontal="centerContinuous" vertical="center"/>
      <protection/>
    </xf>
    <xf numFmtId="37" fontId="5" fillId="4" borderId="11" xfId="0" applyNumberFormat="1" applyFont="1" applyFill="1" applyBorder="1" applyAlignment="1" applyProtection="1">
      <alignment horizontal="fill" vertical="center"/>
      <protection/>
    </xf>
    <xf numFmtId="37" fontId="5" fillId="4" borderId="12"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3" xfId="0" applyFont="1" applyFill="1" applyBorder="1" applyAlignment="1">
      <alignment horizontal="center" vertical="center"/>
    </xf>
    <xf numFmtId="37" fontId="4" fillId="4" borderId="11"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lignment horizontal="center" vertical="center"/>
    </xf>
    <xf numFmtId="37" fontId="5" fillId="4" borderId="20" xfId="0" applyNumberFormat="1" applyFont="1" applyFill="1" applyBorder="1" applyAlignment="1" applyProtection="1">
      <alignment horizontal="left" vertical="center"/>
      <protection/>
    </xf>
    <xf numFmtId="37" fontId="5" fillId="4" borderId="10" xfId="0" applyNumberFormat="1" applyFont="1" applyFill="1" applyBorder="1" applyAlignment="1" applyProtection="1">
      <alignment horizontal="center" vertical="center"/>
      <protection/>
    </xf>
    <xf numFmtId="0" fontId="5" fillId="4" borderId="12" xfId="0" applyFont="1" applyFill="1" applyBorder="1" applyAlignment="1" applyProtection="1">
      <alignment vertical="center"/>
      <protection/>
    </xf>
    <xf numFmtId="0" fontId="5" fillId="4" borderId="13" xfId="0" applyFont="1" applyFill="1" applyBorder="1" applyAlignment="1" applyProtection="1">
      <alignment vertical="center"/>
      <protection/>
    </xf>
    <xf numFmtId="37" fontId="14" fillId="4" borderId="20" xfId="0" applyNumberFormat="1" applyFont="1" applyFill="1" applyBorder="1" applyAlignment="1" applyProtection="1">
      <alignment horizontal="left" vertical="center"/>
      <protection/>
    </xf>
    <xf numFmtId="37" fontId="14" fillId="4" borderId="18"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7" fontId="5" fillId="7" borderId="10"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vertical="center"/>
      <protection/>
    </xf>
    <xf numFmtId="0" fontId="5" fillId="4" borderId="18" xfId="0" applyFont="1" applyFill="1" applyBorder="1" applyAlignment="1" applyProtection="1">
      <alignment horizontal="center" vertical="center"/>
      <protection/>
    </xf>
    <xf numFmtId="37" fontId="5" fillId="4" borderId="18" xfId="0" applyNumberFormat="1"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37" fontId="5" fillId="22" borderId="10" xfId="0" applyNumberFormat="1" applyFont="1" applyFill="1" applyBorder="1" applyAlignment="1" applyProtection="1">
      <alignment horizontal="left" vertical="center"/>
      <protection/>
    </xf>
    <xf numFmtId="0" fontId="5" fillId="22" borderId="10" xfId="0" applyFont="1" applyFill="1" applyBorder="1" applyAlignment="1" applyProtection="1">
      <alignment vertical="center"/>
      <protection/>
    </xf>
    <xf numFmtId="37" fontId="5" fillId="22" borderId="10" xfId="0" applyNumberFormat="1" applyFont="1" applyFill="1" applyBorder="1" applyAlignment="1" applyProtection="1">
      <alignment vertical="center"/>
      <protection/>
    </xf>
    <xf numFmtId="0" fontId="0" fillId="22" borderId="10" xfId="0" applyFill="1" applyBorder="1" applyAlignment="1" applyProtection="1">
      <alignment vertical="center"/>
      <protection/>
    </xf>
    <xf numFmtId="0" fontId="17" fillId="22" borderId="18" xfId="0" applyFont="1" applyFill="1" applyBorder="1" applyAlignment="1" applyProtection="1">
      <alignment horizontal="center" vertical="center"/>
      <protection/>
    </xf>
    <xf numFmtId="37" fontId="5" fillId="4" borderId="0" xfId="0" applyNumberFormat="1" applyFont="1" applyFill="1" applyAlignment="1" applyProtection="1">
      <alignment horizontal="right" vertical="center"/>
      <protection/>
    </xf>
    <xf numFmtId="37" fontId="5" fillId="4" borderId="11" xfId="0" applyNumberFormat="1" applyFont="1" applyFill="1" applyBorder="1" applyAlignment="1" applyProtection="1">
      <alignment horizontal="fill" vertical="center"/>
      <protection locked="0"/>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0" fontId="5" fillId="4" borderId="0" xfId="0" applyFont="1" applyFill="1" applyAlignment="1">
      <alignment vertical="center"/>
    </xf>
    <xf numFmtId="37" fontId="5" fillId="4" borderId="0" xfId="0" applyNumberFormat="1"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5" fillId="4" borderId="0" xfId="0" applyFont="1" applyFill="1" applyAlignment="1" quotePrefix="1">
      <alignment horizontal="right" vertical="center"/>
    </xf>
    <xf numFmtId="3" fontId="5" fillId="4" borderId="0" xfId="0" applyNumberFormat="1" applyFont="1" applyFill="1" applyAlignment="1">
      <alignment vertical="center"/>
    </xf>
    <xf numFmtId="3" fontId="5" fillId="4" borderId="0" xfId="0" applyNumberFormat="1" applyFont="1" applyFill="1" applyAlignment="1" quotePrefix="1">
      <alignment vertical="center"/>
    </xf>
    <xf numFmtId="3" fontId="5" fillId="4" borderId="11" xfId="0" applyNumberFormat="1" applyFont="1" applyFill="1" applyBorder="1" applyAlignment="1">
      <alignment vertical="center"/>
    </xf>
    <xf numFmtId="3" fontId="5" fillId="4" borderId="16" xfId="0" applyNumberFormat="1" applyFont="1" applyFill="1" applyBorder="1" applyAlignment="1" applyProtection="1">
      <alignment horizontal="right" vertical="center"/>
      <protection/>
    </xf>
    <xf numFmtId="0" fontId="4" fillId="4" borderId="0" xfId="0" applyFont="1" applyFill="1" applyAlignment="1">
      <alignment vertical="center"/>
    </xf>
    <xf numFmtId="3" fontId="5" fillId="4" borderId="16" xfId="0" applyNumberFormat="1" applyFont="1" applyFill="1" applyBorder="1" applyAlignment="1">
      <alignment vertical="center"/>
    </xf>
    <xf numFmtId="3" fontId="5" fillId="4" borderId="11" xfId="0" applyNumberFormat="1" applyFont="1" applyFill="1" applyBorder="1" applyAlignment="1" applyProtection="1">
      <alignment vertical="center"/>
      <protection/>
    </xf>
    <xf numFmtId="3" fontId="5" fillId="4" borderId="0" xfId="0" applyNumberFormat="1" applyFont="1" applyFill="1" applyBorder="1" applyAlignment="1">
      <alignment vertical="center"/>
    </xf>
    <xf numFmtId="0" fontId="5" fillId="4" borderId="0" xfId="0" applyFont="1" applyFill="1" applyAlignment="1" quotePrefix="1">
      <alignment vertical="center"/>
    </xf>
    <xf numFmtId="0" fontId="5" fillId="4" borderId="0" xfId="0" applyFont="1" applyFill="1" applyAlignment="1">
      <alignment horizontal="right" vertical="center"/>
    </xf>
    <xf numFmtId="3" fontId="5" fillId="4" borderId="16" xfId="0" applyNumberFormat="1" applyFont="1" applyFill="1" applyBorder="1" applyAlignment="1" applyProtection="1">
      <alignment vertical="center"/>
      <protection/>
    </xf>
    <xf numFmtId="3" fontId="5" fillId="4" borderId="19" xfId="0" applyNumberFormat="1" applyFont="1" applyFill="1" applyBorder="1" applyAlignment="1">
      <alignment vertical="center"/>
    </xf>
    <xf numFmtId="0" fontId="5" fillId="4" borderId="19" xfId="0" applyFont="1" applyFill="1" applyBorder="1" applyAlignment="1">
      <alignment vertical="center"/>
    </xf>
    <xf numFmtId="0" fontId="5" fillId="4" borderId="0" xfId="0" applyFont="1" applyFill="1" applyBorder="1" applyAlignment="1">
      <alignment vertical="center"/>
    </xf>
    <xf numFmtId="171" fontId="5" fillId="4" borderId="11" xfId="0" applyNumberFormat="1" applyFont="1" applyFill="1" applyBorder="1" applyAlignment="1">
      <alignment vertical="center"/>
    </xf>
    <xf numFmtId="0" fontId="5" fillId="4" borderId="0" xfId="0" applyFont="1" applyFill="1" applyBorder="1" applyAlignment="1" quotePrefix="1">
      <alignment vertical="center"/>
    </xf>
    <xf numFmtId="3" fontId="5" fillId="4" borderId="23" xfId="0" applyNumberFormat="1" applyFont="1" applyFill="1" applyBorder="1" applyAlignment="1">
      <alignment vertical="center"/>
    </xf>
    <xf numFmtId="3" fontId="5" fillId="4" borderId="11" xfId="42" applyNumberFormat="1" applyFont="1" applyFill="1" applyBorder="1" applyAlignment="1" applyProtection="1">
      <alignment vertical="center"/>
      <protection/>
    </xf>
    <xf numFmtId="0" fontId="7" fillId="0" borderId="0" xfId="0" applyFont="1" applyAlignment="1">
      <alignment vertical="center"/>
    </xf>
    <xf numFmtId="37" fontId="5" fillId="4" borderId="0" xfId="0" applyNumberFormat="1" applyFont="1" applyFill="1" applyAlignment="1" applyProtection="1">
      <alignment vertical="center"/>
      <protection/>
    </xf>
    <xf numFmtId="0" fontId="5" fillId="4" borderId="11" xfId="0" applyFont="1" applyFill="1" applyBorder="1" applyAlignment="1" applyProtection="1">
      <alignment horizontal="centerContinuous" vertical="center"/>
      <protection/>
    </xf>
    <xf numFmtId="0" fontId="5" fillId="4" borderId="12" xfId="0" applyFont="1" applyFill="1" applyBorder="1" applyAlignment="1" applyProtection="1">
      <alignment horizontal="center" vertical="center"/>
      <protection/>
    </xf>
    <xf numFmtId="37" fontId="5" fillId="4" borderId="22"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7"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1" xfId="0" applyNumberFormat="1" applyFont="1" applyFill="1" applyBorder="1" applyAlignment="1" applyProtection="1">
      <alignment vertical="center"/>
      <protection/>
    </xf>
    <xf numFmtId="165" fontId="5" fillId="7" borderId="11" xfId="0" applyNumberFormat="1" applyFont="1" applyFill="1" applyBorder="1" applyAlignment="1" applyProtection="1">
      <alignment vertical="center"/>
      <protection/>
    </xf>
    <xf numFmtId="0" fontId="4" fillId="4" borderId="11" xfId="0" applyFont="1" applyFill="1" applyBorder="1" applyAlignment="1" applyProtection="1">
      <alignment horizontal="center" vertical="center"/>
      <protection/>
    </xf>
    <xf numFmtId="0" fontId="4" fillId="4" borderId="12"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177" fontId="5" fillId="18" borderId="14" xfId="42" applyNumberFormat="1" applyFont="1" applyFill="1" applyBorder="1" applyAlignment="1" applyProtection="1">
      <alignment horizontal="center" vertical="center"/>
      <protection locked="0"/>
    </xf>
    <xf numFmtId="0" fontId="5" fillId="18" borderId="10" xfId="0" applyFont="1" applyFill="1" applyBorder="1" applyAlignment="1" applyProtection="1">
      <alignment vertical="center"/>
      <protection locked="0"/>
    </xf>
    <xf numFmtId="177" fontId="5" fillId="18" borderId="10" xfId="42"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0" fontId="5" fillId="4" borderId="0" xfId="0" applyFont="1" applyFill="1" applyAlignment="1" applyProtection="1">
      <alignment horizontal="center" vertical="center"/>
      <protection locked="0"/>
    </xf>
    <xf numFmtId="37" fontId="4" fillId="4" borderId="10"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349" applyFont="1" applyFill="1" applyAlignment="1" applyProtection="1">
      <alignment horizontal="centerContinuous" vertical="center"/>
      <protection/>
    </xf>
    <xf numFmtId="0" fontId="5" fillId="4" borderId="11"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2"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1" fontId="5" fillId="4" borderId="25" xfId="0" applyNumberFormat="1" applyFont="1" applyFill="1" applyBorder="1" applyAlignment="1" applyProtection="1">
      <alignment horizontal="center" vertical="center"/>
      <protection/>
    </xf>
    <xf numFmtId="0" fontId="5" fillId="4" borderId="10" xfId="0" applyFont="1" applyFill="1" applyBorder="1" applyAlignment="1" applyProtection="1">
      <alignment horizontal="left" vertical="center"/>
      <protection/>
    </xf>
    <xf numFmtId="2" fontId="5" fillId="4"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2" fontId="5" fillId="18" borderId="10" xfId="0" applyNumberFormat="1" applyFont="1" applyFill="1" applyBorder="1" applyAlignment="1" applyProtection="1">
      <alignment horizontal="center" vertical="center"/>
      <protection locked="0"/>
    </xf>
    <xf numFmtId="3" fontId="5" fillId="18" borderId="10" xfId="0" applyNumberFormat="1" applyFont="1" applyFill="1" applyBorder="1" applyAlignment="1" applyProtection="1">
      <alignment horizontal="center" vertical="center"/>
      <protection locked="0"/>
    </xf>
    <xf numFmtId="37" fontId="5" fillId="18" borderId="10" xfId="0" applyNumberFormat="1" applyFont="1" applyFill="1" applyBorder="1" applyAlignment="1" applyProtection="1">
      <alignment horizontal="center" vertical="center"/>
      <protection locked="0"/>
    </xf>
    <xf numFmtId="175" fontId="5" fillId="18" borderId="10" xfId="0" applyNumberFormat="1" applyFont="1" applyFill="1" applyBorder="1" applyAlignment="1" applyProtection="1">
      <alignment horizontal="center" vertical="center"/>
      <protection locked="0"/>
    </xf>
    <xf numFmtId="0" fontId="4" fillId="4" borderId="10" xfId="0" applyFont="1" applyFill="1" applyBorder="1" applyAlignment="1" applyProtection="1">
      <alignment horizontal="left" vertical="center"/>
      <protection/>
    </xf>
    <xf numFmtId="174" fontId="4" fillId="4" borderId="10" xfId="0" applyNumberFormat="1" applyFont="1" applyFill="1" applyBorder="1" applyAlignment="1" applyProtection="1">
      <alignment horizontal="center" vertical="center"/>
      <protection/>
    </xf>
    <xf numFmtId="2" fontId="4" fillId="4" borderId="10"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37" fontId="4" fillId="7" borderId="10" xfId="0" applyNumberFormat="1" applyFont="1" applyFill="1" applyBorder="1" applyAlignment="1" applyProtection="1">
      <alignment horizontal="center" vertical="center"/>
      <protection/>
    </xf>
    <xf numFmtId="175" fontId="4" fillId="4" borderId="10" xfId="0" applyNumberFormat="1" applyFont="1" applyFill="1" applyBorder="1" applyAlignment="1" applyProtection="1">
      <alignment horizontal="center" vertical="center"/>
      <protection/>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 fontId="4" fillId="4" borderId="10" xfId="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4" fillId="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left" vertical="center"/>
      <protection/>
    </xf>
    <xf numFmtId="37" fontId="5" fillId="18" borderId="20" xfId="0" applyNumberFormat="1" applyFont="1" applyFill="1" applyBorder="1" applyAlignment="1" applyProtection="1">
      <alignment vertical="center"/>
      <protection locked="0"/>
    </xf>
    <xf numFmtId="37" fontId="5" fillId="18" borderId="18"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3" fontId="5" fillId="18" borderId="20" xfId="0" applyNumberFormat="1" applyFont="1" applyFill="1" applyBorder="1" applyAlignment="1" applyProtection="1">
      <alignment vertical="center"/>
      <protection locked="0"/>
    </xf>
    <xf numFmtId="3" fontId="5" fillId="18" borderId="18" xfId="0" applyNumberFormat="1" applyFont="1" applyFill="1" applyBorder="1" applyAlignment="1" applyProtection="1">
      <alignment vertical="center"/>
      <protection locked="0"/>
    </xf>
    <xf numFmtId="37" fontId="5" fillId="4" borderId="10" xfId="0" applyNumberFormat="1" applyFont="1" applyFill="1" applyBorder="1" applyAlignment="1" applyProtection="1">
      <alignment horizontal="fill" vertical="center"/>
      <protection/>
    </xf>
    <xf numFmtId="37" fontId="5" fillId="18" borderId="10" xfId="0" applyNumberFormat="1" applyFont="1" applyFill="1" applyBorder="1" applyAlignment="1" applyProtection="1">
      <alignment vertical="center"/>
      <protection locked="0"/>
    </xf>
    <xf numFmtId="0" fontId="5" fillId="18" borderId="20" xfId="0" applyFont="1" applyFill="1" applyBorder="1" applyAlignment="1" applyProtection="1">
      <alignment horizontal="left" vertical="center"/>
      <protection locked="0"/>
    </xf>
    <xf numFmtId="37" fontId="17" fillId="22" borderId="20" xfId="0" applyNumberFormat="1" applyFont="1" applyFill="1" applyBorder="1" applyAlignment="1" applyProtection="1">
      <alignment horizontal="center" vertical="center"/>
      <protection/>
    </xf>
    <xf numFmtId="37" fontId="17" fillId="22" borderId="18"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left" vertical="center"/>
      <protection/>
    </xf>
    <xf numFmtId="37" fontId="4" fillId="7" borderId="10" xfId="0" applyNumberFormat="1" applyFont="1" applyFill="1" applyBorder="1" applyAlignment="1" applyProtection="1">
      <alignment vertical="center"/>
      <protection/>
    </xf>
    <xf numFmtId="3" fontId="4" fillId="7" borderId="20"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0" fontId="4" fillId="4" borderId="0" xfId="0" applyFont="1" applyFill="1" applyAlignment="1" applyProtection="1">
      <alignment horizontal="left" vertical="center"/>
      <protection/>
    </xf>
    <xf numFmtId="0" fontId="4" fillId="4" borderId="20" xfId="0" applyFont="1" applyFill="1" applyBorder="1" applyAlignment="1" applyProtection="1">
      <alignment horizontal="left" vertical="center"/>
      <protection/>
    </xf>
    <xf numFmtId="3" fontId="5" fillId="7"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7" borderId="20" xfId="0" applyFont="1" applyFill="1" applyBorder="1" applyAlignment="1" applyProtection="1">
      <alignment vertical="center"/>
      <protection/>
    </xf>
    <xf numFmtId="0" fontId="5" fillId="18" borderId="20" xfId="0" applyFont="1" applyFill="1" applyBorder="1" applyAlignment="1" applyProtection="1">
      <alignment vertical="center"/>
      <protection locked="0"/>
    </xf>
    <xf numFmtId="0" fontId="5" fillId="4" borderId="20" xfId="0" applyFont="1" applyFill="1" applyBorder="1" applyAlignment="1" applyProtection="1">
      <alignment vertical="center"/>
      <protection/>
    </xf>
    <xf numFmtId="37" fontId="5" fillId="7"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pplyProtection="1">
      <alignment horizontal="fill" vertical="center"/>
      <protection/>
    </xf>
    <xf numFmtId="1" fontId="5" fillId="4" borderId="12" xfId="0" applyNumberFormat="1" applyFont="1" applyFill="1" applyBorder="1" applyAlignment="1" applyProtection="1">
      <alignment horizontal="center" vertical="center"/>
      <protection/>
    </xf>
    <xf numFmtId="0" fontId="5" fillId="18" borderId="10" xfId="0" applyFont="1" applyFill="1" applyBorder="1" applyAlignment="1" applyProtection="1">
      <alignment horizontal="left" vertical="center"/>
      <protection locked="0"/>
    </xf>
    <xf numFmtId="0" fontId="5" fillId="18" borderId="10"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7" borderId="15"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7" fontId="5" fillId="18" borderId="0" xfId="0" applyNumberFormat="1" applyFont="1" applyFill="1" applyAlignment="1" applyProtection="1">
      <alignment horizontal="left" vertical="center"/>
      <protection locked="0"/>
    </xf>
    <xf numFmtId="37" fontId="5" fillId="4" borderId="25"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horizontal="fill" vertical="center"/>
      <protection/>
    </xf>
    <xf numFmtId="0" fontId="5" fillId="4" borderId="20" xfId="0" applyNumberFormat="1" applyFont="1" applyFill="1" applyBorder="1" applyAlignment="1" applyProtection="1">
      <alignment horizontal="left" vertical="center"/>
      <protection/>
    </xf>
    <xf numFmtId="3" fontId="5" fillId="23" borderId="10"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5" fillId="22" borderId="10"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18" borderId="20" xfId="0" applyFont="1" applyFill="1" applyBorder="1" applyAlignment="1" applyProtection="1">
      <alignment vertical="center"/>
      <protection locked="0"/>
    </xf>
    <xf numFmtId="3" fontId="5" fillId="4" borderId="10" xfId="0" applyNumberFormat="1" applyFont="1" applyFill="1" applyBorder="1" applyAlignment="1" applyProtection="1">
      <alignment vertical="center"/>
      <protection locked="0"/>
    </xf>
    <xf numFmtId="0" fontId="5" fillId="4" borderId="20" xfId="0" applyFont="1" applyFill="1" applyBorder="1" applyAlignment="1" applyProtection="1">
      <alignment vertical="center"/>
      <protection locked="0"/>
    </xf>
    <xf numFmtId="3" fontId="5" fillId="4" borderId="11" xfId="0" applyNumberFormat="1" applyFont="1" applyFill="1" applyBorder="1" applyAlignment="1" applyProtection="1">
      <alignment horizontal="fill" vertical="center"/>
      <protection/>
    </xf>
    <xf numFmtId="0" fontId="5" fillId="4" borderId="24" xfId="0" applyFont="1" applyFill="1" applyBorder="1" applyAlignment="1" applyProtection="1">
      <alignment vertical="center"/>
      <protection/>
    </xf>
    <xf numFmtId="166" fontId="5" fillId="4" borderId="11" xfId="0" applyNumberFormat="1" applyFont="1" applyFill="1" applyBorder="1" applyAlignment="1" applyProtection="1">
      <alignment vertical="center"/>
      <protection/>
    </xf>
    <xf numFmtId="37" fontId="5" fillId="4" borderId="11" xfId="0" applyNumberFormat="1" applyFont="1" applyFill="1" applyBorder="1" applyAlignment="1" applyProtection="1" quotePrefix="1">
      <alignment horizontal="right" vertical="center"/>
      <protection/>
    </xf>
    <xf numFmtId="37" fontId="5" fillId="18" borderId="20" xfId="0" applyNumberFormat="1" applyFont="1" applyFill="1" applyBorder="1" applyAlignment="1" applyProtection="1">
      <alignment horizontal="left" vertical="center"/>
      <protection locked="0"/>
    </xf>
    <xf numFmtId="37" fontId="17" fillId="22" borderId="10" xfId="0" applyNumberFormat="1" applyFont="1" applyFill="1" applyBorder="1" applyAlignment="1" applyProtection="1">
      <alignment horizontal="center" vertical="center"/>
      <protection/>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14" fillId="4" borderId="0" xfId="0" applyFont="1" applyFill="1" applyAlignment="1">
      <alignment horizontal="center" vertical="center"/>
    </xf>
    <xf numFmtId="0" fontId="5" fillId="4" borderId="18" xfId="0" applyFont="1" applyFill="1" applyBorder="1" applyAlignment="1">
      <alignment horizontal="center" vertical="center"/>
    </xf>
    <xf numFmtId="0" fontId="13" fillId="4" borderId="12" xfId="0" applyFont="1" applyFill="1" applyBorder="1" applyAlignment="1">
      <alignment vertical="center"/>
    </xf>
    <xf numFmtId="0" fontId="13" fillId="4" borderId="18" xfId="0" applyFont="1" applyFill="1" applyBorder="1" applyAlignment="1">
      <alignment horizontal="center" vertical="center"/>
    </xf>
    <xf numFmtId="0" fontId="13" fillId="4" borderId="22" xfId="0" applyFont="1" applyFill="1" applyBorder="1" applyAlignment="1">
      <alignment vertical="center"/>
    </xf>
    <xf numFmtId="0" fontId="13" fillId="4" borderId="10" xfId="0" applyFont="1" applyFill="1" applyBorder="1" applyAlignment="1">
      <alignment horizontal="center" vertical="center"/>
    </xf>
    <xf numFmtId="0" fontId="5" fillId="4" borderId="18" xfId="0" applyFont="1" applyFill="1" applyBorder="1" applyAlignment="1">
      <alignment vertical="center"/>
    </xf>
    <xf numFmtId="0" fontId="5" fillId="4" borderId="10" xfId="0" applyFont="1" applyFill="1" applyBorder="1" applyAlignment="1">
      <alignment horizontal="center" vertical="center"/>
    </xf>
    <xf numFmtId="0" fontId="13" fillId="4" borderId="25" xfId="0" applyFont="1" applyFill="1" applyBorder="1" applyAlignment="1">
      <alignment vertical="center"/>
    </xf>
    <xf numFmtId="3" fontId="13" fillId="18" borderId="10" xfId="0" applyNumberFormat="1" applyFont="1" applyFill="1" applyBorder="1" applyAlignment="1" applyProtection="1">
      <alignment horizontal="center" vertical="center"/>
      <protection locked="0"/>
    </xf>
    <xf numFmtId="0" fontId="13" fillId="4" borderId="11" xfId="0" applyFont="1" applyFill="1" applyBorder="1" applyAlignment="1">
      <alignment vertical="center"/>
    </xf>
    <xf numFmtId="3" fontId="13" fillId="7" borderId="10" xfId="0" applyNumberFormat="1" applyFont="1" applyFill="1" applyBorder="1" applyAlignment="1">
      <alignment horizontal="center" vertical="center"/>
    </xf>
    <xf numFmtId="0" fontId="13" fillId="4" borderId="0" xfId="0" applyFont="1" applyFill="1" applyAlignment="1">
      <alignment vertical="center"/>
    </xf>
    <xf numFmtId="3" fontId="13" fillId="4" borderId="0" xfId="0" applyNumberFormat="1" applyFont="1" applyFill="1" applyAlignment="1">
      <alignment horizontal="center" vertical="center"/>
    </xf>
    <xf numFmtId="0" fontId="13" fillId="4" borderId="0" xfId="0" applyFont="1" applyFill="1" applyAlignment="1">
      <alignment horizontal="center" vertical="center"/>
    </xf>
    <xf numFmtId="0" fontId="13" fillId="18" borderId="10" xfId="0" applyFont="1" applyFill="1" applyBorder="1" applyAlignment="1" applyProtection="1">
      <alignment vertical="center"/>
      <protection locked="0"/>
    </xf>
    <xf numFmtId="0" fontId="13" fillId="18" borderId="22" xfId="0" applyFont="1" applyFill="1" applyBorder="1" applyAlignment="1" applyProtection="1">
      <alignment vertical="center"/>
      <protection locked="0"/>
    </xf>
    <xf numFmtId="0" fontId="13" fillId="18" borderId="0" xfId="0" applyFont="1" applyFill="1" applyAlignment="1" applyProtection="1">
      <alignment vertical="center"/>
      <protection locked="0"/>
    </xf>
    <xf numFmtId="0" fontId="13" fillId="18" borderId="18" xfId="0" applyFont="1" applyFill="1" applyBorder="1" applyAlignment="1" applyProtection="1">
      <alignment vertical="center"/>
      <protection locked="0"/>
    </xf>
    <xf numFmtId="0" fontId="13" fillId="18" borderId="14" xfId="0" applyFont="1" applyFill="1" applyBorder="1" applyAlignment="1" applyProtection="1">
      <alignment vertical="center"/>
      <protection locked="0"/>
    </xf>
    <xf numFmtId="0" fontId="13" fillId="18" borderId="21" xfId="0" applyFont="1" applyFill="1" applyBorder="1" applyAlignment="1" applyProtection="1">
      <alignment vertical="center"/>
      <protection locked="0"/>
    </xf>
    <xf numFmtId="3" fontId="19" fillId="22" borderId="10" xfId="0" applyNumberFormat="1" applyFont="1" applyFill="1" applyBorder="1" applyAlignment="1">
      <alignment horizontal="center" vertical="center"/>
    </xf>
    <xf numFmtId="3" fontId="5" fillId="0" borderId="0" xfId="0" applyNumberFormat="1" applyFont="1" applyAlignment="1">
      <alignment vertical="center"/>
    </xf>
    <xf numFmtId="0" fontId="5" fillId="7" borderId="0" xfId="0" applyFont="1" applyFill="1" applyAlignment="1">
      <alignment vertical="center"/>
    </xf>
    <xf numFmtId="0" fontId="5" fillId="0" borderId="0" xfId="0" applyFont="1" applyAlignment="1">
      <alignment horizontal="centerContinuous" vertical="center"/>
    </xf>
    <xf numFmtId="1" fontId="5" fillId="4" borderId="20" xfId="0" applyNumberFormat="1" applyFont="1" applyFill="1" applyBorder="1" applyAlignment="1" applyProtection="1">
      <alignment horizontal="centerContinuous" vertical="center"/>
      <protection/>
    </xf>
    <xf numFmtId="164" fontId="5" fillId="4" borderId="10" xfId="0" applyNumberFormat="1" applyFont="1" applyFill="1" applyBorder="1" applyAlignment="1" applyProtection="1">
      <alignment vertical="center"/>
      <protection/>
    </xf>
    <xf numFmtId="1" fontId="6" fillId="4" borderId="0" xfId="0" applyNumberFormat="1" applyFont="1" applyFill="1" applyAlignment="1" applyProtection="1">
      <alignment horizontal="center" vertical="center"/>
      <protection/>
    </xf>
    <xf numFmtId="3" fontId="5" fillId="4" borderId="1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wrapText="1"/>
      <protection/>
    </xf>
    <xf numFmtId="0" fontId="5" fillId="4" borderId="22" xfId="0" applyFont="1" applyFill="1" applyBorder="1" applyAlignment="1" applyProtection="1">
      <alignment horizontal="center" vertical="center" wrapText="1"/>
      <protection/>
    </xf>
    <xf numFmtId="0" fontId="5" fillId="4" borderId="10" xfId="0" applyFont="1" applyFill="1" applyBorder="1" applyAlignment="1" applyProtection="1">
      <alignment horizontal="center" vertical="center" wrapText="1"/>
      <protection/>
    </xf>
    <xf numFmtId="3" fontId="5" fillId="18" borderId="10" xfId="0" applyNumberFormat="1" applyFont="1" applyFill="1" applyBorder="1" applyAlignment="1" applyProtection="1">
      <alignment horizontal="center" vertical="center"/>
      <protection locked="0"/>
    </xf>
    <xf numFmtId="188" fontId="5" fillId="4" borderId="10" xfId="0" applyNumberFormat="1" applyFont="1" applyFill="1" applyBorder="1" applyAlignment="1" applyProtection="1">
      <alignment horizontal="center" vertical="center"/>
      <protection/>
    </xf>
    <xf numFmtId="3" fontId="5" fillId="18" borderId="12" xfId="0" applyNumberFormat="1" applyFont="1" applyFill="1" applyBorder="1" applyAlignment="1" applyProtection="1">
      <alignment horizontal="center" vertical="center"/>
      <protection locked="0"/>
    </xf>
    <xf numFmtId="3" fontId="5" fillId="4" borderId="15" xfId="0" applyNumberFormat="1" applyFont="1" applyFill="1" applyBorder="1" applyAlignment="1" applyProtection="1">
      <alignment horizontal="center" vertical="center"/>
      <protection/>
    </xf>
    <xf numFmtId="188" fontId="5" fillId="4" borderId="15" xfId="0" applyNumberFormat="1" applyFont="1" applyFill="1" applyBorder="1" applyAlignment="1" applyProtection="1">
      <alignment horizontal="center" vertical="center"/>
      <protection/>
    </xf>
    <xf numFmtId="188" fontId="5" fillId="4" borderId="11" xfId="0" applyNumberFormat="1" applyFont="1" applyFill="1" applyBorder="1" applyAlignment="1" applyProtection="1">
      <alignment horizontal="center" vertical="center"/>
      <protection/>
    </xf>
    <xf numFmtId="188" fontId="5" fillId="4" borderId="0" xfId="0" applyNumberFormat="1" applyFont="1" applyFill="1" applyBorder="1" applyAlignment="1" applyProtection="1">
      <alignment horizontal="center" vertical="center"/>
      <protection/>
    </xf>
    <xf numFmtId="3" fontId="5" fillId="4" borderId="11" xfId="0" applyNumberFormat="1" applyFont="1" applyFill="1" applyBorder="1" applyAlignment="1">
      <alignment horizontal="center" vertical="center"/>
    </xf>
    <xf numFmtId="0" fontId="0" fillId="4" borderId="0" xfId="0" applyFill="1" applyAlignment="1">
      <alignment horizontal="center" vertical="center"/>
    </xf>
    <xf numFmtId="188" fontId="5" fillId="4" borderId="11" xfId="0" applyNumberFormat="1" applyFont="1" applyFill="1" applyBorder="1" applyAlignment="1">
      <alignment horizontal="center" vertical="center"/>
    </xf>
    <xf numFmtId="178" fontId="5" fillId="4" borderId="0" xfId="0" applyNumberFormat="1" applyFont="1" applyFill="1" applyBorder="1" applyAlignment="1" applyProtection="1">
      <alignment vertical="center"/>
      <protection/>
    </xf>
    <xf numFmtId="0" fontId="6" fillId="0" borderId="0" xfId="0" applyFont="1" applyAlignment="1">
      <alignment vertical="center"/>
    </xf>
    <xf numFmtId="3" fontId="28" fillId="22" borderId="0" xfId="0" applyNumberFormat="1" applyFont="1" applyFill="1" applyAlignment="1">
      <alignment horizontal="center" vertical="center"/>
    </xf>
    <xf numFmtId="0" fontId="5" fillId="4" borderId="10" xfId="0" applyNumberFormat="1" applyFont="1" applyFill="1" applyBorder="1" applyAlignment="1" applyProtection="1">
      <alignment horizontal="center" vertical="center"/>
      <protection/>
    </xf>
    <xf numFmtId="0" fontId="5" fillId="0" borderId="0" xfId="338" applyFont="1" applyAlignment="1">
      <alignment vertical="center"/>
      <protection/>
    </xf>
    <xf numFmtId="0" fontId="5" fillId="0" borderId="0" xfId="129" applyFont="1" applyAlignment="1">
      <alignment vertical="center" wrapText="1"/>
      <protection/>
    </xf>
    <xf numFmtId="0" fontId="5" fillId="18" borderId="11" xfId="0" applyFont="1" applyFill="1" applyBorder="1" applyAlignment="1" applyProtection="1">
      <alignment vertical="center"/>
      <protection locked="0"/>
    </xf>
    <xf numFmtId="0" fontId="5" fillId="18" borderId="16" xfId="0" applyFont="1" applyFill="1" applyBorder="1" applyAlignment="1" applyProtection="1">
      <alignment vertical="center"/>
      <protection locked="0"/>
    </xf>
    <xf numFmtId="0" fontId="29" fillId="0" borderId="0" xfId="341">
      <alignment/>
      <protection/>
    </xf>
    <xf numFmtId="0" fontId="5" fillId="0" borderId="0" xfId="341" applyFont="1" applyAlignment="1">
      <alignment horizontal="left" vertical="center"/>
      <protection/>
    </xf>
    <xf numFmtId="0" fontId="29" fillId="0" borderId="0" xfId="341" applyNumberFormat="1" applyFont="1" applyAlignment="1">
      <alignment horizontal="left" vertical="center"/>
      <protection/>
    </xf>
    <xf numFmtId="49" fontId="5" fillId="18" borderId="0" xfId="341" applyNumberFormat="1" applyFont="1" applyFill="1" applyAlignment="1" applyProtection="1">
      <alignment horizontal="left" vertical="center"/>
      <protection locked="0"/>
    </xf>
    <xf numFmtId="189" fontId="13" fillId="0" borderId="0" xfId="341" applyNumberFormat="1" applyFont="1" applyAlignment="1">
      <alignment horizontal="left" vertical="center"/>
      <protection/>
    </xf>
    <xf numFmtId="49" fontId="5" fillId="0" borderId="0" xfId="341" applyNumberFormat="1" applyFont="1" applyAlignment="1">
      <alignment horizontal="left" vertical="center"/>
      <protection/>
    </xf>
    <xf numFmtId="0" fontId="13" fillId="0" borderId="0" xfId="341" applyFont="1" applyAlignment="1">
      <alignment horizontal="left" vertical="center"/>
      <protection/>
    </xf>
    <xf numFmtId="190" fontId="13" fillId="0" borderId="0" xfId="341" applyNumberFormat="1" applyFont="1" applyAlignment="1">
      <alignment horizontal="left" vertical="center"/>
      <protection/>
    </xf>
    <xf numFmtId="0" fontId="5" fillId="18" borderId="0" xfId="341" applyFont="1" applyFill="1" applyAlignment="1" applyProtection="1">
      <alignment horizontal="left" vertical="center"/>
      <protection locked="0"/>
    </xf>
    <xf numFmtId="0" fontId="29" fillId="18" borderId="0" xfId="341" applyFill="1" applyAlignment="1" applyProtection="1">
      <alignment horizontal="left" vertical="center"/>
      <protection locked="0"/>
    </xf>
    <xf numFmtId="0" fontId="0" fillId="0" borderId="0" xfId="167" applyFont="1" applyFill="1">
      <alignment/>
      <protection/>
    </xf>
    <xf numFmtId="0" fontId="0" fillId="0" borderId="0" xfId="167"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4" applyFont="1" applyAlignment="1">
      <alignment vertical="center"/>
      <protection/>
    </xf>
    <xf numFmtId="0" fontId="6" fillId="0" borderId="0" xfId="107" applyFont="1" applyAlignment="1">
      <alignment vertical="center"/>
      <protection/>
    </xf>
    <xf numFmtId="0" fontId="5" fillId="0" borderId="0" xfId="239" applyFont="1" applyAlignment="1">
      <alignment vertical="center" wrapText="1"/>
      <protection/>
    </xf>
    <xf numFmtId="0" fontId="5" fillId="0" borderId="0" xfId="110" applyFont="1" applyAlignment="1">
      <alignment vertical="center" wrapText="1"/>
      <protection/>
    </xf>
    <xf numFmtId="0" fontId="5" fillId="0" borderId="0" xfId="113" applyFont="1" applyAlignment="1">
      <alignment vertical="center" wrapText="1"/>
      <protection/>
    </xf>
    <xf numFmtId="0" fontId="5" fillId="0" borderId="0" xfId="121" applyFont="1" applyAlignment="1">
      <alignment vertical="center" wrapText="1"/>
      <protection/>
    </xf>
    <xf numFmtId="0" fontId="5" fillId="4" borderId="0" xfId="0" applyFont="1" applyFill="1" applyAlignment="1">
      <alignment/>
    </xf>
    <xf numFmtId="0" fontId="41"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18" borderId="10" xfId="0" applyNumberFormat="1" applyFont="1" applyFill="1" applyBorder="1" applyAlignment="1" applyProtection="1">
      <alignment horizontal="center" vertical="center"/>
      <protection locked="0"/>
    </xf>
    <xf numFmtId="3" fontId="13" fillId="7" borderId="14" xfId="0" applyNumberFormat="1" applyFont="1" applyFill="1" applyBorder="1" applyAlignment="1">
      <alignment horizontal="center" vertical="center"/>
    </xf>
    <xf numFmtId="0" fontId="5" fillId="4" borderId="25" xfId="0" applyNumberFormat="1" applyFont="1" applyFill="1" applyBorder="1" applyAlignment="1" applyProtection="1">
      <alignment horizontal="center" vertical="center"/>
      <protection/>
    </xf>
    <xf numFmtId="3" fontId="5" fillId="23" borderId="20" xfId="0" applyNumberFormat="1" applyFont="1" applyFill="1" applyBorder="1" applyAlignment="1" applyProtection="1">
      <alignment vertical="center"/>
      <protection/>
    </xf>
    <xf numFmtId="37" fontId="15" fillId="4" borderId="10" xfId="0" applyNumberFormat="1" applyFont="1" applyFill="1" applyBorder="1" applyAlignment="1" applyProtection="1">
      <alignment horizontal="center" vertical="center"/>
      <protection/>
    </xf>
    <xf numFmtId="0" fontId="15" fillId="4" borderId="0" xfId="0" applyFont="1" applyFill="1" applyBorder="1" applyAlignment="1" applyProtection="1">
      <alignment horizontal="center" vertical="center"/>
      <protection/>
    </xf>
    <xf numFmtId="3" fontId="5" fillId="4" borderId="0" xfId="0" applyNumberFormat="1" applyFont="1" applyFill="1" applyBorder="1" applyAlignment="1" applyProtection="1">
      <alignment vertical="center"/>
      <protection/>
    </xf>
    <xf numFmtId="3" fontId="5" fillId="4" borderId="0" xfId="0" applyNumberFormat="1" applyFont="1" applyFill="1" applyBorder="1" applyAlignment="1" applyProtection="1">
      <alignment horizontal="fill" vertical="center"/>
      <protection/>
    </xf>
    <xf numFmtId="37" fontId="17" fillId="18" borderId="10" xfId="0" applyNumberFormat="1" applyFont="1" applyFill="1" applyBorder="1" applyAlignment="1" applyProtection="1">
      <alignment horizontal="center" vertical="center"/>
      <protection/>
    </xf>
    <xf numFmtId="49" fontId="5" fillId="18" borderId="10" xfId="0" applyNumberFormat="1" applyFont="1" applyFill="1" applyBorder="1" applyAlignment="1" applyProtection="1">
      <alignment horizontal="center" vertical="center"/>
      <protection locked="0"/>
    </xf>
    <xf numFmtId="0" fontId="5" fillId="4" borderId="0" xfId="79" applyFont="1" applyFill="1" applyAlignment="1" applyProtection="1">
      <alignment horizontal="right" vertical="center"/>
      <protection/>
    </xf>
    <xf numFmtId="188" fontId="5" fillId="4" borderId="0" xfId="343" applyNumberFormat="1" applyFont="1" applyFill="1" applyAlignment="1" applyProtection="1">
      <alignment horizontal="center" vertical="center"/>
      <protection/>
    </xf>
    <xf numFmtId="0" fontId="0" fillId="0" borderId="0" xfId="77">
      <alignment/>
      <protection/>
    </xf>
    <xf numFmtId="0" fontId="5" fillId="4" borderId="0" xfId="77" applyFont="1" applyFill="1" applyAlignment="1" applyProtection="1">
      <alignment vertical="center"/>
      <protection/>
    </xf>
    <xf numFmtId="0" fontId="5" fillId="0" borderId="0" xfId="77" applyFont="1" applyAlignment="1" applyProtection="1">
      <alignment vertical="center"/>
      <protection locked="0"/>
    </xf>
    <xf numFmtId="37" fontId="5" fillId="4" borderId="0" xfId="77" applyNumberFormat="1" applyFont="1" applyFill="1" applyAlignment="1" applyProtection="1">
      <alignment horizontal="left" vertical="center"/>
      <protection/>
    </xf>
    <xf numFmtId="0" fontId="4" fillId="4" borderId="0" xfId="77" applyFont="1" applyFill="1" applyAlignment="1" applyProtection="1">
      <alignment vertical="center"/>
      <protection/>
    </xf>
    <xf numFmtId="3" fontId="5" fillId="18" borderId="10" xfId="77" applyNumberFormat="1" applyFont="1" applyFill="1" applyBorder="1" applyAlignment="1" applyProtection="1">
      <alignment vertical="center"/>
      <protection locked="0"/>
    </xf>
    <xf numFmtId="3" fontId="5" fillId="7" borderId="10" xfId="77" applyNumberFormat="1" applyFont="1" applyFill="1" applyBorder="1" applyAlignment="1" applyProtection="1">
      <alignment vertical="center"/>
      <protection/>
    </xf>
    <xf numFmtId="0" fontId="5" fillId="4" borderId="0" xfId="77" applyFont="1" applyFill="1" applyAlignment="1" applyProtection="1">
      <alignment vertical="center"/>
      <protection locked="0"/>
    </xf>
    <xf numFmtId="0" fontId="0" fillId="0" borderId="0" xfId="77" applyAlignment="1">
      <alignment vertical="center"/>
      <protection/>
    </xf>
    <xf numFmtId="1" fontId="5" fillId="4" borderId="0" xfId="77" applyNumberFormat="1" applyFont="1" applyFill="1" applyBorder="1" applyAlignment="1" applyProtection="1">
      <alignment horizontal="right" vertical="center"/>
      <protection/>
    </xf>
    <xf numFmtId="37" fontId="5" fillId="4" borderId="0" xfId="77" applyNumberFormat="1" applyFont="1" applyFill="1" applyAlignment="1" applyProtection="1" quotePrefix="1">
      <alignment horizontal="right" vertical="center"/>
      <protection/>
    </xf>
    <xf numFmtId="37" fontId="5" fillId="4" borderId="20" xfId="77" applyNumberFormat="1" applyFont="1" applyFill="1" applyBorder="1" applyAlignment="1" applyProtection="1">
      <alignment horizontal="left" vertical="center"/>
      <protection/>
    </xf>
    <xf numFmtId="3" fontId="5" fillId="4" borderId="10" xfId="77" applyNumberFormat="1" applyFont="1" applyFill="1" applyBorder="1" applyAlignment="1" applyProtection="1">
      <alignment vertical="center"/>
      <protection/>
    </xf>
    <xf numFmtId="37" fontId="5" fillId="4" borderId="2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xf>
    <xf numFmtId="37" fontId="5" fillId="4" borderId="0" xfId="77" applyNumberFormat="1" applyFont="1" applyFill="1" applyAlignment="1" applyProtection="1">
      <alignment vertical="center"/>
      <protection/>
    </xf>
    <xf numFmtId="0" fontId="5" fillId="4" borderId="0" xfId="77" applyFont="1" applyFill="1" applyAlignment="1" applyProtection="1">
      <alignment horizontal="right" vertical="center"/>
      <protection/>
    </xf>
    <xf numFmtId="37" fontId="5" fillId="4" borderId="0" xfId="77" applyNumberFormat="1" applyFont="1" applyFill="1" applyAlignment="1" applyProtection="1">
      <alignment horizontal="right" vertical="center"/>
      <protection/>
    </xf>
    <xf numFmtId="3" fontId="5" fillId="4" borderId="10" xfId="77" applyNumberFormat="1" applyFont="1" applyFill="1" applyBorder="1" applyAlignment="1" applyProtection="1">
      <alignment horizontal="center" vertical="center"/>
      <protection/>
    </xf>
    <xf numFmtId="1" fontId="5" fillId="4" borderId="14" xfId="77" applyNumberFormat="1" applyFont="1" applyFill="1" applyBorder="1" applyAlignment="1" applyProtection="1">
      <alignment horizontal="center" vertical="center"/>
      <protection/>
    </xf>
    <xf numFmtId="37" fontId="5" fillId="4" borderId="0" xfId="77" applyNumberFormat="1" applyFont="1" applyFill="1" applyAlignment="1" applyProtection="1">
      <alignment horizontal="fill" vertical="center"/>
      <protection/>
    </xf>
    <xf numFmtId="37" fontId="5" fillId="4" borderId="25" xfId="77" applyNumberFormat="1" applyFont="1" applyFill="1" applyBorder="1" applyAlignment="1" applyProtection="1">
      <alignment horizontal="left" vertical="center"/>
      <protection/>
    </xf>
    <xf numFmtId="37" fontId="4" fillId="4" borderId="20" xfId="77" applyNumberFormat="1" applyFont="1" applyFill="1" applyBorder="1" applyAlignment="1" applyProtection="1">
      <alignment horizontal="left" vertical="center"/>
      <protection/>
    </xf>
    <xf numFmtId="3" fontId="5" fillId="4" borderId="0" xfId="77" applyNumberFormat="1" applyFont="1" applyFill="1" applyAlignment="1" applyProtection="1">
      <alignment horizontal="center" vertical="center"/>
      <protection/>
    </xf>
    <xf numFmtId="0" fontId="17" fillId="0" borderId="0" xfId="77" applyFont="1" applyAlignment="1" applyProtection="1">
      <alignment vertical="center"/>
      <protection/>
    </xf>
    <xf numFmtId="0" fontId="15" fillId="4" borderId="0" xfId="77" applyFont="1" applyFill="1" applyAlignment="1" applyProtection="1">
      <alignment horizontal="center" vertical="center"/>
      <protection/>
    </xf>
    <xf numFmtId="3" fontId="4" fillId="7" borderId="10" xfId="77" applyNumberFormat="1" applyFont="1" applyFill="1" applyBorder="1" applyAlignment="1" applyProtection="1">
      <alignment vertical="center"/>
      <protection/>
    </xf>
    <xf numFmtId="0" fontId="5" fillId="4" borderId="20" xfId="77" applyFont="1" applyFill="1" applyBorder="1" applyAlignment="1" applyProtection="1">
      <alignment vertical="center"/>
      <protection locked="0"/>
    </xf>
    <xf numFmtId="3" fontId="5" fillId="4" borderId="10" xfId="77" applyNumberFormat="1" applyFont="1" applyFill="1" applyBorder="1" applyAlignment="1" applyProtection="1">
      <alignment horizontal="fill" vertical="center"/>
      <protection/>
    </xf>
    <xf numFmtId="3" fontId="5" fillId="22" borderId="10" xfId="77" applyNumberFormat="1" applyFont="1" applyFill="1" applyBorder="1" applyAlignment="1" applyProtection="1">
      <alignment vertical="center"/>
      <protection/>
    </xf>
    <xf numFmtId="37" fontId="5" fillId="18" borderId="0" xfId="77" applyNumberFormat="1" applyFont="1" applyFill="1" applyAlignment="1" applyProtection="1">
      <alignment horizontal="left" vertical="center"/>
      <protection locked="0"/>
    </xf>
    <xf numFmtId="3" fontId="4" fillId="4" borderId="10" xfId="77" applyNumberFormat="1" applyFont="1" applyFill="1" applyBorder="1" applyAlignment="1" applyProtection="1">
      <alignment vertical="center"/>
      <protection/>
    </xf>
    <xf numFmtId="0" fontId="5" fillId="4" borderId="26" xfId="77" applyFont="1" applyFill="1" applyBorder="1" applyAlignment="1" applyProtection="1">
      <alignment vertical="center"/>
      <protection locked="0"/>
    </xf>
    <xf numFmtId="0" fontId="5" fillId="4" borderId="0" xfId="77" applyFont="1" applyFill="1" applyBorder="1" applyAlignment="1" applyProtection="1">
      <alignment vertical="center"/>
      <protection locked="0"/>
    </xf>
    <xf numFmtId="0" fontId="5" fillId="4" borderId="21" xfId="77" applyFont="1" applyFill="1" applyBorder="1" applyAlignment="1" applyProtection="1">
      <alignment vertical="center"/>
      <protection locked="0"/>
    </xf>
    <xf numFmtId="0" fontId="5" fillId="4" borderId="17" xfId="77" applyFont="1" applyFill="1" applyBorder="1" applyAlignment="1" applyProtection="1">
      <alignment vertical="center"/>
      <protection locked="0"/>
    </xf>
    <xf numFmtId="1" fontId="5" fillId="4" borderId="25" xfId="77" applyNumberFormat="1" applyFont="1" applyFill="1" applyBorder="1" applyAlignment="1" applyProtection="1">
      <alignment horizontal="center" vertical="center"/>
      <protection/>
    </xf>
    <xf numFmtId="195" fontId="13" fillId="4" borderId="26" xfId="77" applyNumberFormat="1" applyFont="1" applyFill="1" applyBorder="1" applyAlignment="1" applyProtection="1">
      <alignment vertical="center"/>
      <protection locked="0"/>
    </xf>
    <xf numFmtId="195" fontId="13" fillId="4" borderId="25" xfId="77" applyNumberFormat="1" applyFont="1" applyFill="1" applyBorder="1" applyAlignment="1" applyProtection="1">
      <alignment horizontal="center" vertical="center"/>
      <protection locked="0"/>
    </xf>
    <xf numFmtId="195" fontId="13" fillId="4" borderId="26" xfId="77" applyNumberFormat="1" applyFont="1" applyFill="1" applyBorder="1" applyAlignment="1" applyProtection="1">
      <alignment horizontal="center" vertical="center"/>
      <protection locked="0"/>
    </xf>
    <xf numFmtId="0" fontId="13" fillId="4" borderId="11" xfId="77" applyFont="1" applyFill="1" applyBorder="1" applyAlignment="1" applyProtection="1">
      <alignment vertical="center"/>
      <protection locked="0"/>
    </xf>
    <xf numFmtId="0" fontId="13" fillId="4" borderId="0" xfId="77" applyFont="1" applyFill="1" applyBorder="1" applyAlignment="1" applyProtection="1">
      <alignment vertical="center"/>
      <protection locked="0"/>
    </xf>
    <xf numFmtId="0" fontId="13" fillId="4" borderId="0" xfId="77" applyFont="1" applyFill="1" applyBorder="1" applyAlignment="1" applyProtection="1">
      <alignment horizontal="left" vertical="center"/>
      <protection locked="0"/>
    </xf>
    <xf numFmtId="37" fontId="5" fillId="18" borderId="20" xfId="77" applyNumberFormat="1" applyFont="1" applyFill="1" applyBorder="1" applyAlignment="1" applyProtection="1">
      <alignment horizontal="right" vertical="center"/>
      <protection locked="0"/>
    </xf>
    <xf numFmtId="3" fontId="4" fillId="7" borderId="20" xfId="77" applyNumberFormat="1" applyFont="1" applyFill="1" applyBorder="1" applyAlignment="1" applyProtection="1">
      <alignment vertical="center"/>
      <protection/>
    </xf>
    <xf numFmtId="3" fontId="5" fillId="4" borderId="20" xfId="77" applyNumberFormat="1" applyFont="1" applyFill="1" applyBorder="1" applyAlignment="1" applyProtection="1">
      <alignment vertical="center"/>
      <protection/>
    </xf>
    <xf numFmtId="37" fontId="5" fillId="18" borderId="20" xfId="77" applyNumberFormat="1" applyFont="1" applyFill="1" applyBorder="1" applyAlignment="1" applyProtection="1">
      <alignment vertical="center"/>
      <protection locked="0"/>
    </xf>
    <xf numFmtId="3" fontId="5" fillId="18" borderId="20" xfId="77" applyNumberFormat="1" applyFont="1" applyFill="1" applyBorder="1" applyAlignment="1" applyProtection="1">
      <alignment vertical="center"/>
      <protection locked="0"/>
    </xf>
    <xf numFmtId="3" fontId="4" fillId="4" borderId="20" xfId="77" applyNumberFormat="1" applyFont="1" applyFill="1" applyBorder="1" applyAlignment="1" applyProtection="1">
      <alignment vertical="center"/>
      <protection/>
    </xf>
    <xf numFmtId="3" fontId="5" fillId="7" borderId="20" xfId="77" applyNumberFormat="1" applyFont="1" applyFill="1" applyBorder="1" applyAlignment="1" applyProtection="1">
      <alignment vertical="center"/>
      <protection/>
    </xf>
    <xf numFmtId="37" fontId="4" fillId="4" borderId="11" xfId="77" applyNumberFormat="1" applyFont="1" applyFill="1" applyBorder="1" applyAlignment="1" applyProtection="1">
      <alignment vertical="center"/>
      <protection/>
    </xf>
    <xf numFmtId="37" fontId="4" fillId="4" borderId="0" xfId="77" applyNumberFormat="1" applyFont="1" applyFill="1" applyBorder="1" applyAlignment="1" applyProtection="1">
      <alignment vertical="center"/>
      <protection/>
    </xf>
    <xf numFmtId="0" fontId="9" fillId="19" borderId="10" xfId="0" applyFont="1" applyFill="1" applyBorder="1" applyAlignment="1" applyProtection="1">
      <alignment vertical="center" shrinkToFit="1"/>
      <protection/>
    </xf>
    <xf numFmtId="37" fontId="5" fillId="4" borderId="13" xfId="77" applyNumberFormat="1" applyFont="1" applyFill="1" applyBorder="1" applyAlignment="1" applyProtection="1">
      <alignment horizontal="center" vertical="center"/>
      <protection/>
    </xf>
    <xf numFmtId="37" fontId="5" fillId="4" borderId="14" xfId="7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19" borderId="0" xfId="0" applyFont="1" applyFill="1" applyAlignment="1">
      <alignment/>
    </xf>
    <xf numFmtId="0" fontId="33" fillId="4" borderId="0" xfId="0" applyFont="1" applyFill="1" applyAlignment="1">
      <alignment/>
    </xf>
    <xf numFmtId="0" fontId="34" fillId="19" borderId="0" xfId="0" applyFont="1" applyFill="1" applyAlignment="1">
      <alignment horizontal="center" wrapText="1"/>
    </xf>
    <xf numFmtId="0" fontId="34" fillId="4" borderId="0" xfId="0" applyFont="1" applyFill="1" applyAlignment="1">
      <alignment/>
    </xf>
    <xf numFmtId="0" fontId="33" fillId="4" borderId="0" xfId="0" applyFont="1" applyFill="1" applyAlignment="1">
      <alignment horizontal="center"/>
    </xf>
    <xf numFmtId="0" fontId="34" fillId="4" borderId="27" xfId="0" applyFont="1" applyFill="1" applyBorder="1" applyAlignment="1">
      <alignment/>
    </xf>
    <xf numFmtId="0" fontId="33" fillId="4" borderId="28" xfId="0" applyFont="1" applyFill="1" applyBorder="1" applyAlignment="1">
      <alignment/>
    </xf>
    <xf numFmtId="0" fontId="33" fillId="4" borderId="29" xfId="0" applyFont="1" applyFill="1" applyBorder="1" applyAlignment="1">
      <alignment/>
    </xf>
    <xf numFmtId="195" fontId="33" fillId="4" borderId="30" xfId="0" applyNumberFormat="1" applyFont="1" applyFill="1" applyBorder="1" applyAlignment="1">
      <alignment/>
    </xf>
    <xf numFmtId="0" fontId="33" fillId="4" borderId="0" xfId="0" applyFont="1" applyFill="1" applyBorder="1" applyAlignment="1">
      <alignment/>
    </xf>
    <xf numFmtId="195" fontId="33" fillId="4" borderId="11" xfId="0" applyNumberFormat="1" applyFont="1" applyFill="1" applyBorder="1" applyAlignment="1">
      <alignment horizontal="center"/>
    </xf>
    <xf numFmtId="0" fontId="33" fillId="4" borderId="31" xfId="0" applyFont="1" applyFill="1" applyBorder="1" applyAlignment="1">
      <alignment/>
    </xf>
    <xf numFmtId="0" fontId="33" fillId="4" borderId="32" xfId="0" applyFont="1" applyFill="1" applyBorder="1" applyAlignment="1">
      <alignment/>
    </xf>
    <xf numFmtId="0" fontId="33" fillId="4" borderId="33" xfId="0" applyFont="1" applyFill="1" applyBorder="1" applyAlignment="1">
      <alignment/>
    </xf>
    <xf numFmtId="0" fontId="33" fillId="4" borderId="34" xfId="0" applyFont="1" applyFill="1" applyBorder="1" applyAlignment="1">
      <alignment/>
    </xf>
    <xf numFmtId="195" fontId="33" fillId="4" borderId="0" xfId="0" applyNumberFormat="1" applyFont="1" applyFill="1" applyAlignment="1">
      <alignment/>
    </xf>
    <xf numFmtId="0" fontId="33" fillId="4" borderId="27" xfId="0" applyFont="1" applyFill="1" applyBorder="1" applyAlignment="1">
      <alignment/>
    </xf>
    <xf numFmtId="0" fontId="33" fillId="4" borderId="35" xfId="0" applyFont="1" applyFill="1" applyBorder="1" applyAlignment="1">
      <alignment/>
    </xf>
    <xf numFmtId="195" fontId="33" fillId="18" borderId="30" xfId="0" applyNumberFormat="1" applyFont="1" applyFill="1" applyBorder="1" applyAlignment="1" applyProtection="1">
      <alignment horizontal="center"/>
      <protection locked="0"/>
    </xf>
    <xf numFmtId="188" fontId="33" fillId="4" borderId="0" xfId="0" applyNumberFormat="1" applyFont="1" applyFill="1" applyBorder="1" applyAlignment="1">
      <alignment horizontal="center"/>
    </xf>
    <xf numFmtId="0" fontId="42" fillId="0" borderId="0" xfId="0" applyFont="1" applyBorder="1" applyAlignment="1">
      <alignment/>
    </xf>
    <xf numFmtId="0" fontId="33" fillId="0" borderId="0" xfId="0" applyFont="1" applyBorder="1" applyAlignment="1">
      <alignment/>
    </xf>
    <xf numFmtId="0" fontId="34" fillId="0" borderId="0" xfId="0" applyFont="1" applyBorder="1" applyAlignment="1">
      <alignment horizontal="centerContinuous"/>
    </xf>
    <xf numFmtId="0" fontId="33" fillId="0" borderId="0" xfId="0" applyFont="1" applyBorder="1" applyAlignment="1">
      <alignment horizontal="centerContinuous"/>
    </xf>
    <xf numFmtId="0" fontId="33" fillId="19" borderId="0" xfId="0" applyFont="1" applyFill="1" applyBorder="1" applyAlignment="1">
      <alignment/>
    </xf>
    <xf numFmtId="0" fontId="33" fillId="4" borderId="36" xfId="0" applyFont="1" applyFill="1" applyBorder="1" applyAlignment="1">
      <alignment/>
    </xf>
    <xf numFmtId="0" fontId="33" fillId="4" borderId="19" xfId="0" applyFont="1" applyFill="1" applyBorder="1" applyAlignment="1">
      <alignment/>
    </xf>
    <xf numFmtId="0" fontId="33" fillId="4" borderId="37" xfId="0" applyFont="1" applyFill="1" applyBorder="1" applyAlignment="1">
      <alignment/>
    </xf>
    <xf numFmtId="196" fontId="33" fillId="4" borderId="0" xfId="0" applyNumberFormat="1" applyFont="1" applyFill="1" applyBorder="1" applyAlignment="1">
      <alignment horizontal="center"/>
    </xf>
    <xf numFmtId="5" fontId="33" fillId="4" borderId="33" xfId="0" applyNumberFormat="1" applyFont="1" applyFill="1" applyBorder="1" applyAlignment="1">
      <alignment horizontal="center"/>
    </xf>
    <xf numFmtId="0" fontId="33" fillId="4" borderId="33" xfId="0" applyFont="1" applyFill="1" applyBorder="1" applyAlignment="1">
      <alignment horizontal="center"/>
    </xf>
    <xf numFmtId="188" fontId="33" fillId="4" borderId="33" xfId="0" applyNumberFormat="1" applyFont="1" applyFill="1" applyBorder="1" applyAlignment="1">
      <alignment horizontal="center"/>
    </xf>
    <xf numFmtId="196" fontId="33" fillId="4" borderId="33" xfId="0" applyNumberFormat="1" applyFont="1" applyFill="1" applyBorder="1" applyAlignment="1">
      <alignment horizontal="center"/>
    </xf>
    <xf numFmtId="0" fontId="33" fillId="4" borderId="0" xfId="0" applyFont="1" applyFill="1" applyAlignment="1">
      <alignment horizontal="center" wrapText="1"/>
    </xf>
    <xf numFmtId="0" fontId="34" fillId="4" borderId="27" xfId="0" applyFont="1" applyFill="1" applyBorder="1" applyAlignment="1">
      <alignment/>
    </xf>
    <xf numFmtId="0" fontId="33" fillId="4" borderId="28" xfId="0" applyFont="1" applyFill="1" applyBorder="1" applyAlignment="1">
      <alignment/>
    </xf>
    <xf numFmtId="0" fontId="33" fillId="4" borderId="29" xfId="0" applyFont="1" applyFill="1" applyBorder="1" applyAlignment="1">
      <alignment/>
    </xf>
    <xf numFmtId="0" fontId="33" fillId="4" borderId="35" xfId="0" applyFont="1" applyFill="1" applyBorder="1" applyAlignment="1">
      <alignment/>
    </xf>
    <xf numFmtId="0" fontId="33" fillId="4" borderId="31" xfId="0" applyFont="1" applyFill="1" applyBorder="1" applyAlignment="1">
      <alignment/>
    </xf>
    <xf numFmtId="0" fontId="33" fillId="4" borderId="36" xfId="0" applyFont="1" applyFill="1" applyBorder="1" applyAlignment="1">
      <alignment/>
    </xf>
    <xf numFmtId="0" fontId="33" fillId="4" borderId="19" xfId="0" applyFont="1" applyFill="1" applyBorder="1" applyAlignment="1">
      <alignment/>
    </xf>
    <xf numFmtId="0" fontId="33" fillId="4" borderId="37" xfId="0" applyFont="1" applyFill="1" applyBorder="1" applyAlignment="1">
      <alignment/>
    </xf>
    <xf numFmtId="178" fontId="33" fillId="4" borderId="0" xfId="0" applyNumberFormat="1" applyFont="1" applyFill="1" applyBorder="1" applyAlignment="1">
      <alignment horizontal="center"/>
    </xf>
    <xf numFmtId="0" fontId="33" fillId="4" borderId="32" xfId="0" applyFont="1" applyFill="1" applyBorder="1" applyAlignment="1">
      <alignment/>
    </xf>
    <xf numFmtId="5" fontId="33" fillId="4" borderId="0" xfId="0" applyNumberFormat="1" applyFont="1" applyFill="1" applyBorder="1" applyAlignment="1">
      <alignment horizontal="center"/>
    </xf>
    <xf numFmtId="0" fontId="33" fillId="19" borderId="0" xfId="0" applyFont="1" applyFill="1" applyAlignment="1">
      <alignment/>
    </xf>
    <xf numFmtId="188" fontId="33" fillId="18" borderId="11" xfId="0" applyNumberFormat="1" applyFont="1" applyFill="1" applyBorder="1" applyAlignment="1" applyProtection="1">
      <alignment horizontal="center"/>
      <protection locked="0"/>
    </xf>
    <xf numFmtId="196" fontId="33" fillId="4" borderId="0" xfId="0" applyNumberFormat="1" applyFont="1" applyFill="1" applyBorder="1" applyAlignment="1">
      <alignment/>
    </xf>
    <xf numFmtId="0" fontId="33" fillId="1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2" applyFont="1" applyAlignment="1" applyProtection="1">
      <alignment/>
      <protection/>
    </xf>
    <xf numFmtId="3" fontId="5" fillId="4" borderId="14" xfId="0" applyNumberFormat="1" applyFont="1" applyFill="1" applyBorder="1" applyAlignment="1" applyProtection="1">
      <alignment horizontal="center" vertical="center"/>
      <protection/>
    </xf>
    <xf numFmtId="3" fontId="5" fillId="18" borderId="20" xfId="77" applyNumberFormat="1" applyFont="1" applyFill="1" applyBorder="1" applyAlignment="1" applyProtection="1">
      <alignment horizontal="right" vertical="center"/>
      <protection locked="0"/>
    </xf>
    <xf numFmtId="0" fontId="5" fillId="0" borderId="0" xfId="79" applyFont="1" applyAlignment="1">
      <alignment vertical="center" wrapText="1"/>
      <protection/>
    </xf>
    <xf numFmtId="0" fontId="5" fillId="0" borderId="0" xfId="331" applyFont="1" applyAlignment="1">
      <alignment vertical="center" wrapText="1"/>
      <protection/>
    </xf>
    <xf numFmtId="0" fontId="5" fillId="0" borderId="0" xfId="333" applyNumberFormat="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79" applyFont="1" applyAlignment="1">
      <alignment vertical="center"/>
      <protection/>
    </xf>
    <xf numFmtId="0" fontId="24" fillId="0" borderId="0" xfId="0" applyFont="1" applyAlignment="1">
      <alignment wrapText="1"/>
    </xf>
    <xf numFmtId="0" fontId="25" fillId="0" borderId="0" xfId="0" applyFont="1" applyAlignment="1">
      <alignment wrapText="1"/>
    </xf>
    <xf numFmtId="188" fontId="5" fillId="18" borderId="21" xfId="77" applyNumberFormat="1" applyFont="1" applyFill="1" applyBorder="1" applyAlignment="1" applyProtection="1">
      <alignment horizontal="center"/>
      <protection locked="0"/>
    </xf>
    <xf numFmtId="0" fontId="37" fillId="4" borderId="26" xfId="77" applyFont="1" applyFill="1" applyBorder="1" applyProtection="1">
      <alignment/>
      <protection/>
    </xf>
    <xf numFmtId="0" fontId="5" fillId="4" borderId="0" xfId="77" applyFont="1" applyFill="1" applyBorder="1" applyProtection="1">
      <alignment/>
      <protection/>
    </xf>
    <xf numFmtId="195" fontId="5" fillId="4" borderId="21" xfId="77" applyNumberFormat="1" applyFont="1" applyFill="1" applyBorder="1" applyAlignment="1" applyProtection="1">
      <alignment horizontal="center"/>
      <protection/>
    </xf>
    <xf numFmtId="0" fontId="5" fillId="4" borderId="25" xfId="77" applyFont="1" applyFill="1" applyBorder="1" applyProtection="1">
      <alignment/>
      <protection/>
    </xf>
    <xf numFmtId="0" fontId="5" fillId="4" borderId="11" xfId="77" applyFont="1" applyFill="1" applyBorder="1" applyProtection="1">
      <alignment/>
      <protection/>
    </xf>
    <xf numFmtId="195" fontId="5" fillId="22" borderId="17" xfId="77" applyNumberFormat="1" applyFont="1" applyFill="1" applyBorder="1" applyAlignment="1" applyProtection="1">
      <alignment horizontal="center"/>
      <protection/>
    </xf>
    <xf numFmtId="0" fontId="5" fillId="0" borderId="0" xfId="77" applyFont="1" applyFill="1" applyBorder="1" applyProtection="1">
      <alignment/>
      <protection/>
    </xf>
    <xf numFmtId="0" fontId="5" fillId="4" borderId="26" xfId="77" applyFont="1" applyFill="1" applyBorder="1" applyProtection="1">
      <alignment/>
      <protection/>
    </xf>
    <xf numFmtId="0" fontId="5" fillId="4" borderId="21" xfId="77" applyFont="1" applyFill="1" applyBorder="1" applyProtection="1">
      <alignment/>
      <protection/>
    </xf>
    <xf numFmtId="178" fontId="5" fillId="4" borderId="21" xfId="77" applyNumberFormat="1" applyFont="1" applyFill="1" applyBorder="1" applyAlignment="1" applyProtection="1">
      <alignment horizontal="center"/>
      <protection/>
    </xf>
    <xf numFmtId="0" fontId="5" fillId="22" borderId="26" xfId="77" applyFont="1" applyFill="1" applyBorder="1" applyProtection="1">
      <alignment/>
      <protection/>
    </xf>
    <xf numFmtId="0" fontId="5" fillId="22" borderId="0" xfId="77" applyFont="1" applyFill="1" applyBorder="1" applyProtection="1">
      <alignment/>
      <protection/>
    </xf>
    <xf numFmtId="0" fontId="5" fillId="22" borderId="25" xfId="77" applyFont="1" applyFill="1" applyBorder="1" applyProtection="1">
      <alignment/>
      <protection/>
    </xf>
    <xf numFmtId="0" fontId="5" fillId="22" borderId="11" xfId="77" applyFont="1" applyFill="1" applyBorder="1" applyProtection="1">
      <alignment/>
      <protection/>
    </xf>
    <xf numFmtId="0" fontId="5" fillId="0" borderId="0" xfId="77" applyFont="1" applyProtection="1">
      <alignment/>
      <protection/>
    </xf>
    <xf numFmtId="195" fontId="5" fillId="4" borderId="17" xfId="77" applyNumberFormat="1" applyFont="1" applyFill="1" applyBorder="1" applyAlignment="1" applyProtection="1">
      <alignment horizontal="center"/>
      <protection/>
    </xf>
    <xf numFmtId="0" fontId="6" fillId="0" borderId="0" xfId="108" applyFont="1" applyAlignment="1">
      <alignment vertical="center"/>
      <protection/>
    </xf>
    <xf numFmtId="178" fontId="5" fillId="4" borderId="10" xfId="0" applyNumberFormat="1" applyFont="1" applyFill="1" applyBorder="1" applyAlignment="1" applyProtection="1">
      <alignment horizontal="center" vertical="center"/>
      <protection/>
    </xf>
    <xf numFmtId="0" fontId="43" fillId="0" borderId="0" xfId="0" applyFont="1" applyAlignment="1">
      <alignment vertical="center"/>
    </xf>
    <xf numFmtId="0" fontId="17" fillId="0" borderId="0" xfId="0" applyFont="1" applyAlignment="1" applyProtection="1">
      <alignment horizontal="center" vertical="center"/>
      <protection locked="0"/>
    </xf>
    <xf numFmtId="0" fontId="18" fillId="4" borderId="0" xfId="0" applyFont="1" applyFill="1" applyAlignment="1" applyProtection="1">
      <alignment horizontal="center" vertical="center"/>
      <protection/>
    </xf>
    <xf numFmtId="3" fontId="5" fillId="7" borderId="14" xfId="0" applyNumberFormat="1" applyFont="1" applyFill="1" applyBorder="1" applyAlignment="1" applyProtection="1">
      <alignment horizontal="center" vertical="center"/>
      <protection/>
    </xf>
    <xf numFmtId="188" fontId="5" fillId="7" borderId="14" xfId="0" applyNumberFormat="1" applyFont="1" applyFill="1" applyBorder="1" applyAlignment="1" applyProtection="1">
      <alignment horizontal="center" vertical="center"/>
      <protection/>
    </xf>
    <xf numFmtId="177" fontId="5" fillId="18" borderId="10" xfId="42" applyNumberFormat="1" applyFont="1" applyFill="1" applyBorder="1" applyAlignment="1" applyProtection="1">
      <alignment vertical="center"/>
      <protection locked="0"/>
    </xf>
    <xf numFmtId="49" fontId="5" fillId="4" borderId="0" xfId="0" applyNumberFormat="1" applyFont="1" applyFill="1" applyAlignment="1" applyProtection="1">
      <alignment vertical="center"/>
      <protection/>
    </xf>
    <xf numFmtId="188" fontId="14" fillId="4" borderId="20" xfId="71" applyNumberFormat="1" applyFont="1" applyFill="1" applyBorder="1" applyAlignment="1" applyProtection="1">
      <alignment vertical="center"/>
      <protection locked="0"/>
    </xf>
    <xf numFmtId="37" fontId="4" fillId="4" borderId="0" xfId="0" applyNumberFormat="1" applyFont="1" applyFill="1" applyBorder="1" applyAlignment="1" applyProtection="1">
      <alignment vertical="center"/>
      <protection/>
    </xf>
    <xf numFmtId="0" fontId="5" fillId="4" borderId="0" xfId="77" applyFont="1" applyFill="1" applyBorder="1" applyAlignment="1" applyProtection="1">
      <alignment vertical="center"/>
      <protection/>
    </xf>
    <xf numFmtId="0" fontId="37" fillId="4" borderId="0" xfId="77" applyFont="1" applyFill="1" applyBorder="1" applyAlignment="1" applyProtection="1">
      <alignment vertical="center"/>
      <protection locked="0"/>
    </xf>
    <xf numFmtId="0" fontId="37" fillId="22" borderId="11" xfId="77" applyFont="1" applyFill="1" applyBorder="1" applyAlignment="1" applyProtection="1">
      <alignment vertical="center"/>
      <protection locked="0"/>
    </xf>
    <xf numFmtId="0" fontId="5" fillId="22" borderId="11" xfId="77" applyFont="1" applyFill="1" applyBorder="1" applyAlignment="1" applyProtection="1">
      <alignment vertical="center"/>
      <protection locked="0"/>
    </xf>
    <xf numFmtId="0" fontId="40" fillId="22" borderId="25" xfId="77" applyFont="1" applyFill="1" applyBorder="1" applyAlignment="1" applyProtection="1">
      <alignment vertical="center"/>
      <protection locked="0"/>
    </xf>
    <xf numFmtId="195" fontId="37" fillId="18" borderId="10" xfId="77" applyNumberFormat="1" applyFont="1" applyFill="1" applyBorder="1" applyAlignment="1" applyProtection="1">
      <alignment horizontal="center" vertical="center"/>
      <protection locked="0"/>
    </xf>
    <xf numFmtId="0" fontId="5" fillId="4" borderId="26" xfId="77" applyFont="1" applyFill="1" applyBorder="1" applyAlignment="1" applyProtection="1">
      <alignment vertical="center"/>
      <protection/>
    </xf>
    <xf numFmtId="0" fontId="5" fillId="4" borderId="21" xfId="77" applyFont="1" applyFill="1" applyBorder="1" applyAlignment="1" applyProtection="1">
      <alignment vertical="center"/>
      <protection/>
    </xf>
    <xf numFmtId="195" fontId="37" fillId="4" borderId="26" xfId="77" applyNumberFormat="1" applyFont="1" applyFill="1" applyBorder="1" applyAlignment="1" applyProtection="1">
      <alignment horizontal="center" vertical="center"/>
      <protection/>
    </xf>
    <xf numFmtId="0" fontId="37" fillId="4" borderId="0" xfId="77" applyFont="1" applyFill="1" applyBorder="1" applyAlignment="1" applyProtection="1">
      <alignment horizontal="left" vertical="center"/>
      <protection/>
    </xf>
    <xf numFmtId="0" fontId="37" fillId="4" borderId="21" xfId="77" applyFont="1" applyFill="1" applyBorder="1" applyAlignment="1" applyProtection="1">
      <alignment vertical="center"/>
      <protection/>
    </xf>
    <xf numFmtId="0" fontId="37" fillId="4" borderId="0" xfId="77" applyFont="1" applyFill="1" applyBorder="1" applyAlignment="1" applyProtection="1">
      <alignment vertical="center"/>
      <protection/>
    </xf>
    <xf numFmtId="195" fontId="37" fillId="4" borderId="25" xfId="77" applyNumberFormat="1" applyFont="1" applyFill="1" applyBorder="1" applyAlignment="1" applyProtection="1">
      <alignment horizontal="center" vertical="center"/>
      <protection/>
    </xf>
    <xf numFmtId="195" fontId="37" fillId="4" borderId="26" xfId="77" applyNumberFormat="1" applyFont="1" applyFill="1" applyBorder="1" applyAlignment="1" applyProtection="1">
      <alignment vertical="center"/>
      <protection/>
    </xf>
    <xf numFmtId="0" fontId="40" fillId="22" borderId="11" xfId="77" applyFont="1" applyFill="1" applyBorder="1" applyAlignment="1" applyProtection="1">
      <alignment vertical="center"/>
      <protection/>
    </xf>
    <xf numFmtId="0" fontId="37" fillId="22" borderId="17" xfId="77" applyFont="1" applyFill="1" applyBorder="1" applyAlignment="1" applyProtection="1">
      <alignment vertical="center"/>
      <protection/>
    </xf>
    <xf numFmtId="0" fontId="5" fillId="22" borderId="17" xfId="77" applyFont="1" applyFill="1" applyBorder="1" applyAlignment="1" applyProtection="1">
      <alignment vertical="center"/>
      <protection/>
    </xf>
    <xf numFmtId="0" fontId="37" fillId="4" borderId="26" xfId="77" applyFont="1" applyFill="1" applyBorder="1" applyAlignment="1" applyProtection="1">
      <alignment horizontal="left" vertical="center"/>
      <protection/>
    </xf>
    <xf numFmtId="195" fontId="40" fillId="22" borderId="25" xfId="77" applyNumberFormat="1" applyFont="1" applyFill="1" applyBorder="1" applyAlignment="1" applyProtection="1">
      <alignment horizontal="center" vertical="center"/>
      <protection/>
    </xf>
    <xf numFmtId="195" fontId="40" fillId="22" borderId="17" xfId="77" applyNumberFormat="1" applyFont="1" applyFill="1" applyBorder="1" applyAlignment="1" applyProtection="1">
      <alignment horizontal="center" vertical="center"/>
      <protection locked="0"/>
    </xf>
    <xf numFmtId="0" fontId="5" fillId="4" borderId="18" xfId="71" applyFont="1" applyFill="1" applyBorder="1" applyAlignment="1" applyProtection="1">
      <alignment vertical="center"/>
      <protection locked="0"/>
    </xf>
    <xf numFmtId="0" fontId="5" fillId="4" borderId="16" xfId="71" applyFont="1" applyFill="1" applyBorder="1" applyAlignment="1" applyProtection="1">
      <alignment vertical="center"/>
      <protection locked="0"/>
    </xf>
    <xf numFmtId="0" fontId="37" fillId="4" borderId="16" xfId="77" applyFont="1" applyFill="1" applyBorder="1" applyAlignment="1" applyProtection="1">
      <alignment horizontal="left" vertical="center"/>
      <protection/>
    </xf>
    <xf numFmtId="188" fontId="37" fillId="4" borderId="18" xfId="77" applyNumberFormat="1" applyFont="1" applyFill="1" applyBorder="1" applyAlignment="1" applyProtection="1">
      <alignment horizontal="center" vertical="center"/>
      <protection locked="0"/>
    </xf>
    <xf numFmtId="0" fontId="37" fillId="4" borderId="26" xfId="77"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locked="0"/>
    </xf>
    <xf numFmtId="37" fontId="5" fillId="4" borderId="11" xfId="0" applyNumberFormat="1" applyFont="1" applyFill="1" applyBorder="1" applyAlignment="1" applyProtection="1">
      <alignment vertical="center"/>
      <protection locked="0"/>
    </xf>
    <xf numFmtId="37" fontId="5" fillId="4" borderId="12" xfId="71" applyNumberFormat="1" applyFont="1" applyFill="1" applyBorder="1" applyAlignment="1" applyProtection="1">
      <alignment horizontal="center"/>
      <protection/>
    </xf>
    <xf numFmtId="37" fontId="5" fillId="4" borderId="14" xfId="71" applyNumberFormat="1" applyFont="1" applyFill="1" applyBorder="1" applyAlignment="1" applyProtection="1">
      <alignment horizontal="center"/>
      <protection/>
    </xf>
    <xf numFmtId="0" fontId="34" fillId="4" borderId="0" xfId="0" applyFont="1" applyFill="1" applyAlignment="1">
      <alignment horizontal="center" wrapText="1"/>
    </xf>
    <xf numFmtId="0" fontId="34" fillId="4" borderId="0" xfId="0" applyFont="1" applyFill="1" applyAlignment="1">
      <alignment horizontal="center"/>
    </xf>
    <xf numFmtId="195" fontId="33" fillId="4" borderId="0" xfId="0" applyNumberFormat="1" applyFont="1" applyFill="1" applyAlignment="1">
      <alignment horizontal="center"/>
    </xf>
    <xf numFmtId="0" fontId="33" fillId="4" borderId="0" xfId="0" applyFont="1" applyFill="1" applyBorder="1" applyAlignment="1">
      <alignment/>
    </xf>
    <xf numFmtId="0" fontId="33" fillId="4" borderId="34" xfId="0" applyFont="1" applyFill="1" applyBorder="1" applyAlignment="1">
      <alignment/>
    </xf>
    <xf numFmtId="0" fontId="33" fillId="4" borderId="0" xfId="0" applyFont="1" applyFill="1" applyBorder="1" applyAlignment="1">
      <alignment horizontal="center"/>
    </xf>
    <xf numFmtId="195" fontId="33" fillId="4" borderId="0" xfId="0" applyNumberFormat="1" applyFont="1" applyFill="1" applyBorder="1" applyAlignment="1">
      <alignment horizontal="center"/>
    </xf>
    <xf numFmtId="0" fontId="33" fillId="4" borderId="19" xfId="0" applyFont="1" applyFill="1" applyBorder="1" applyAlignment="1">
      <alignment horizontal="center"/>
    </xf>
    <xf numFmtId="1" fontId="8" fillId="4" borderId="24" xfId="0" applyNumberFormat="1" applyFont="1" applyFill="1" applyBorder="1" applyAlignment="1" applyProtection="1">
      <alignment horizontal="center" vertical="center"/>
      <protection/>
    </xf>
    <xf numFmtId="37" fontId="8" fillId="4" borderId="24" xfId="0" applyNumberFormat="1" applyFont="1" applyFill="1" applyBorder="1" applyAlignment="1" applyProtection="1">
      <alignment horizontal="center" vertical="center"/>
      <protection/>
    </xf>
    <xf numFmtId="37" fontId="8" fillId="4" borderId="12" xfId="0" applyNumberFormat="1" applyFont="1" applyFill="1" applyBorder="1" applyAlignment="1" applyProtection="1">
      <alignment horizontal="center" vertical="center"/>
      <protection/>
    </xf>
    <xf numFmtId="1" fontId="8" fillId="4" borderId="12" xfId="0" applyNumberFormat="1" applyFont="1" applyFill="1" applyBorder="1" applyAlignment="1" applyProtection="1">
      <alignment horizontal="center" vertical="center"/>
      <protection/>
    </xf>
    <xf numFmtId="0" fontId="4" fillId="4" borderId="11" xfId="0" applyFont="1" applyFill="1" applyBorder="1" applyAlignment="1" applyProtection="1">
      <alignment vertical="center"/>
      <protection/>
    </xf>
    <xf numFmtId="37" fontId="8" fillId="4" borderId="10" xfId="0" applyNumberFormat="1" applyFont="1" applyFill="1" applyBorder="1" applyAlignment="1" applyProtection="1">
      <alignment horizontal="center" vertical="center"/>
      <protection/>
    </xf>
    <xf numFmtId="1" fontId="8" fillId="4" borderId="24" xfId="77" applyNumberFormat="1" applyFont="1" applyFill="1" applyBorder="1" applyAlignment="1" applyProtection="1">
      <alignment horizontal="center" vertical="center"/>
      <protection/>
    </xf>
    <xf numFmtId="37" fontId="8" fillId="4" borderId="24" xfId="77" applyNumberFormat="1" applyFont="1" applyFill="1" applyBorder="1" applyAlignment="1" applyProtection="1">
      <alignment horizontal="center" vertical="center"/>
      <protection/>
    </xf>
    <xf numFmtId="37" fontId="8" fillId="4" borderId="12" xfId="77" applyNumberFormat="1" applyFont="1" applyFill="1" applyBorder="1" applyAlignment="1" applyProtection="1">
      <alignment horizontal="center" vertical="center"/>
      <protection/>
    </xf>
    <xf numFmtId="197" fontId="5" fillId="4" borderId="10" xfId="0" applyNumberFormat="1" applyFont="1" applyFill="1" applyBorder="1" applyAlignment="1" applyProtection="1">
      <alignment horizontal="center" vertical="center"/>
      <protection/>
    </xf>
    <xf numFmtId="0" fontId="34" fillId="4" borderId="35" xfId="0" applyFont="1" applyFill="1" applyBorder="1" applyAlignment="1">
      <alignment horizontal="centerContinuous" vertical="center"/>
    </xf>
    <xf numFmtId="195" fontId="34" fillId="4" borderId="0" xfId="0" applyNumberFormat="1" applyFont="1" applyFill="1" applyBorder="1" applyAlignment="1">
      <alignment horizontal="centerContinuous" vertical="center"/>
    </xf>
    <xf numFmtId="0" fontId="34" fillId="4" borderId="0" xfId="0" applyFont="1" applyFill="1" applyBorder="1" applyAlignment="1">
      <alignment horizontal="centerContinuous" vertical="center"/>
    </xf>
    <xf numFmtId="188" fontId="34" fillId="4" borderId="0" xfId="0" applyNumberFormat="1" applyFont="1" applyFill="1" applyBorder="1" applyAlignment="1" applyProtection="1">
      <alignment horizontal="centerContinuous" vertical="center"/>
      <protection locked="0"/>
    </xf>
    <xf numFmtId="196" fontId="34" fillId="4" borderId="0" xfId="0" applyNumberFormat="1" applyFont="1" applyFill="1" applyBorder="1" applyAlignment="1">
      <alignment horizontal="centerContinuous" vertical="center"/>
    </xf>
    <xf numFmtId="0" fontId="34" fillId="4" borderId="31" xfId="0" applyFont="1" applyFill="1" applyBorder="1" applyAlignment="1">
      <alignment horizontal="centerContinuous" vertical="center"/>
    </xf>
    <xf numFmtId="0" fontId="34" fillId="4" borderId="35" xfId="0" applyFont="1" applyFill="1" applyBorder="1" applyAlignment="1">
      <alignment horizontal="centerContinuous"/>
    </xf>
    <xf numFmtId="195" fontId="34" fillId="4" borderId="0" xfId="0" applyNumberFormat="1" applyFont="1" applyFill="1" applyBorder="1" applyAlignment="1">
      <alignment horizontal="centerContinuous"/>
    </xf>
    <xf numFmtId="0" fontId="34" fillId="4" borderId="0" xfId="0" applyFont="1" applyFill="1" applyBorder="1" applyAlignment="1">
      <alignment horizontal="centerContinuous"/>
    </xf>
    <xf numFmtId="188" fontId="34" fillId="4" borderId="0" xfId="0" applyNumberFormat="1" applyFont="1" applyFill="1" applyBorder="1" applyAlignment="1" applyProtection="1">
      <alignment horizontal="centerContinuous"/>
      <protection locked="0"/>
    </xf>
    <xf numFmtId="196" fontId="34" fillId="4" borderId="0" xfId="0" applyNumberFormat="1" applyFont="1" applyFill="1" applyBorder="1" applyAlignment="1">
      <alignment horizontal="centerContinuous"/>
    </xf>
    <xf numFmtId="0" fontId="34" fillId="4" borderId="31" xfId="0" applyFont="1" applyFill="1" applyBorder="1" applyAlignment="1">
      <alignment horizontal="centerContinuous"/>
    </xf>
    <xf numFmtId="195" fontId="33" fillId="0" borderId="0" xfId="0" applyNumberFormat="1" applyFont="1" applyAlignment="1">
      <alignment/>
    </xf>
    <xf numFmtId="195" fontId="33" fillId="4" borderId="33" xfId="0" applyNumberFormat="1" applyFont="1" applyFill="1" applyBorder="1" applyAlignment="1">
      <alignment horizontal="center"/>
    </xf>
    <xf numFmtId="188" fontId="33" fillId="4" borderId="33" xfId="0" applyNumberFormat="1" applyFont="1" applyFill="1" applyBorder="1" applyAlignment="1" applyProtection="1">
      <alignment horizontal="center"/>
      <protection locked="0"/>
    </xf>
    <xf numFmtId="196" fontId="33" fillId="4" borderId="33" xfId="0" applyNumberFormat="1" applyFont="1" applyFill="1" applyBorder="1" applyAlignment="1">
      <alignment/>
    </xf>
    <xf numFmtId="188" fontId="33" fillId="4" borderId="0" xfId="0" applyNumberFormat="1" applyFont="1" applyFill="1" applyBorder="1" applyAlignment="1" applyProtection="1">
      <alignment horizontal="center"/>
      <protection locked="0"/>
    </xf>
    <xf numFmtId="195" fontId="33" fillId="4" borderId="28" xfId="0" applyNumberFormat="1" applyFont="1" applyFill="1" applyBorder="1" applyAlignment="1">
      <alignment horizontal="center"/>
    </xf>
    <xf numFmtId="0" fontId="33" fillId="4" borderId="28" xfId="0" applyFont="1" applyFill="1" applyBorder="1" applyAlignment="1">
      <alignment horizontal="center"/>
    </xf>
    <xf numFmtId="188" fontId="33" fillId="4" borderId="28" xfId="0" applyNumberFormat="1" applyFont="1" applyFill="1" applyBorder="1" applyAlignment="1" applyProtection="1">
      <alignment horizontal="center"/>
      <protection locked="0"/>
    </xf>
    <xf numFmtId="196" fontId="33" fillId="4" borderId="28" xfId="0" applyNumberFormat="1" applyFont="1" applyFill="1" applyBorder="1" applyAlignment="1">
      <alignment/>
    </xf>
    <xf numFmtId="195" fontId="5" fillId="22" borderId="21" xfId="77" applyNumberFormat="1" applyFont="1" applyFill="1" applyBorder="1" applyAlignment="1" applyProtection="1">
      <alignment horizontal="center"/>
      <protection/>
    </xf>
    <xf numFmtId="0" fontId="5" fillId="22" borderId="25" xfId="0" applyFont="1" applyFill="1" applyBorder="1" applyAlignment="1">
      <alignment vertical="center"/>
    </xf>
    <xf numFmtId="0" fontId="5" fillId="22" borderId="11" xfId="0" applyFont="1" applyFill="1" applyBorder="1" applyAlignment="1">
      <alignment vertical="center"/>
    </xf>
    <xf numFmtId="195" fontId="5" fillId="22" borderId="17" xfId="0" applyNumberFormat="1" applyFont="1" applyFill="1" applyBorder="1" applyAlignment="1">
      <alignment horizontal="center" vertical="center"/>
    </xf>
    <xf numFmtId="37" fontId="5" fillId="4" borderId="10" xfId="0" applyNumberFormat="1" applyFont="1" applyFill="1" applyBorder="1" applyAlignment="1" applyProtection="1">
      <alignment horizontal="left"/>
      <protection/>
    </xf>
    <xf numFmtId="0" fontId="5" fillId="4" borderId="10" xfId="0" applyFont="1" applyFill="1" applyBorder="1" applyAlignment="1" applyProtection="1">
      <alignment/>
      <protection/>
    </xf>
    <xf numFmtId="164" fontId="5" fillId="18" borderId="10" xfId="0" applyNumberFormat="1" applyFont="1" applyFill="1" applyBorder="1" applyAlignment="1" applyProtection="1">
      <alignment/>
      <protection locked="0"/>
    </xf>
    <xf numFmtId="0" fontId="5" fillId="18" borderId="10" xfId="0" applyFont="1" applyFill="1" applyBorder="1" applyAlignment="1" applyProtection="1">
      <alignment/>
      <protection locked="0"/>
    </xf>
    <xf numFmtId="0" fontId="5" fillId="4" borderId="10" xfId="0" applyFont="1" applyFill="1" applyBorder="1" applyAlignment="1" applyProtection="1">
      <alignment/>
      <protection locked="0"/>
    </xf>
    <xf numFmtId="0" fontId="37" fillId="18" borderId="16" xfId="0" applyFont="1" applyFill="1" applyBorder="1" applyAlignment="1" applyProtection="1">
      <alignment vertical="center"/>
      <protection locked="0"/>
    </xf>
    <xf numFmtId="0" fontId="37" fillId="18" borderId="11" xfId="0" applyFont="1" applyFill="1" applyBorder="1" applyAlignment="1" applyProtection="1">
      <alignment vertical="center"/>
      <protection locked="0"/>
    </xf>
    <xf numFmtId="0" fontId="5" fillId="18" borderId="14" xfId="0" applyFont="1" applyFill="1" applyBorder="1" applyAlignment="1" applyProtection="1">
      <alignment horizontal="left" vertical="center"/>
      <protection locked="0"/>
    </xf>
    <xf numFmtId="0" fontId="5" fillId="18" borderId="14" xfId="0" applyNumberFormat="1" applyFont="1" applyFill="1" applyBorder="1" applyAlignment="1" applyProtection="1">
      <alignment horizontal="center" vertical="center"/>
      <protection locked="0"/>
    </xf>
    <xf numFmtId="0" fontId="5" fillId="18" borderId="10" xfId="0" applyNumberFormat="1" applyFont="1" applyFill="1" applyBorder="1" applyAlignment="1" applyProtection="1">
      <alignment horizontal="center" vertical="center"/>
      <protection locked="0"/>
    </xf>
    <xf numFmtId="177" fontId="22" fillId="18" borderId="10" xfId="42" applyNumberFormat="1" applyFont="1" applyFill="1" applyBorder="1" applyAlignment="1" applyProtection="1">
      <alignment horizontal="center" vertical="center"/>
      <protection locked="0"/>
    </xf>
    <xf numFmtId="0" fontId="22" fillId="18" borderId="10" xfId="0" applyNumberFormat="1" applyFont="1" applyFill="1" applyBorder="1" applyAlignment="1" applyProtection="1">
      <alignment horizontal="center" vertical="center"/>
      <protection locked="0"/>
    </xf>
    <xf numFmtId="177" fontId="4" fillId="18" borderId="10" xfId="42" applyNumberFormat="1" applyFont="1" applyFill="1" applyBorder="1" applyAlignment="1" applyProtection="1">
      <alignment horizontal="center" vertical="center"/>
      <protection locked="0"/>
    </xf>
    <xf numFmtId="177" fontId="5" fillId="18" borderId="10" xfId="42" applyNumberFormat="1" applyFont="1" applyFill="1" applyBorder="1" applyAlignment="1" applyProtection="1">
      <alignment horizontal="center"/>
      <protection locked="0"/>
    </xf>
    <xf numFmtId="177" fontId="4" fillId="18" borderId="10" xfId="42" applyNumberFormat="1" applyFont="1" applyFill="1" applyBorder="1" applyAlignment="1" applyProtection="1">
      <alignment horizontal="center"/>
      <protection locked="0"/>
    </xf>
    <xf numFmtId="0" fontId="5" fillId="18" borderId="14" xfId="0" applyFont="1" applyFill="1" applyBorder="1" applyAlignment="1" applyProtection="1">
      <alignment horizontal="center"/>
      <protection locked="0"/>
    </xf>
    <xf numFmtId="174" fontId="5" fillId="18" borderId="10" xfId="0" applyNumberFormat="1" applyFont="1" applyFill="1" applyBorder="1" applyAlignment="1" applyProtection="1">
      <alignment horizontal="center"/>
      <protection locked="0"/>
    </xf>
    <xf numFmtId="37" fontId="5" fillId="18" borderId="10" xfId="0" applyNumberFormat="1" applyFont="1" applyFill="1" applyBorder="1" applyAlignment="1" applyProtection="1">
      <alignment horizontal="center"/>
      <protection locked="0"/>
    </xf>
    <xf numFmtId="175" fontId="5" fillId="18" borderId="10" xfId="0" applyNumberFormat="1" applyFont="1" applyFill="1" applyBorder="1" applyAlignment="1" applyProtection="1">
      <alignment horizontal="center"/>
      <protection locked="0"/>
    </xf>
    <xf numFmtId="37" fontId="5" fillId="18" borderId="20" xfId="0" applyNumberFormat="1" applyFont="1" applyFill="1" applyBorder="1" applyAlignment="1" applyProtection="1">
      <alignment/>
      <protection locked="0"/>
    </xf>
    <xf numFmtId="0" fontId="5" fillId="18" borderId="20" xfId="0" applyFont="1" applyFill="1" applyBorder="1" applyAlignment="1" applyProtection="1">
      <alignment horizontal="left"/>
      <protection locked="0"/>
    </xf>
    <xf numFmtId="0" fontId="5" fillId="18" borderId="10" xfId="0" applyFont="1" applyFill="1" applyBorder="1" applyAlignment="1" applyProtection="1">
      <alignment horizontal="left"/>
      <protection locked="0"/>
    </xf>
    <xf numFmtId="0" fontId="5" fillId="18" borderId="10" xfId="0" applyFont="1" applyFill="1" applyBorder="1" applyAlignment="1" applyProtection="1">
      <alignment horizontal="left"/>
      <protection locked="0"/>
    </xf>
    <xf numFmtId="0" fontId="5" fillId="18" borderId="0" xfId="0" applyFont="1" applyFill="1" applyAlignment="1" applyProtection="1">
      <alignment horizontal="left"/>
      <protection locked="0"/>
    </xf>
    <xf numFmtId="0" fontId="5" fillId="18" borderId="20" xfId="0" applyNumberFormat="1" applyFont="1" applyFill="1" applyBorder="1" applyAlignment="1" applyProtection="1">
      <alignment horizontal="left"/>
      <protection locked="0"/>
    </xf>
    <xf numFmtId="0" fontId="5" fillId="18" borderId="24" xfId="0" applyNumberFormat="1" applyFont="1" applyFill="1" applyBorder="1" applyAlignment="1" applyProtection="1">
      <alignment horizontal="left"/>
      <protection locked="0"/>
    </xf>
    <xf numFmtId="0" fontId="5" fillId="18" borderId="20" xfId="0" applyFont="1" applyFill="1" applyBorder="1" applyAlignment="1" applyProtection="1">
      <alignment/>
      <protection locked="0"/>
    </xf>
    <xf numFmtId="0" fontId="5" fillId="18" borderId="25" xfId="0" applyFont="1" applyFill="1" applyBorder="1" applyAlignment="1" applyProtection="1">
      <alignment/>
      <protection locked="0"/>
    </xf>
    <xf numFmtId="3" fontId="0" fillId="0" borderId="0" xfId="0" applyNumberFormat="1" applyAlignment="1">
      <alignment vertical="center"/>
    </xf>
    <xf numFmtId="3" fontId="5" fillId="0" borderId="0" xfId="0" applyNumberFormat="1" applyFont="1" applyAlignment="1" applyProtection="1">
      <alignment vertical="center"/>
      <protection locked="0"/>
    </xf>
    <xf numFmtId="37" fontId="22" fillId="18" borderId="20" xfId="0" applyNumberFormat="1" applyFont="1" applyFill="1" applyBorder="1" applyAlignment="1" applyProtection="1">
      <alignment vertical="center"/>
      <protection locked="0"/>
    </xf>
    <xf numFmtId="37" fontId="22" fillId="4" borderId="20" xfId="0" applyNumberFormat="1" applyFont="1" applyFill="1" applyBorder="1" applyAlignment="1" applyProtection="1">
      <alignment vertical="center"/>
      <protection/>
    </xf>
    <xf numFmtId="3" fontId="22" fillId="18" borderId="20" xfId="0" applyNumberFormat="1" applyFont="1" applyFill="1" applyBorder="1" applyAlignment="1" applyProtection="1">
      <alignment vertical="center"/>
      <protection locked="0"/>
    </xf>
    <xf numFmtId="186" fontId="5" fillId="18" borderId="10" xfId="0" applyNumberFormat="1" applyFont="1" applyFill="1" applyBorder="1" applyAlignment="1" applyProtection="1">
      <alignment vertical="center"/>
      <protection locked="0"/>
    </xf>
    <xf numFmtId="186" fontId="5" fillId="18" borderId="14" xfId="0" applyNumberFormat="1" applyFont="1" applyFill="1" applyBorder="1" applyAlignment="1" applyProtection="1">
      <alignment vertical="center"/>
      <protection locked="0"/>
    </xf>
    <xf numFmtId="186" fontId="5" fillId="4" borderId="0" xfId="343" applyNumberFormat="1" applyFont="1" applyFill="1" applyAlignment="1" applyProtection="1">
      <alignment horizontal="center" vertical="center"/>
      <protection/>
    </xf>
    <xf numFmtId="37" fontId="5" fillId="4" borderId="10" xfId="0" applyNumberFormat="1" applyFont="1" applyFill="1" applyBorder="1" applyAlignment="1" applyProtection="1">
      <alignment horizontal="right" vertical="center"/>
      <protection/>
    </xf>
    <xf numFmtId="0" fontId="37" fillId="4" borderId="11" xfId="0" applyFont="1" applyFill="1" applyBorder="1" applyAlignment="1">
      <alignment vertical="center"/>
    </xf>
    <xf numFmtId="0" fontId="37" fillId="0" borderId="0" xfId="0" applyFont="1" applyAlignment="1">
      <alignment vertical="center"/>
    </xf>
    <xf numFmtId="0" fontId="13" fillId="18" borderId="10" xfId="0" applyFont="1" applyFill="1" applyBorder="1" applyAlignment="1" applyProtection="1">
      <alignment/>
      <protection locked="0"/>
    </xf>
    <xf numFmtId="3" fontId="13" fillId="18" borderId="10" xfId="0" applyNumberFormat="1" applyFont="1" applyFill="1" applyBorder="1" applyAlignment="1" applyProtection="1">
      <alignment horizontal="center"/>
      <protection locked="0"/>
    </xf>
    <xf numFmtId="0" fontId="13" fillId="18" borderId="18" xfId="0" applyFont="1" applyFill="1" applyBorder="1" applyAlignment="1" applyProtection="1">
      <alignment/>
      <protection locked="0"/>
    </xf>
    <xf numFmtId="0" fontId="13" fillId="18" borderId="22" xfId="0" applyFont="1" applyFill="1" applyBorder="1" applyAlignment="1" applyProtection="1">
      <alignment/>
      <protection locked="0"/>
    </xf>
    <xf numFmtId="0" fontId="13" fillId="18" borderId="0" xfId="0" applyFont="1" applyFill="1" applyAlignment="1" applyProtection="1">
      <alignment/>
      <protection locked="0"/>
    </xf>
    <xf numFmtId="0" fontId="13" fillId="18" borderId="14" xfId="0" applyFont="1" applyFill="1" applyBorder="1" applyAlignment="1" applyProtection="1">
      <alignment/>
      <protection locked="0"/>
    </xf>
    <xf numFmtId="0" fontId="13" fillId="18" borderId="21" xfId="0" applyFont="1" applyFill="1" applyBorder="1" applyAlignment="1" applyProtection="1">
      <alignment/>
      <protection locked="0"/>
    </xf>
    <xf numFmtId="164" fontId="5" fillId="4" borderId="10" xfId="0" applyNumberFormat="1" applyFont="1" applyFill="1" applyBorder="1" applyAlignment="1" applyProtection="1">
      <alignment horizontal="right" vertical="center"/>
      <protection/>
    </xf>
    <xf numFmtId="0" fontId="5" fillId="4" borderId="10" xfId="0" applyFont="1" applyFill="1" applyBorder="1" applyAlignment="1" applyProtection="1">
      <alignment horizontal="right" vertical="center"/>
      <protection/>
    </xf>
    <xf numFmtId="3" fontId="5" fillId="4" borderId="38" xfId="0" applyNumberFormat="1" applyFont="1" applyFill="1" applyBorder="1" applyAlignment="1" applyProtection="1">
      <alignment horizontal="right" vertical="center"/>
      <protection/>
    </xf>
    <xf numFmtId="188" fontId="5" fillId="4" borderId="38" xfId="0" applyNumberFormat="1" applyFont="1" applyFill="1" applyBorder="1" applyAlignment="1" applyProtection="1">
      <alignment horizontal="right" vertical="center"/>
      <protection/>
    </xf>
    <xf numFmtId="3" fontId="5" fillId="4" borderId="14" xfId="0" applyNumberFormat="1" applyFont="1" applyFill="1" applyBorder="1" applyAlignment="1" applyProtection="1">
      <alignment horizontal="right" vertical="center"/>
      <protection/>
    </xf>
    <xf numFmtId="178" fontId="5" fillId="4" borderId="0" xfId="0" applyNumberFormat="1" applyFont="1" applyFill="1" applyBorder="1" applyAlignment="1" applyProtection="1">
      <alignment horizontal="right" vertical="center"/>
      <protection/>
    </xf>
    <xf numFmtId="188" fontId="5" fillId="4" borderId="0" xfId="0" applyNumberFormat="1" applyFont="1" applyFill="1" applyBorder="1" applyAlignment="1" applyProtection="1">
      <alignment horizontal="right" vertical="center"/>
      <protection/>
    </xf>
    <xf numFmtId="3" fontId="5" fillId="4" borderId="0" xfId="0" applyNumberFormat="1" applyFont="1" applyFill="1" applyBorder="1" applyAlignment="1" applyProtection="1">
      <alignment horizontal="right" vertical="center"/>
      <protection/>
    </xf>
    <xf numFmtId="3" fontId="5" fillId="4" borderId="15" xfId="0" applyNumberFormat="1" applyFont="1" applyFill="1" applyBorder="1" applyAlignment="1" applyProtection="1">
      <alignment horizontal="right" vertical="center"/>
      <protection/>
    </xf>
    <xf numFmtId="37" fontId="5" fillId="4" borderId="14" xfId="0" applyNumberFormat="1" applyFont="1" applyFill="1" applyBorder="1" applyAlignment="1" applyProtection="1">
      <alignment horizontal="right" vertical="center"/>
      <protection/>
    </xf>
    <xf numFmtId="0" fontId="5" fillId="4" borderId="12" xfId="0" applyFont="1" applyFill="1" applyBorder="1" applyAlignment="1" applyProtection="1">
      <alignment horizontal="right" vertical="center"/>
      <protection/>
    </xf>
    <xf numFmtId="3" fontId="5" fillId="4" borderId="12" xfId="0" applyNumberFormat="1" applyFont="1" applyFill="1" applyBorder="1" applyAlignment="1" applyProtection="1">
      <alignment horizontal="right" vertical="center"/>
      <protection/>
    </xf>
    <xf numFmtId="166" fontId="5" fillId="4" borderId="0" xfId="0" applyNumberFormat="1" applyFont="1" applyFill="1" applyAlignment="1" applyProtection="1">
      <alignment horizontal="right" vertical="center"/>
      <protection/>
    </xf>
    <xf numFmtId="188" fontId="5" fillId="0" borderId="0" xfId="0" applyNumberFormat="1" applyFont="1" applyAlignment="1">
      <alignment vertical="center"/>
    </xf>
    <xf numFmtId="3" fontId="5" fillId="7" borderId="10" xfId="0" applyNumberFormat="1" applyFont="1" applyFill="1" applyBorder="1" applyAlignment="1" applyProtection="1">
      <alignment horizontal="right" vertical="center"/>
      <protection/>
    </xf>
    <xf numFmtId="177" fontId="5" fillId="18" borderId="10" xfId="0" applyNumberFormat="1" applyFont="1" applyFill="1" applyBorder="1" applyAlignment="1" applyProtection="1">
      <alignment horizontal="right" vertical="center"/>
      <protection locked="0"/>
    </xf>
    <xf numFmtId="0" fontId="37" fillId="4" borderId="19" xfId="0" applyFont="1" applyFill="1" applyBorder="1" applyAlignment="1" applyProtection="1">
      <alignment horizontal="center" vertical="center"/>
      <protection/>
    </xf>
    <xf numFmtId="0" fontId="0" fillId="0" borderId="0" xfId="0" applyAlignment="1">
      <alignment vertical="center"/>
    </xf>
    <xf numFmtId="0" fontId="9" fillId="19"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14" fillId="0" borderId="0" xfId="341" applyFont="1" applyAlignment="1">
      <alignment horizontal="left" vertical="center"/>
      <protection/>
    </xf>
    <xf numFmtId="37" fontId="14" fillId="4" borderId="0" xfId="0" applyNumberFormat="1" applyFont="1" applyFill="1" applyAlignment="1" applyProtection="1">
      <alignment horizontal="center" vertical="center"/>
      <protection/>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4" borderId="0" xfId="0" applyNumberFormat="1" applyFont="1" applyFill="1" applyAlignment="1" applyProtection="1">
      <alignment horizontal="left" vertical="center"/>
      <protection/>
    </xf>
    <xf numFmtId="0" fontId="0" fillId="0" borderId="0" xfId="0" applyAlignment="1">
      <alignment horizontal="left" vertical="center"/>
    </xf>
    <xf numFmtId="0" fontId="17"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14" borderId="19" xfId="0" applyFont="1" applyFill="1" applyBorder="1" applyAlignment="1">
      <alignment vertical="center" wrapText="1"/>
    </xf>
    <xf numFmtId="0" fontId="0" fillId="0" borderId="19" xfId="0" applyBorder="1" applyAlignment="1">
      <alignment vertical="center" wrapText="1"/>
    </xf>
    <xf numFmtId="0" fontId="4"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5" fillId="0" borderId="0" xfId="341" applyFont="1" applyAlignment="1">
      <alignment horizontal="left" vertical="center" wrapText="1"/>
      <protection/>
    </xf>
    <xf numFmtId="0" fontId="29" fillId="0" borderId="0" xfId="341" applyAlignment="1">
      <alignment horizontal="left" vertical="center" wrapText="1"/>
      <protection/>
    </xf>
    <xf numFmtId="0" fontId="44" fillId="0" borderId="19" xfId="0" applyFont="1" applyBorder="1" applyAlignment="1">
      <alignment horizontal="center" vertical="center"/>
    </xf>
    <xf numFmtId="0" fontId="7" fillId="4" borderId="0" xfId="0" applyFont="1" applyFill="1" applyAlignment="1">
      <alignment horizontal="center" vertical="center"/>
    </xf>
    <xf numFmtId="37" fontId="4" fillId="4" borderId="0" xfId="0" applyNumberFormat="1" applyFont="1" applyFill="1" applyAlignment="1">
      <alignment horizontal="center" vertical="center"/>
    </xf>
    <xf numFmtId="0" fontId="4" fillId="4" borderId="0" xfId="0" applyFont="1" applyFill="1" applyAlignment="1">
      <alignment horizontal="center" vertical="center"/>
    </xf>
    <xf numFmtId="37" fontId="4" fillId="4" borderId="0" xfId="0" applyNumberFormat="1" applyFont="1" applyFill="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8" fillId="4" borderId="24" xfId="77" applyFont="1" applyFill="1" applyBorder="1" applyAlignment="1" applyProtection="1">
      <alignment horizontal="center" vertical="center"/>
      <protection/>
    </xf>
    <xf numFmtId="0" fontId="39" fillId="0" borderId="19" xfId="77" applyFont="1" applyBorder="1" applyAlignment="1" applyProtection="1">
      <alignment horizontal="center" vertical="center"/>
      <protection/>
    </xf>
    <xf numFmtId="0" fontId="0" fillId="0" borderId="22" xfId="77" applyBorder="1" applyAlignment="1" applyProtection="1">
      <alignment vertical="center"/>
      <protection/>
    </xf>
    <xf numFmtId="0" fontId="38" fillId="4" borderId="19" xfId="77" applyFont="1" applyFill="1" applyBorder="1" applyAlignment="1" applyProtection="1">
      <alignment horizontal="center" vertical="center"/>
      <protection/>
    </xf>
    <xf numFmtId="3" fontId="5" fillId="4" borderId="19" xfId="79" applyNumberFormat="1" applyFont="1" applyFill="1" applyBorder="1" applyAlignment="1" applyProtection="1">
      <alignment horizontal="right" vertical="center"/>
      <protection/>
    </xf>
    <xf numFmtId="0" fontId="0" fillId="0" borderId="22" xfId="79" applyBorder="1" applyAlignment="1">
      <alignment horizontal="right" vertical="center"/>
      <protection/>
    </xf>
    <xf numFmtId="0" fontId="5" fillId="4" borderId="0" xfId="79" applyFont="1" applyFill="1" applyAlignment="1" applyProtection="1">
      <alignment horizontal="right" vertical="center"/>
      <protection/>
    </xf>
    <xf numFmtId="0" fontId="5" fillId="0" borderId="21" xfId="79" applyFont="1" applyBorder="1" applyAlignment="1">
      <alignment horizontal="right" vertical="center"/>
      <protection/>
    </xf>
    <xf numFmtId="0" fontId="5" fillId="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1" fillId="4" borderId="24" xfId="77" applyFont="1" applyFill="1" applyBorder="1" applyAlignment="1" applyProtection="1">
      <alignment horizontal="center" vertical="center"/>
      <protection locked="0"/>
    </xf>
    <xf numFmtId="0" fontId="16" fillId="0" borderId="19" xfId="77" applyFont="1" applyBorder="1" applyAlignment="1">
      <alignment horizontal="center" vertical="center"/>
      <protection/>
    </xf>
    <xf numFmtId="0" fontId="16" fillId="0" borderId="22" xfId="77" applyFont="1" applyBorder="1" applyAlignment="1">
      <alignment horizontal="center" vertical="center"/>
      <protection/>
    </xf>
    <xf numFmtId="0" fontId="5" fillId="4" borderId="0" xfId="62" applyNumberFormat="1" applyFont="1" applyFill="1" applyBorder="1" applyAlignment="1" applyProtection="1">
      <alignment horizontal="right" vertical="center"/>
      <protection/>
    </xf>
    <xf numFmtId="0" fontId="5" fillId="0" borderId="0" xfId="62" applyFont="1" applyAlignment="1" applyProtection="1">
      <alignment horizontal="right" vertical="center"/>
      <protection/>
    </xf>
    <xf numFmtId="0" fontId="0" fillId="0" borderId="0" xfId="0" applyBorder="1" applyAlignment="1">
      <alignment horizontal="right" vertical="center"/>
    </xf>
    <xf numFmtId="0" fontId="40" fillId="4" borderId="20" xfId="0" applyFont="1" applyFill="1" applyBorder="1" applyAlignment="1">
      <alignment horizontal="center" vertical="center"/>
    </xf>
    <xf numFmtId="0" fontId="40" fillId="4" borderId="18"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18" xfId="0" applyFont="1" applyFill="1" applyBorder="1" applyAlignment="1">
      <alignment horizontal="center" vertical="center"/>
    </xf>
    <xf numFmtId="0" fontId="14" fillId="4" borderId="24" xfId="77" applyFont="1" applyFill="1" applyBorder="1" applyAlignment="1" applyProtection="1">
      <alignment horizontal="center"/>
      <protection/>
    </xf>
    <xf numFmtId="0" fontId="14" fillId="4" borderId="19" xfId="77" applyFont="1" applyFill="1" applyBorder="1" applyAlignment="1" applyProtection="1">
      <alignment horizontal="center"/>
      <protection/>
    </xf>
    <xf numFmtId="0" fontId="14" fillId="4" borderId="22" xfId="7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 borderId="0" xfId="98" applyNumberFormat="1" applyFont="1" applyFill="1" applyAlignment="1" applyProtection="1">
      <alignment horizontal="center"/>
      <protection/>
    </xf>
    <xf numFmtId="37" fontId="5" fillId="4" borderId="11" xfId="0" applyNumberFormat="1" applyFont="1" applyFill="1" applyBorder="1" applyAlignment="1" applyProtection="1">
      <alignment horizontal="center" vertical="center"/>
      <protection locked="0"/>
    </xf>
    <xf numFmtId="0" fontId="5" fillId="4" borderId="0" xfId="0" applyFont="1" applyFill="1" applyAlignment="1">
      <alignment horizontal="right" vertical="center"/>
    </xf>
    <xf numFmtId="0" fontId="0" fillId="0" borderId="0" xfId="0" applyAlignment="1" applyProtection="1">
      <alignment vertical="center"/>
      <protection/>
    </xf>
    <xf numFmtId="0" fontId="5" fillId="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0" fontId="34" fillId="4" borderId="28" xfId="0" applyFont="1" applyFill="1" applyBorder="1" applyAlignment="1">
      <alignment horizontal="center" vertical="center"/>
    </xf>
    <xf numFmtId="0" fontId="34" fillId="4" borderId="0" xfId="0" applyFont="1" applyFill="1" applyAlignment="1">
      <alignment horizontal="center" wrapText="1"/>
    </xf>
    <xf numFmtId="0" fontId="33" fillId="4" borderId="0" xfId="0" applyFont="1" applyFill="1" applyBorder="1" applyAlignment="1">
      <alignment horizontal="center"/>
    </xf>
    <xf numFmtId="0" fontId="33" fillId="4" borderId="0" xfId="0" applyFont="1" applyFill="1" applyAlignment="1">
      <alignment wrapText="1"/>
    </xf>
    <xf numFmtId="0" fontId="33" fillId="4"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5" fontId="33" fillId="4" borderId="0" xfId="0" applyNumberFormat="1" applyFont="1" applyFill="1" applyBorder="1" applyAlignment="1">
      <alignment horizontal="center"/>
    </xf>
    <xf numFmtId="196" fontId="33" fillId="4" borderId="0" xfId="0" applyNumberFormat="1" applyFont="1" applyFill="1" applyBorder="1" applyAlignment="1">
      <alignment horizontal="center"/>
    </xf>
    <xf numFmtId="0" fontId="33" fillId="0" borderId="31" xfId="0" applyFont="1" applyBorder="1" applyAlignment="1">
      <alignment horizontal="center"/>
    </xf>
    <xf numFmtId="178" fontId="33" fillId="18" borderId="11" xfId="0" applyNumberFormat="1" applyFont="1" applyFill="1" applyBorder="1" applyAlignment="1" applyProtection="1">
      <alignment horizontal="center"/>
      <protection locked="0"/>
    </xf>
    <xf numFmtId="195" fontId="33" fillId="0" borderId="31" xfId="0" applyNumberFormat="1" applyFont="1" applyBorder="1" applyAlignment="1">
      <alignment horizontal="center"/>
    </xf>
    <xf numFmtId="195" fontId="33" fillId="18" borderId="11" xfId="0" applyNumberFormat="1" applyFont="1" applyFill="1" applyBorder="1" applyAlignment="1" applyProtection="1">
      <alignment horizontal="center"/>
      <protection locked="0"/>
    </xf>
    <xf numFmtId="0" fontId="33" fillId="4" borderId="19" xfId="0" applyFont="1" applyFill="1" applyBorder="1" applyAlignment="1">
      <alignment horizontal="center"/>
    </xf>
    <xf numFmtId="0" fontId="34" fillId="4" borderId="0" xfId="0" applyFont="1" applyFill="1" applyAlignment="1">
      <alignment horizontal="center"/>
    </xf>
    <xf numFmtId="0" fontId="33" fillId="0" borderId="0" xfId="0" applyFont="1" applyAlignment="1">
      <alignment wrapText="1"/>
    </xf>
    <xf numFmtId="0" fontId="34" fillId="4" borderId="0" xfId="0" applyFont="1" applyFill="1" applyBorder="1" applyAlignment="1">
      <alignment horizontal="center" wrapText="1"/>
    </xf>
    <xf numFmtId="0" fontId="33" fillId="0" borderId="0" xfId="0" applyFont="1" applyAlignment="1">
      <alignment horizontal="center" wrapText="1"/>
    </xf>
    <xf numFmtId="0" fontId="34" fillId="0" borderId="0" xfId="0" applyFont="1" applyAlignment="1">
      <alignment horizontal="center" wrapText="1"/>
    </xf>
    <xf numFmtId="195" fontId="33" fillId="4" borderId="0" xfId="0" applyNumberFormat="1" applyFont="1" applyFill="1" applyAlignment="1">
      <alignment horizontal="center"/>
    </xf>
    <xf numFmtId="0" fontId="33" fillId="4" borderId="0" xfId="0" applyFont="1" applyFill="1" applyBorder="1" applyAlignment="1">
      <alignment/>
    </xf>
    <xf numFmtId="0" fontId="33" fillId="0" borderId="0" xfId="0" applyFont="1" applyBorder="1" applyAlignment="1">
      <alignment/>
    </xf>
    <xf numFmtId="0" fontId="33" fillId="4" borderId="33" xfId="0" applyFont="1" applyFill="1" applyBorder="1" applyAlignment="1">
      <alignment/>
    </xf>
    <xf numFmtId="0" fontId="33" fillId="4" borderId="34" xfId="0" applyFont="1" applyFill="1" applyBorder="1" applyAlignment="1">
      <alignment/>
    </xf>
    <xf numFmtId="0" fontId="34" fillId="4" borderId="0" xfId="0" applyFont="1" applyFill="1" applyAlignment="1">
      <alignment horizontal="center" vertical="center"/>
    </xf>
    <xf numFmtId="0" fontId="34" fillId="0" borderId="0" xfId="0" applyFont="1" applyAlignment="1">
      <alignment horizontal="center" vertical="center"/>
    </xf>
    <xf numFmtId="195" fontId="33" fillId="4" borderId="0" xfId="0" applyNumberFormat="1" applyFont="1" applyFill="1" applyAlignment="1">
      <alignment/>
    </xf>
    <xf numFmtId="5" fontId="33" fillId="4" borderId="11" xfId="0" applyNumberFormat="1" applyFont="1" applyFill="1" applyBorder="1" applyAlignment="1">
      <alignment horizontal="center"/>
    </xf>
    <xf numFmtId="0" fontId="33" fillId="4" borderId="0" xfId="0" applyFont="1" applyFill="1" applyBorder="1" applyAlignment="1">
      <alignment wrapText="1"/>
    </xf>
    <xf numFmtId="0" fontId="33" fillId="0" borderId="28" xfId="0" applyFont="1" applyBorder="1" applyAlignment="1">
      <alignment horizontal="center" vertical="center"/>
    </xf>
  </cellXfs>
  <cellStyles count="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Input" xfId="64"/>
    <cellStyle name="Linked Cell" xfId="65"/>
    <cellStyle name="Neutral" xfId="66"/>
    <cellStyle name="Normal 10" xfId="67"/>
    <cellStyle name="Normal 10 2" xfId="68"/>
    <cellStyle name="Normal 10 3" xfId="69"/>
    <cellStyle name="Normal 10 4" xfId="70"/>
    <cellStyle name="Normal 10 5" xfId="71"/>
    <cellStyle name="Normal 10 6" xfId="72"/>
    <cellStyle name="Normal 11" xfId="73"/>
    <cellStyle name="Normal 11 2" xfId="74"/>
    <cellStyle name="Normal 11 3" xfId="75"/>
    <cellStyle name="Normal 12" xfId="76"/>
    <cellStyle name="Normal 12 10" xfId="77"/>
    <cellStyle name="Normal 12 2" xfId="78"/>
    <cellStyle name="Normal 12 2 2" xfId="79"/>
    <cellStyle name="Normal 12 3" xfId="80"/>
    <cellStyle name="Normal 12 4" xfId="81"/>
    <cellStyle name="Normal 12 5" xfId="82"/>
    <cellStyle name="Normal 12 6" xfId="83"/>
    <cellStyle name="Normal 12 7" xfId="84"/>
    <cellStyle name="Normal 12 8" xfId="85"/>
    <cellStyle name="Normal 12 9" xfId="86"/>
    <cellStyle name="Normal 13" xfId="87"/>
    <cellStyle name="Normal 13 10" xfId="88"/>
    <cellStyle name="Normal 13 2" xfId="89"/>
    <cellStyle name="Normal 13 2 2" xfId="90"/>
    <cellStyle name="Normal 13 3" xfId="91"/>
    <cellStyle name="Normal 13 4" xfId="92"/>
    <cellStyle name="Normal 13 5" xfId="93"/>
    <cellStyle name="Normal 13 6" xfId="94"/>
    <cellStyle name="Normal 13 7" xfId="95"/>
    <cellStyle name="Normal 13 8" xfId="96"/>
    <cellStyle name="Normal 13 9" xfId="97"/>
    <cellStyle name="Normal 14" xfId="98"/>
    <cellStyle name="Normal 14 2" xfId="99"/>
    <cellStyle name="Normal 14 3" xfId="100"/>
    <cellStyle name="Normal 14 4" xfId="101"/>
    <cellStyle name="Normal 14 5" xfId="102"/>
    <cellStyle name="Normal 14 6" xfId="103"/>
    <cellStyle name="Normal 15" xfId="104"/>
    <cellStyle name="Normal 15 2" xfId="105"/>
    <cellStyle name="Normal 15 3" xfId="106"/>
    <cellStyle name="Normal 16" xfId="107"/>
    <cellStyle name="Normal 16 2" xfId="108"/>
    <cellStyle name="Normal 16 3" xfId="109"/>
    <cellStyle name="Normal 17" xfId="110"/>
    <cellStyle name="Normal 17 2" xfId="111"/>
    <cellStyle name="Normal 17 3" xfId="112"/>
    <cellStyle name="Normal 18" xfId="113"/>
    <cellStyle name="Normal 18 2" xfId="114"/>
    <cellStyle name="Normal 18 2 2" xfId="115"/>
    <cellStyle name="Normal 18 2 3" xfId="116"/>
    <cellStyle name="Normal 18 3" xfId="117"/>
    <cellStyle name="Normal 18 4" xfId="118"/>
    <cellStyle name="Normal 18 5" xfId="119"/>
    <cellStyle name="Normal 18 6" xfId="120"/>
    <cellStyle name="Normal 19" xfId="121"/>
    <cellStyle name="Normal 19 2" xfId="122"/>
    <cellStyle name="Normal 19 2 2" xfId="123"/>
    <cellStyle name="Normal 19 2 3" xfId="124"/>
    <cellStyle name="Normal 19 3" xfId="125"/>
    <cellStyle name="Normal 19 4" xfId="126"/>
    <cellStyle name="Normal 19 5" xfId="127"/>
    <cellStyle name="Normal 19 6" xfId="128"/>
    <cellStyle name="Normal 2" xfId="129"/>
    <cellStyle name="Normal 2 10" xfId="130"/>
    <cellStyle name="Normal 2 10 10" xfId="131"/>
    <cellStyle name="Normal 2 10 2" xfId="132"/>
    <cellStyle name="Normal 2 10 2 2" xfId="133"/>
    <cellStyle name="Normal 2 10 3" xfId="134"/>
    <cellStyle name="Normal 2 10 3 2" xfId="135"/>
    <cellStyle name="Normal 2 10 4" xfId="136"/>
    <cellStyle name="Normal 2 10 4 2" xfId="137"/>
    <cellStyle name="Normal 2 10 5" xfId="138"/>
    <cellStyle name="Normal 2 10 5 2" xfId="139"/>
    <cellStyle name="Normal 2 10 6" xfId="140"/>
    <cellStyle name="Normal 2 10 6 2" xfId="141"/>
    <cellStyle name="Normal 2 10 7" xfId="142"/>
    <cellStyle name="Normal 2 10 7 2" xfId="143"/>
    <cellStyle name="Normal 2 10 8" xfId="144"/>
    <cellStyle name="Normal 2 10 8 2" xfId="145"/>
    <cellStyle name="Normal 2 10 9" xfId="146"/>
    <cellStyle name="Normal 2 11" xfId="147"/>
    <cellStyle name="Normal 2 11 10"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2" xfId="167"/>
    <cellStyle name="Normal 2 2 10" xfId="168"/>
    <cellStyle name="Normal 2 2 10 2" xfId="169"/>
    <cellStyle name="Normal 2 2 11" xfId="170"/>
    <cellStyle name="Normal 2 2 11 2" xfId="171"/>
    <cellStyle name="Normal 2 2 12" xfId="172"/>
    <cellStyle name="Normal 2 2 12 2" xfId="173"/>
    <cellStyle name="Normal 2 2 13" xfId="174"/>
    <cellStyle name="Normal 2 2 13 2" xfId="175"/>
    <cellStyle name="Normal 2 2 14" xfId="176"/>
    <cellStyle name="Normal 2 2 14 2" xfId="177"/>
    <cellStyle name="Normal 2 2 15" xfId="178"/>
    <cellStyle name="Normal 2 2 15 2" xfId="179"/>
    <cellStyle name="Normal 2 2 16" xfId="180"/>
    <cellStyle name="Normal 2 2 17" xfId="181"/>
    <cellStyle name="Normal 2 2 18" xfId="182"/>
    <cellStyle name="Normal 2 2 19" xfId="183"/>
    <cellStyle name="Normal 2 2 2" xfId="184"/>
    <cellStyle name="Normal 2 2 2 2" xfId="185"/>
    <cellStyle name="Normal 2 2 2 2 2" xfId="186"/>
    <cellStyle name="Normal 2 2 2 3" xfId="187"/>
    <cellStyle name="Normal 2 2 2 3 2" xfId="188"/>
    <cellStyle name="Normal 2 2 2 4" xfId="189"/>
    <cellStyle name="Normal 2 2 2 4 2" xfId="190"/>
    <cellStyle name="Normal 2 2 2 5" xfId="191"/>
    <cellStyle name="Normal 2 2 2 5 2" xfId="192"/>
    <cellStyle name="Normal 2 2 2 6" xfId="193"/>
    <cellStyle name="Normal 2 2 2 6 2" xfId="194"/>
    <cellStyle name="Normal 2 2 2 7" xfId="195"/>
    <cellStyle name="Normal 2 2 2 8" xfId="196"/>
    <cellStyle name="Normal 2 2 20" xfId="197"/>
    <cellStyle name="Normal 2 2 21" xfId="198"/>
    <cellStyle name="Normal 2 2 3" xfId="199"/>
    <cellStyle name="Normal 2 2 3 2" xfId="200"/>
    <cellStyle name="Normal 2 2 4" xfId="201"/>
    <cellStyle name="Normal 2 2 4 2" xfId="202"/>
    <cellStyle name="Normal 2 2 5" xfId="203"/>
    <cellStyle name="Normal 2 2 5 2" xfId="204"/>
    <cellStyle name="Normal 2 2 6" xfId="205"/>
    <cellStyle name="Normal 2 2 6 2" xfId="206"/>
    <cellStyle name="Normal 2 2 7" xfId="207"/>
    <cellStyle name="Normal 2 2 7 2" xfId="208"/>
    <cellStyle name="Normal 2 2 8" xfId="209"/>
    <cellStyle name="Normal 2 2 8 2" xfId="210"/>
    <cellStyle name="Normal 2 2 9" xfId="211"/>
    <cellStyle name="Normal 2 2 9 2" xfId="212"/>
    <cellStyle name="Normal 2 3" xfId="213"/>
    <cellStyle name="Normal 2 3 10" xfId="214"/>
    <cellStyle name="Normal 2 3 11" xfId="215"/>
    <cellStyle name="Normal 2 3 2" xfId="216"/>
    <cellStyle name="Normal 2 3 2 2" xfId="217"/>
    <cellStyle name="Normal 2 3 3" xfId="218"/>
    <cellStyle name="Normal 2 3 3 2" xfId="219"/>
    <cellStyle name="Normal 2 3 4" xfId="220"/>
    <cellStyle name="Normal 2 3 5" xfId="221"/>
    <cellStyle name="Normal 2 3 6" xfId="222"/>
    <cellStyle name="Normal 2 3 7" xfId="223"/>
    <cellStyle name="Normal 2 3 8" xfId="224"/>
    <cellStyle name="Normal 2 3 9" xfId="225"/>
    <cellStyle name="Normal 2 4" xfId="226"/>
    <cellStyle name="Normal 2 4 10" xfId="227"/>
    <cellStyle name="Normal 2 4 11" xfId="228"/>
    <cellStyle name="Normal 2 4 2" xfId="229"/>
    <cellStyle name="Normal 2 4 2 2" xfId="230"/>
    <cellStyle name="Normal 2 4 3" xfId="231"/>
    <cellStyle name="Normal 2 4 3 2"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2" xfId="242"/>
    <cellStyle name="Normal 2 5 2 2" xfId="243"/>
    <cellStyle name="Normal 2 5 3" xfId="244"/>
    <cellStyle name="Normal 2 5 3 2" xfId="245"/>
    <cellStyle name="Normal 2 5 4" xfId="246"/>
    <cellStyle name="Normal 2 5 5" xfId="247"/>
    <cellStyle name="Normal 2 5 6" xfId="248"/>
    <cellStyle name="Normal 2 5 7" xfId="249"/>
    <cellStyle name="Normal 2 5 8" xfId="250"/>
    <cellStyle name="Normal 2 5 9" xfId="251"/>
    <cellStyle name="Normal 2 6" xfId="252"/>
    <cellStyle name="Normal 2 6 10" xfId="253"/>
    <cellStyle name="Normal 2 6 11" xfId="254"/>
    <cellStyle name="Normal 2 6 2" xfId="255"/>
    <cellStyle name="Normal 2 6 2 2" xfId="256"/>
    <cellStyle name="Normal 2 6 3" xfId="257"/>
    <cellStyle name="Normal 2 6 3 2" xfId="258"/>
    <cellStyle name="Normal 2 6 4" xfId="259"/>
    <cellStyle name="Normal 2 6 5" xfId="260"/>
    <cellStyle name="Normal 2 6 6" xfId="261"/>
    <cellStyle name="Normal 2 6 7" xfId="262"/>
    <cellStyle name="Normal 2 6 8" xfId="263"/>
    <cellStyle name="Normal 2 6 9" xfId="264"/>
    <cellStyle name="Normal 2 7" xfId="265"/>
    <cellStyle name="Normal 2 7 10" xfId="266"/>
    <cellStyle name="Normal 2 7 2" xfId="267"/>
    <cellStyle name="Normal 2 7 2 2" xfId="268"/>
    <cellStyle name="Normal 2 7 3" xfId="269"/>
    <cellStyle name="Normal 2 7 3 2" xfId="270"/>
    <cellStyle name="Normal 2 7 4" xfId="271"/>
    <cellStyle name="Normal 2 7 4 2" xfId="272"/>
    <cellStyle name="Normal 2 7 5" xfId="273"/>
    <cellStyle name="Normal 2 7 5 2" xfId="274"/>
    <cellStyle name="Normal 2 7 6" xfId="275"/>
    <cellStyle name="Normal 2 7 6 2" xfId="276"/>
    <cellStyle name="Normal 2 7 7" xfId="277"/>
    <cellStyle name="Normal 2 7 7 2" xfId="278"/>
    <cellStyle name="Normal 2 7 8" xfId="279"/>
    <cellStyle name="Normal 2 7 8 2" xfId="280"/>
    <cellStyle name="Normal 2 7 9" xfId="281"/>
    <cellStyle name="Normal 2 8" xfId="282"/>
    <cellStyle name="Normal 2 8 10" xfId="283"/>
    <cellStyle name="Normal 2 8 2" xfId="284"/>
    <cellStyle name="Normal 2 8 2 2" xfId="285"/>
    <cellStyle name="Normal 2 8 3" xfId="286"/>
    <cellStyle name="Normal 2 8 3 2" xfId="287"/>
    <cellStyle name="Normal 2 8 4" xfId="288"/>
    <cellStyle name="Normal 2 8 4 2" xfId="289"/>
    <cellStyle name="Normal 2 8 5" xfId="290"/>
    <cellStyle name="Normal 2 8 5 2" xfId="291"/>
    <cellStyle name="Normal 2 8 6" xfId="292"/>
    <cellStyle name="Normal 2 8 6 2" xfId="293"/>
    <cellStyle name="Normal 2 8 7" xfId="294"/>
    <cellStyle name="Normal 2 8 7 2" xfId="295"/>
    <cellStyle name="Normal 2 8 8" xfId="296"/>
    <cellStyle name="Normal 2 8 8 2" xfId="297"/>
    <cellStyle name="Normal 2 8 9" xfId="298"/>
    <cellStyle name="Normal 2 9" xfId="299"/>
    <cellStyle name="Normal 2 9 10" xfId="300"/>
    <cellStyle name="Normal 2 9 2" xfId="301"/>
    <cellStyle name="Normal 2 9 2 2" xfId="302"/>
    <cellStyle name="Normal 2 9 3" xfId="303"/>
    <cellStyle name="Normal 2 9 3 2" xfId="304"/>
    <cellStyle name="Normal 2 9 4" xfId="305"/>
    <cellStyle name="Normal 2 9 4 2" xfId="306"/>
    <cellStyle name="Normal 2 9 5" xfId="307"/>
    <cellStyle name="Normal 2 9 5 2" xfId="308"/>
    <cellStyle name="Normal 2 9 6" xfId="309"/>
    <cellStyle name="Normal 2 9 6 2" xfId="310"/>
    <cellStyle name="Normal 2 9 7" xfId="311"/>
    <cellStyle name="Normal 2 9 7 2" xfId="312"/>
    <cellStyle name="Normal 2 9 8" xfId="313"/>
    <cellStyle name="Normal 2 9 8 2" xfId="314"/>
    <cellStyle name="Normal 2 9 9" xfId="315"/>
    <cellStyle name="Normal 20" xfId="316"/>
    <cellStyle name="Normal 20 2" xfId="317"/>
    <cellStyle name="Normal 20 3" xfId="318"/>
    <cellStyle name="Normal 22" xfId="319"/>
    <cellStyle name="Normal 22 2" xfId="320"/>
    <cellStyle name="Normal 22 3" xfId="321"/>
    <cellStyle name="Normal 23" xfId="322"/>
    <cellStyle name="Normal 23 2" xfId="323"/>
    <cellStyle name="Normal 23 3" xfId="324"/>
    <cellStyle name="Normal 24" xfId="325"/>
    <cellStyle name="Normal 24 2" xfId="326"/>
    <cellStyle name="Normal 24 3" xfId="327"/>
    <cellStyle name="Normal 25" xfId="328"/>
    <cellStyle name="Normal 25 2" xfId="329"/>
    <cellStyle name="Normal 25 3" xfId="330"/>
    <cellStyle name="Normal 3" xfId="331"/>
    <cellStyle name="Normal 3 2" xfId="332"/>
    <cellStyle name="Normal 4" xfId="333"/>
    <cellStyle name="Normal 4 2" xfId="334"/>
    <cellStyle name="Normal 5" xfId="335"/>
    <cellStyle name="Normal 5 2" xfId="336"/>
    <cellStyle name="Normal 5 3" xfId="337"/>
    <cellStyle name="Normal 6" xfId="338"/>
    <cellStyle name="Normal 6 2" xfId="339"/>
    <cellStyle name="Normal 7" xfId="340"/>
    <cellStyle name="Normal 7 2" xfId="341"/>
    <cellStyle name="Normal 7 3" xfId="342"/>
    <cellStyle name="Normal 8" xfId="343"/>
    <cellStyle name="Normal 8 2" xfId="344"/>
    <cellStyle name="Normal 9" xfId="345"/>
    <cellStyle name="Normal 9 2" xfId="346"/>
    <cellStyle name="Normal 9 3" xfId="347"/>
    <cellStyle name="Normal_debt" xfId="348"/>
    <cellStyle name="Normal_lpform" xfId="349"/>
    <cellStyle name="Note" xfId="350"/>
    <cellStyle name="Output" xfId="351"/>
    <cellStyle name="Percent" xfId="352"/>
    <cellStyle name="Title" xfId="353"/>
    <cellStyle name="Total" xfId="354"/>
    <cellStyle name="Warning Text" xfId="355"/>
  </cellStyles>
  <dxfs count="29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68" sqref="C68"/>
    </sheetView>
  </sheetViews>
  <sheetFormatPr defaultColWidth="8.796875" defaultRowHeight="15"/>
  <cols>
    <col min="1" max="1" width="75.796875" style="33" customWidth="1"/>
    <col min="2" max="16384" width="8.8984375" style="33" customWidth="1"/>
  </cols>
  <sheetData>
    <row r="1" ht="15.75">
      <c r="A1" s="32" t="s">
        <v>956</v>
      </c>
    </row>
    <row r="3" ht="39.75" customHeight="1">
      <c r="A3" s="34" t="s">
        <v>1034</v>
      </c>
    </row>
    <row r="4" ht="15.75">
      <c r="A4" s="35"/>
    </row>
    <row r="5" ht="49.5" customHeight="1">
      <c r="A5" s="36" t="s">
        <v>41</v>
      </c>
    </row>
    <row r="6" ht="15.75">
      <c r="A6" s="36"/>
    </row>
    <row r="7" ht="66.75" customHeight="1">
      <c r="A7" s="36" t="s">
        <v>124</v>
      </c>
    </row>
    <row r="8" ht="15.75">
      <c r="A8" s="36"/>
    </row>
    <row r="9" ht="32.25" customHeight="1">
      <c r="A9" s="36" t="s">
        <v>1035</v>
      </c>
    </row>
    <row r="11" ht="51" customHeight="1">
      <c r="A11" s="36" t="s">
        <v>101</v>
      </c>
    </row>
    <row r="13" ht="15.75">
      <c r="A13" s="32" t="s">
        <v>52</v>
      </c>
    </row>
    <row r="14" ht="15.75">
      <c r="A14" s="32"/>
    </row>
    <row r="15" ht="15.75">
      <c r="A15" s="35" t="s">
        <v>53</v>
      </c>
    </row>
    <row r="17" ht="37.5" customHeight="1">
      <c r="A17" s="37" t="s">
        <v>1062</v>
      </c>
    </row>
    <row r="18" ht="9" customHeight="1">
      <c r="A18" s="37"/>
    </row>
    <row r="20" ht="15.75">
      <c r="A20" s="32" t="s">
        <v>777</v>
      </c>
    </row>
    <row r="22" ht="36" customHeight="1">
      <c r="A22" s="36" t="s">
        <v>1036</v>
      </c>
    </row>
    <row r="23" ht="15.75">
      <c r="A23" s="36"/>
    </row>
    <row r="24" ht="15.75">
      <c r="A24" s="38" t="s">
        <v>1037</v>
      </c>
    </row>
    <row r="25" ht="12" customHeight="1">
      <c r="A25" s="36"/>
    </row>
    <row r="26" ht="15.75">
      <c r="A26" s="39" t="s">
        <v>935</v>
      </c>
    </row>
    <row r="27" ht="15.75">
      <c r="A27" s="40"/>
    </row>
    <row r="28" ht="84.75" customHeight="1">
      <c r="A28" s="41" t="s">
        <v>34</v>
      </c>
    </row>
    <row r="29" ht="12.75" customHeight="1">
      <c r="A29" s="42"/>
    </row>
    <row r="30" ht="15.75">
      <c r="A30" s="43" t="s">
        <v>1038</v>
      </c>
    </row>
    <row r="31" ht="15.75">
      <c r="A31" s="42"/>
    </row>
    <row r="32" ht="15.75">
      <c r="A32" s="44" t="s">
        <v>51</v>
      </c>
    </row>
    <row r="33" ht="15.75">
      <c r="A33" s="42"/>
    </row>
    <row r="34" ht="15.75">
      <c r="A34" s="36" t="s">
        <v>871</v>
      </c>
    </row>
    <row r="36" ht="15.75">
      <c r="A36" s="32" t="s">
        <v>872</v>
      </c>
    </row>
    <row r="38" ht="66.75" customHeight="1">
      <c r="A38" s="36" t="s">
        <v>13</v>
      </c>
    </row>
    <row r="39" ht="35.25" customHeight="1">
      <c r="A39" s="36" t="s">
        <v>958</v>
      </c>
    </row>
    <row r="40" ht="53.25" customHeight="1">
      <c r="A40" s="45" t="s">
        <v>1039</v>
      </c>
    </row>
    <row r="42" ht="84" customHeight="1">
      <c r="A42" s="36" t="s">
        <v>14</v>
      </c>
    </row>
    <row r="43" ht="53.25" customHeight="1">
      <c r="A43" s="36" t="s">
        <v>1040</v>
      </c>
    </row>
    <row r="44" ht="102" customHeight="1">
      <c r="A44" s="36" t="s">
        <v>772</v>
      </c>
    </row>
    <row r="45" ht="15.75" customHeight="1">
      <c r="A45" s="36"/>
    </row>
    <row r="46" ht="73.5" customHeight="1">
      <c r="A46" s="381" t="s">
        <v>15</v>
      </c>
    </row>
    <row r="47" ht="69.75" customHeight="1">
      <c r="A47" s="382" t="s">
        <v>627</v>
      </c>
    </row>
    <row r="48" ht="15.75" customHeight="1">
      <c r="A48" s="36"/>
    </row>
    <row r="49" ht="69.75" customHeight="1">
      <c r="A49" s="36" t="s">
        <v>628</v>
      </c>
    </row>
    <row r="50" ht="37.5" customHeight="1">
      <c r="A50" s="36" t="s">
        <v>629</v>
      </c>
    </row>
    <row r="51" ht="69" customHeight="1">
      <c r="A51" s="36" t="s">
        <v>630</v>
      </c>
    </row>
    <row r="53" ht="84.75" customHeight="1">
      <c r="A53" s="36" t="s">
        <v>631</v>
      </c>
    </row>
    <row r="54" ht="116.25" customHeight="1">
      <c r="A54" s="36" t="s">
        <v>632</v>
      </c>
    </row>
    <row r="55" ht="38.25" customHeight="1">
      <c r="A55" s="36" t="s">
        <v>633</v>
      </c>
    </row>
    <row r="56" ht="15.75">
      <c r="A56" s="36"/>
    </row>
    <row r="57" ht="68.25" customHeight="1">
      <c r="A57" s="36" t="s">
        <v>634</v>
      </c>
    </row>
    <row r="58" ht="15.75">
      <c r="A58" s="36"/>
    </row>
    <row r="59" ht="66.75" customHeight="1">
      <c r="A59" s="36" t="s">
        <v>635</v>
      </c>
    </row>
    <row r="60" ht="37.5" customHeight="1">
      <c r="A60" s="36" t="s">
        <v>649</v>
      </c>
    </row>
    <row r="61" ht="91.5" customHeight="1">
      <c r="A61" s="36" t="s">
        <v>650</v>
      </c>
    </row>
    <row r="62" ht="47.25" customHeight="1">
      <c r="A62" s="355" t="s">
        <v>651</v>
      </c>
    </row>
    <row r="64" s="36" customFormat="1" ht="66.75" customHeight="1">
      <c r="A64" s="36" t="s">
        <v>636</v>
      </c>
    </row>
    <row r="66" ht="67.5" customHeight="1">
      <c r="A66" s="36" t="s">
        <v>637</v>
      </c>
    </row>
    <row r="68" ht="95.25" customHeight="1">
      <c r="A68" s="36" t="s">
        <v>125</v>
      </c>
    </row>
    <row r="69" ht="95.25" customHeight="1">
      <c r="A69" s="510" t="s">
        <v>16</v>
      </c>
    </row>
    <row r="70" ht="75" customHeight="1">
      <c r="A70" s="510" t="s">
        <v>17</v>
      </c>
    </row>
    <row r="71" ht="137.25" customHeight="1">
      <c r="A71" s="36" t="s">
        <v>18</v>
      </c>
    </row>
    <row r="72" ht="114.75" customHeight="1">
      <c r="A72" s="36" t="s">
        <v>19</v>
      </c>
    </row>
    <row r="73" ht="135" customHeight="1">
      <c r="A73" s="36" t="s">
        <v>20</v>
      </c>
    </row>
    <row r="74" ht="141.75" customHeight="1">
      <c r="A74" s="36" t="s">
        <v>21</v>
      </c>
    </row>
    <row r="75" ht="117" customHeight="1">
      <c r="A75" s="36" t="s">
        <v>22</v>
      </c>
    </row>
    <row r="76" ht="45" customHeight="1">
      <c r="A76" s="36" t="s">
        <v>23</v>
      </c>
    </row>
    <row r="77" ht="86.25" customHeight="1">
      <c r="A77" s="36" t="s">
        <v>24</v>
      </c>
    </row>
    <row r="78" ht="129.75" customHeight="1">
      <c r="A78" s="36" t="s">
        <v>25</v>
      </c>
    </row>
    <row r="79" ht="110.25" customHeight="1">
      <c r="A79" s="511" t="s">
        <v>26</v>
      </c>
    </row>
    <row r="80" ht="117" customHeight="1">
      <c r="A80" s="512" t="s">
        <v>27</v>
      </c>
    </row>
    <row r="81" ht="72" customHeight="1">
      <c r="A81" s="380" t="s">
        <v>28</v>
      </c>
    </row>
    <row r="82" ht="20.25" customHeight="1"/>
    <row r="83" ht="125.25" customHeight="1">
      <c r="A83" s="36" t="s">
        <v>638</v>
      </c>
    </row>
    <row r="84" ht="134.25" customHeight="1">
      <c r="A84" s="36" t="s">
        <v>639</v>
      </c>
    </row>
    <row r="85" ht="59.25" customHeight="1">
      <c r="A85" s="36" t="s">
        <v>640</v>
      </c>
    </row>
    <row r="86" ht="30.75" customHeight="1">
      <c r="A86" s="36" t="s">
        <v>641</v>
      </c>
    </row>
    <row r="87" ht="15" customHeight="1"/>
    <row r="88" ht="36.75" customHeight="1">
      <c r="A88" s="36" t="s">
        <v>642</v>
      </c>
    </row>
    <row r="89" ht="34.5" customHeight="1">
      <c r="A89" s="383" t="s">
        <v>644</v>
      </c>
    </row>
    <row r="90" ht="99.75" customHeight="1">
      <c r="A90" s="510" t="s">
        <v>29</v>
      </c>
    </row>
    <row r="91" ht="34.5" customHeight="1">
      <c r="A91" s="510" t="s">
        <v>30</v>
      </c>
    </row>
    <row r="92" ht="85.5" customHeight="1">
      <c r="A92" s="510" t="s">
        <v>31</v>
      </c>
    </row>
    <row r="93" ht="91.5" customHeight="1">
      <c r="A93" s="510" t="s">
        <v>1086</v>
      </c>
    </row>
    <row r="94" ht="58.5" customHeight="1">
      <c r="A94" s="383" t="s">
        <v>1087</v>
      </c>
    </row>
    <row r="95" ht="66" customHeight="1">
      <c r="A95" s="383" t="s">
        <v>1088</v>
      </c>
    </row>
    <row r="96" ht="16.5" customHeight="1">
      <c r="A96" s="36"/>
    </row>
    <row r="97" ht="72.75" customHeight="1">
      <c r="A97" s="36" t="s">
        <v>643</v>
      </c>
    </row>
    <row r="99" ht="69" customHeight="1">
      <c r="A99" s="510" t="s">
        <v>1089</v>
      </c>
    </row>
    <row r="100" ht="110.25" customHeight="1">
      <c r="A100" s="510" t="s">
        <v>102</v>
      </c>
    </row>
    <row r="101" ht="132" customHeight="1">
      <c r="A101" s="510" t="s">
        <v>106</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3">
      <selection activeCell="K35" sqref="K35"/>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Paola</v>
      </c>
      <c r="B1" s="48"/>
      <c r="C1" s="48"/>
      <c r="D1" s="48"/>
      <c r="E1" s="48"/>
      <c r="F1" s="48"/>
      <c r="G1" s="48"/>
      <c r="H1" s="48"/>
      <c r="I1" s="48"/>
      <c r="J1" s="48"/>
      <c r="K1" s="48"/>
      <c r="L1" s="222">
        <f>inputPrYr!$C$5</f>
        <v>2012</v>
      </c>
    </row>
    <row r="2" spans="1:12" ht="15.75">
      <c r="A2" s="201"/>
      <c r="B2" s="48"/>
      <c r="C2" s="48"/>
      <c r="D2" s="48"/>
      <c r="E2" s="48"/>
      <c r="F2" s="48"/>
      <c r="G2" s="48"/>
      <c r="H2" s="48"/>
      <c r="I2" s="48"/>
      <c r="J2" s="48"/>
      <c r="K2" s="48"/>
      <c r="L2" s="172"/>
    </row>
    <row r="3" spans="1:12" ht="15.75">
      <c r="A3" s="223" t="s">
        <v>880</v>
      </c>
      <c r="B3" s="57"/>
      <c r="C3" s="57"/>
      <c r="D3" s="57"/>
      <c r="E3" s="57"/>
      <c r="F3" s="57"/>
      <c r="G3" s="57"/>
      <c r="H3" s="57"/>
      <c r="I3" s="57"/>
      <c r="J3" s="57"/>
      <c r="K3" s="57"/>
      <c r="L3" s="57"/>
    </row>
    <row r="4" spans="1:12" ht="10.5" customHeight="1">
      <c r="A4" s="48"/>
      <c r="B4" s="224"/>
      <c r="C4" s="224"/>
      <c r="D4" s="224"/>
      <c r="E4" s="224"/>
      <c r="F4" s="224"/>
      <c r="G4" s="224"/>
      <c r="H4" s="224"/>
      <c r="I4" s="224"/>
      <c r="J4" s="224"/>
      <c r="K4" s="224"/>
      <c r="L4" s="224"/>
    </row>
    <row r="5" spans="1:12" ht="18" customHeight="1">
      <c r="A5" s="48"/>
      <c r="B5" s="203" t="s">
        <v>846</v>
      </c>
      <c r="C5" s="203" t="s">
        <v>846</v>
      </c>
      <c r="D5" s="203" t="s">
        <v>861</v>
      </c>
      <c r="E5" s="203"/>
      <c r="F5" s="203" t="s">
        <v>993</v>
      </c>
      <c r="G5" s="48"/>
      <c r="H5" s="48"/>
      <c r="I5" s="225" t="s">
        <v>847</v>
      </c>
      <c r="J5" s="226"/>
      <c r="K5" s="225" t="s">
        <v>847</v>
      </c>
      <c r="L5" s="226"/>
    </row>
    <row r="6" spans="1:12" ht="15.75">
      <c r="A6" s="48"/>
      <c r="B6" s="227" t="s">
        <v>848</v>
      </c>
      <c r="C6" s="227" t="s">
        <v>994</v>
      </c>
      <c r="D6" s="227" t="s">
        <v>849</v>
      </c>
      <c r="E6" s="227" t="s">
        <v>804</v>
      </c>
      <c r="F6" s="227" t="s">
        <v>995</v>
      </c>
      <c r="G6" s="723" t="s">
        <v>850</v>
      </c>
      <c r="H6" s="724"/>
      <c r="I6" s="725">
        <f>L1-1</f>
        <v>2011</v>
      </c>
      <c r="J6" s="726"/>
      <c r="K6" s="725">
        <f>L1</f>
        <v>2012</v>
      </c>
      <c r="L6" s="726"/>
    </row>
    <row r="7" spans="1:12" ht="15.75">
      <c r="A7" s="229" t="s">
        <v>851</v>
      </c>
      <c r="B7" s="205" t="s">
        <v>852</v>
      </c>
      <c r="C7" s="205" t="s">
        <v>996</v>
      </c>
      <c r="D7" s="205" t="s">
        <v>826</v>
      </c>
      <c r="E7" s="205" t="s">
        <v>853</v>
      </c>
      <c r="F7" s="228" t="str">
        <f>CONCATENATE("Jan 1,",L1-1,"")</f>
        <v>Jan 1,2011</v>
      </c>
      <c r="G7" s="159" t="s">
        <v>861</v>
      </c>
      <c r="H7" s="159" t="s">
        <v>863</v>
      </c>
      <c r="I7" s="159" t="s">
        <v>861</v>
      </c>
      <c r="J7" s="159" t="s">
        <v>863</v>
      </c>
      <c r="K7" s="159" t="s">
        <v>861</v>
      </c>
      <c r="L7" s="159" t="s">
        <v>863</v>
      </c>
    </row>
    <row r="8" spans="1:12" ht="15.75">
      <c r="A8" s="229" t="s">
        <v>854</v>
      </c>
      <c r="B8" s="66"/>
      <c r="C8" s="66"/>
      <c r="D8" s="230"/>
      <c r="E8" s="231"/>
      <c r="F8" s="231"/>
      <c r="G8" s="66"/>
      <c r="H8" s="66"/>
      <c r="I8" s="231"/>
      <c r="J8" s="231"/>
      <c r="K8" s="231"/>
      <c r="L8" s="231"/>
    </row>
    <row r="9" spans="1:12" ht="15.75">
      <c r="A9" s="3" t="s">
        <v>454</v>
      </c>
      <c r="B9" s="645">
        <v>37834</v>
      </c>
      <c r="C9" s="645">
        <v>41214</v>
      </c>
      <c r="D9" s="22">
        <v>3</v>
      </c>
      <c r="E9" s="23">
        <v>4210000</v>
      </c>
      <c r="F9" s="646">
        <v>185000</v>
      </c>
      <c r="G9" s="647" t="s">
        <v>455</v>
      </c>
      <c r="H9" s="647">
        <v>39753</v>
      </c>
      <c r="I9" s="646">
        <v>7288</v>
      </c>
      <c r="J9" s="646">
        <v>90000</v>
      </c>
      <c r="K9" s="646">
        <v>3800</v>
      </c>
      <c r="L9" s="646">
        <v>95000</v>
      </c>
    </row>
    <row r="10" spans="1:12" ht="15.75">
      <c r="A10" s="3" t="s">
        <v>456</v>
      </c>
      <c r="B10" s="645">
        <v>38470</v>
      </c>
      <c r="C10" s="645">
        <v>42248</v>
      </c>
      <c r="D10" s="22">
        <v>3.61</v>
      </c>
      <c r="E10" s="23">
        <v>1655000</v>
      </c>
      <c r="F10" s="646">
        <v>915000</v>
      </c>
      <c r="G10" s="647" t="s">
        <v>457</v>
      </c>
      <c r="H10" s="647">
        <v>39692</v>
      </c>
      <c r="I10" s="646">
        <v>33288</v>
      </c>
      <c r="J10" s="646">
        <v>170000</v>
      </c>
      <c r="K10" s="646">
        <v>27508</v>
      </c>
      <c r="L10" s="646">
        <v>175000</v>
      </c>
    </row>
    <row r="11" spans="1:12" ht="15.75">
      <c r="A11" s="3" t="s">
        <v>458</v>
      </c>
      <c r="B11" s="645">
        <v>39036</v>
      </c>
      <c r="C11" s="645">
        <v>42614</v>
      </c>
      <c r="D11" s="22">
        <v>3.62</v>
      </c>
      <c r="E11" s="23">
        <v>1660000</v>
      </c>
      <c r="F11" s="646">
        <v>1065000</v>
      </c>
      <c r="G11" s="647" t="s">
        <v>457</v>
      </c>
      <c r="H11" s="647">
        <v>39692</v>
      </c>
      <c r="I11" s="646">
        <v>38511</v>
      </c>
      <c r="J11" s="646">
        <v>160000</v>
      </c>
      <c r="K11" s="646">
        <v>32831</v>
      </c>
      <c r="L11" s="646">
        <v>165000</v>
      </c>
    </row>
    <row r="12" spans="1:12" ht="15.75">
      <c r="A12" s="3" t="s">
        <v>459</v>
      </c>
      <c r="B12" s="645">
        <v>39036</v>
      </c>
      <c r="C12" s="645">
        <v>42979</v>
      </c>
      <c r="D12" s="22">
        <v>3.74</v>
      </c>
      <c r="E12" s="23">
        <v>325000</v>
      </c>
      <c r="F12" s="646">
        <v>245000</v>
      </c>
      <c r="G12" s="647" t="s">
        <v>457</v>
      </c>
      <c r="H12" s="647">
        <v>39692</v>
      </c>
      <c r="I12" s="646">
        <v>9183</v>
      </c>
      <c r="J12" s="646">
        <v>30000</v>
      </c>
      <c r="K12" s="646">
        <v>8058</v>
      </c>
      <c r="L12" s="646">
        <v>30000</v>
      </c>
    </row>
    <row r="13" spans="1:12" ht="15.75">
      <c r="A13" s="3" t="s">
        <v>460</v>
      </c>
      <c r="B13" s="645">
        <v>39417</v>
      </c>
      <c r="C13" s="645">
        <v>45901</v>
      </c>
      <c r="D13" s="22">
        <v>4</v>
      </c>
      <c r="E13" s="23">
        <v>2840000</v>
      </c>
      <c r="F13" s="646">
        <v>2790000</v>
      </c>
      <c r="G13" s="647" t="s">
        <v>457</v>
      </c>
      <c r="H13" s="647">
        <v>39692</v>
      </c>
      <c r="I13" s="646">
        <v>119908</v>
      </c>
      <c r="J13" s="646">
        <v>35000</v>
      </c>
      <c r="K13" s="646">
        <v>118334</v>
      </c>
      <c r="L13" s="646">
        <v>35000</v>
      </c>
    </row>
    <row r="14" spans="1:12" ht="15.75">
      <c r="A14" s="70"/>
      <c r="B14" s="387"/>
      <c r="C14" s="387"/>
      <c r="D14" s="232"/>
      <c r="E14" s="233"/>
      <c r="F14" s="234"/>
      <c r="G14" s="235"/>
      <c r="H14" s="235"/>
      <c r="I14" s="234"/>
      <c r="J14" s="234"/>
      <c r="K14" s="234"/>
      <c r="L14" s="234"/>
    </row>
    <row r="15" spans="1:12" ht="15.75">
      <c r="A15" s="70"/>
      <c r="B15" s="387"/>
      <c r="C15" s="387"/>
      <c r="D15" s="232"/>
      <c r="E15" s="233"/>
      <c r="F15" s="234"/>
      <c r="G15" s="235"/>
      <c r="H15" s="235"/>
      <c r="I15" s="234"/>
      <c r="J15" s="234"/>
      <c r="K15" s="234"/>
      <c r="L15" s="234"/>
    </row>
    <row r="16" spans="1:12" ht="15.75">
      <c r="A16" s="70"/>
      <c r="B16" s="387"/>
      <c r="C16" s="387"/>
      <c r="D16" s="232"/>
      <c r="E16" s="233"/>
      <c r="F16" s="234"/>
      <c r="G16" s="235"/>
      <c r="H16" s="235"/>
      <c r="I16" s="234"/>
      <c r="J16" s="234"/>
      <c r="K16" s="234"/>
      <c r="L16" s="234"/>
    </row>
    <row r="17" spans="1:12" ht="15.75">
      <c r="A17" s="70"/>
      <c r="B17" s="387"/>
      <c r="C17" s="387"/>
      <c r="D17" s="232"/>
      <c r="E17" s="233"/>
      <c r="F17" s="234"/>
      <c r="G17" s="235"/>
      <c r="H17" s="235"/>
      <c r="I17" s="234"/>
      <c r="J17" s="234"/>
      <c r="K17" s="234"/>
      <c r="L17" s="234"/>
    </row>
    <row r="18" spans="1:12" ht="15.75">
      <c r="A18" s="70"/>
      <c r="B18" s="387"/>
      <c r="C18" s="387"/>
      <c r="D18" s="232"/>
      <c r="E18" s="233"/>
      <c r="F18" s="234"/>
      <c r="G18" s="235"/>
      <c r="H18" s="235"/>
      <c r="I18" s="234"/>
      <c r="J18" s="234"/>
      <c r="K18" s="234"/>
      <c r="L18" s="234"/>
    </row>
    <row r="19" spans="1:12" ht="15.75">
      <c r="A19" s="70"/>
      <c r="B19" s="387"/>
      <c r="C19" s="387"/>
      <c r="D19" s="232"/>
      <c r="E19" s="233"/>
      <c r="F19" s="234"/>
      <c r="G19" s="235"/>
      <c r="H19" s="235"/>
      <c r="I19" s="234"/>
      <c r="J19" s="234"/>
      <c r="K19" s="234"/>
      <c r="L19" s="234"/>
    </row>
    <row r="20" spans="1:12" ht="15.75">
      <c r="A20" s="236" t="s">
        <v>855</v>
      </c>
      <c r="B20" s="237"/>
      <c r="C20" s="237"/>
      <c r="D20" s="238"/>
      <c r="E20" s="239"/>
      <c r="F20" s="240">
        <f>SUM(F9:F19)</f>
        <v>5200000</v>
      </c>
      <c r="G20" s="241"/>
      <c r="H20" s="241"/>
      <c r="I20" s="240">
        <f>SUM(I9:I19)</f>
        <v>208178</v>
      </c>
      <c r="J20" s="240">
        <f>SUM(J9:J19)</f>
        <v>485000</v>
      </c>
      <c r="K20" s="240">
        <f>SUM(K9:K19)</f>
        <v>190531</v>
      </c>
      <c r="L20" s="240">
        <f>SUM(L9:L19)</f>
        <v>500000</v>
      </c>
    </row>
    <row r="21" spans="1:12" ht="15.75">
      <c r="A21" s="229" t="s">
        <v>856</v>
      </c>
      <c r="B21" s="242"/>
      <c r="C21" s="242"/>
      <c r="D21" s="243"/>
      <c r="E21" s="244"/>
      <c r="F21" s="244"/>
      <c r="G21" s="245"/>
      <c r="H21" s="245"/>
      <c r="I21" s="244"/>
      <c r="J21" s="244"/>
      <c r="K21" s="244"/>
      <c r="L21" s="244"/>
    </row>
    <row r="22" spans="1:12" ht="15.75">
      <c r="A22" s="3" t="s">
        <v>461</v>
      </c>
      <c r="B22" s="645">
        <v>39417</v>
      </c>
      <c r="C22" s="645">
        <v>44501</v>
      </c>
      <c r="D22" s="22">
        <v>4</v>
      </c>
      <c r="E22" s="23">
        <v>3750000</v>
      </c>
      <c r="F22" s="646">
        <v>3260000</v>
      </c>
      <c r="G22" s="647" t="s">
        <v>455</v>
      </c>
      <c r="H22" s="647">
        <v>39753</v>
      </c>
      <c r="I22" s="646">
        <v>136063</v>
      </c>
      <c r="J22" s="646">
        <v>190000</v>
      </c>
      <c r="K22" s="646">
        <v>128463</v>
      </c>
      <c r="L22" s="646">
        <v>210000</v>
      </c>
    </row>
    <row r="23" spans="1:12" ht="15.75">
      <c r="A23" s="3" t="s">
        <v>462</v>
      </c>
      <c r="B23" s="645">
        <v>39706</v>
      </c>
      <c r="C23" s="645">
        <v>44317</v>
      </c>
      <c r="D23" s="22">
        <v>3.55</v>
      </c>
      <c r="E23" s="23">
        <v>3660000</v>
      </c>
      <c r="F23" s="646">
        <v>3030000</v>
      </c>
      <c r="G23" s="647" t="s">
        <v>455</v>
      </c>
      <c r="H23" s="647">
        <v>39934</v>
      </c>
      <c r="I23" s="646">
        <v>117266</v>
      </c>
      <c r="J23" s="646">
        <v>305000</v>
      </c>
      <c r="K23" s="646">
        <v>111110</v>
      </c>
      <c r="L23" s="646">
        <v>315000</v>
      </c>
    </row>
    <row r="24" spans="1:12" ht="15.75">
      <c r="A24" s="70"/>
      <c r="B24" s="387"/>
      <c r="C24" s="387"/>
      <c r="D24" s="232"/>
      <c r="E24" s="233"/>
      <c r="F24" s="234"/>
      <c r="G24" s="235"/>
      <c r="H24" s="235"/>
      <c r="I24" s="234"/>
      <c r="J24" s="234"/>
      <c r="K24" s="234"/>
      <c r="L24" s="234"/>
    </row>
    <row r="25" spans="1:12" ht="15.75">
      <c r="A25" s="70"/>
      <c r="B25" s="387"/>
      <c r="C25" s="387"/>
      <c r="D25" s="232"/>
      <c r="E25" s="233"/>
      <c r="F25" s="234"/>
      <c r="G25" s="235"/>
      <c r="H25" s="235"/>
      <c r="I25" s="234"/>
      <c r="J25" s="234"/>
      <c r="K25" s="234"/>
      <c r="L25" s="234"/>
    </row>
    <row r="26" spans="1:12" ht="15.75">
      <c r="A26" s="70"/>
      <c r="B26" s="387"/>
      <c r="C26" s="387"/>
      <c r="D26" s="232"/>
      <c r="E26" s="233"/>
      <c r="F26" s="234"/>
      <c r="G26" s="235"/>
      <c r="H26" s="235"/>
      <c r="I26" s="234"/>
      <c r="J26" s="234"/>
      <c r="K26" s="234"/>
      <c r="L26" s="234"/>
    </row>
    <row r="27" spans="1:12" ht="15.75">
      <c r="A27" s="70"/>
      <c r="B27" s="387"/>
      <c r="C27" s="387"/>
      <c r="D27" s="232"/>
      <c r="E27" s="233"/>
      <c r="F27" s="234"/>
      <c r="G27" s="235"/>
      <c r="H27" s="235"/>
      <c r="I27" s="234"/>
      <c r="J27" s="234"/>
      <c r="K27" s="234"/>
      <c r="L27" s="234"/>
    </row>
    <row r="28" spans="1:12" ht="15.75">
      <c r="A28" s="70"/>
      <c r="B28" s="387"/>
      <c r="C28" s="387"/>
      <c r="D28" s="232"/>
      <c r="E28" s="233"/>
      <c r="F28" s="234"/>
      <c r="G28" s="235"/>
      <c r="H28" s="235"/>
      <c r="I28" s="234"/>
      <c r="J28" s="234"/>
      <c r="K28" s="234"/>
      <c r="L28" s="234"/>
    </row>
    <row r="29" spans="1:12" ht="15.75">
      <c r="A29" s="70"/>
      <c r="B29" s="387"/>
      <c r="C29" s="387"/>
      <c r="D29" s="232"/>
      <c r="E29" s="233"/>
      <c r="F29" s="234"/>
      <c r="G29" s="235"/>
      <c r="H29" s="235"/>
      <c r="I29" s="234"/>
      <c r="J29" s="234"/>
      <c r="K29" s="234"/>
      <c r="L29" s="234"/>
    </row>
    <row r="30" spans="1:12" ht="15.75">
      <c r="A30" s="70"/>
      <c r="B30" s="387"/>
      <c r="C30" s="387"/>
      <c r="D30" s="232"/>
      <c r="E30" s="233"/>
      <c r="F30" s="234"/>
      <c r="G30" s="235"/>
      <c r="H30" s="235"/>
      <c r="I30" s="234"/>
      <c r="J30" s="234"/>
      <c r="K30" s="234"/>
      <c r="L30" s="234"/>
    </row>
    <row r="31" spans="1:12" ht="15.75">
      <c r="A31" s="70"/>
      <c r="B31" s="387"/>
      <c r="C31" s="387"/>
      <c r="D31" s="232"/>
      <c r="E31" s="233"/>
      <c r="F31" s="234"/>
      <c r="G31" s="235"/>
      <c r="H31" s="235"/>
      <c r="I31" s="234"/>
      <c r="J31" s="234"/>
      <c r="K31" s="234"/>
      <c r="L31" s="234"/>
    </row>
    <row r="32" spans="1:12" ht="15.75">
      <c r="A32" s="236" t="s">
        <v>857</v>
      </c>
      <c r="B32" s="237"/>
      <c r="C32" s="237"/>
      <c r="D32" s="246"/>
      <c r="E32" s="239"/>
      <c r="F32" s="247">
        <f>SUM(F22:F31)</f>
        <v>6290000</v>
      </c>
      <c r="G32" s="241"/>
      <c r="H32" s="241"/>
      <c r="I32" s="247">
        <f>SUM(I22:I31)</f>
        <v>253329</v>
      </c>
      <c r="J32" s="247">
        <f>SUM(J22:J31)</f>
        <v>495000</v>
      </c>
      <c r="K32" s="240">
        <f>SUM(K22:K31)</f>
        <v>239573</v>
      </c>
      <c r="L32" s="247">
        <f>SUM(L22:L31)</f>
        <v>525000</v>
      </c>
    </row>
    <row r="33" spans="1:12" ht="15.75">
      <c r="A33" s="229" t="s">
        <v>858</v>
      </c>
      <c r="B33" s="242"/>
      <c r="C33" s="242"/>
      <c r="D33" s="243"/>
      <c r="E33" s="244"/>
      <c r="F33" s="248"/>
      <c r="G33" s="245"/>
      <c r="H33" s="245"/>
      <c r="I33" s="244"/>
      <c r="J33" s="244"/>
      <c r="K33" s="244"/>
      <c r="L33" s="244"/>
    </row>
    <row r="34" spans="1:12" ht="15.75">
      <c r="A34" s="3" t="s">
        <v>463</v>
      </c>
      <c r="B34" s="645">
        <v>38562</v>
      </c>
      <c r="C34" s="645">
        <v>46447</v>
      </c>
      <c r="D34" s="22">
        <v>2.76</v>
      </c>
      <c r="E34" s="23">
        <v>7207738</v>
      </c>
      <c r="F34" s="646">
        <v>6500773</v>
      </c>
      <c r="G34" s="647" t="s">
        <v>457</v>
      </c>
      <c r="H34" s="647" t="s">
        <v>457</v>
      </c>
      <c r="I34" s="646">
        <v>121411</v>
      </c>
      <c r="J34" s="646">
        <v>178589</v>
      </c>
      <c r="K34" s="646">
        <v>174525</v>
      </c>
      <c r="L34" s="646">
        <v>225475</v>
      </c>
    </row>
    <row r="35" spans="1:12" ht="15.75">
      <c r="A35" s="70"/>
      <c r="B35" s="387"/>
      <c r="C35" s="387"/>
      <c r="D35" s="232"/>
      <c r="E35" s="233"/>
      <c r="F35" s="234"/>
      <c r="G35" s="235"/>
      <c r="H35" s="235"/>
      <c r="I35" s="234"/>
      <c r="J35" s="234"/>
      <c r="K35" s="234"/>
      <c r="L35" s="234"/>
    </row>
    <row r="36" spans="1:12" ht="15.75">
      <c r="A36" s="70"/>
      <c r="B36" s="387"/>
      <c r="C36" s="387"/>
      <c r="D36" s="232"/>
      <c r="E36" s="233"/>
      <c r="F36" s="234"/>
      <c r="G36" s="235"/>
      <c r="H36" s="235"/>
      <c r="I36" s="234"/>
      <c r="J36" s="234"/>
      <c r="K36" s="234"/>
      <c r="L36" s="234"/>
    </row>
    <row r="37" spans="1:12" ht="15.75">
      <c r="A37" s="70"/>
      <c r="B37" s="387"/>
      <c r="C37" s="387"/>
      <c r="D37" s="232"/>
      <c r="E37" s="233"/>
      <c r="F37" s="234"/>
      <c r="G37" s="235"/>
      <c r="H37" s="235"/>
      <c r="I37" s="234"/>
      <c r="J37" s="234"/>
      <c r="K37" s="234"/>
      <c r="L37" s="234"/>
    </row>
    <row r="38" spans="1:12" ht="15.75">
      <c r="A38" s="70"/>
      <c r="B38" s="387"/>
      <c r="C38" s="387"/>
      <c r="D38" s="232"/>
      <c r="E38" s="233"/>
      <c r="F38" s="234"/>
      <c r="G38" s="235"/>
      <c r="H38" s="235"/>
      <c r="I38" s="234"/>
      <c r="J38" s="234"/>
      <c r="K38" s="234"/>
      <c r="L38" s="234"/>
    </row>
    <row r="39" spans="1:12" ht="15.75">
      <c r="A39" s="70"/>
      <c r="B39" s="387"/>
      <c r="C39" s="387"/>
      <c r="D39" s="232"/>
      <c r="E39" s="233"/>
      <c r="F39" s="234"/>
      <c r="G39" s="235"/>
      <c r="H39" s="235"/>
      <c r="I39" s="234"/>
      <c r="J39" s="234"/>
      <c r="K39" s="234"/>
      <c r="L39" s="234"/>
    </row>
    <row r="40" spans="1:12" ht="15.75">
      <c r="A40" s="70"/>
      <c r="B40" s="387"/>
      <c r="C40" s="387"/>
      <c r="D40" s="232"/>
      <c r="E40" s="233"/>
      <c r="F40" s="234"/>
      <c r="G40" s="235"/>
      <c r="H40" s="235"/>
      <c r="I40" s="234"/>
      <c r="J40" s="234"/>
      <c r="K40" s="234"/>
      <c r="L40" s="234"/>
    </row>
    <row r="41" spans="1:28" ht="15.75">
      <c r="A41" s="70"/>
      <c r="B41" s="387"/>
      <c r="C41" s="387"/>
      <c r="D41" s="232"/>
      <c r="E41" s="233"/>
      <c r="F41" s="234"/>
      <c r="G41" s="235"/>
      <c r="H41" s="235"/>
      <c r="I41" s="234"/>
      <c r="J41" s="234"/>
      <c r="K41" s="234"/>
      <c r="L41" s="234"/>
      <c r="M41" s="33"/>
      <c r="N41" s="33"/>
      <c r="O41" s="33"/>
      <c r="P41" s="33"/>
      <c r="Q41" s="33"/>
      <c r="R41" s="33"/>
      <c r="S41" s="33"/>
      <c r="T41" s="33"/>
      <c r="U41" s="33"/>
      <c r="V41" s="33"/>
      <c r="W41" s="33"/>
      <c r="X41" s="33"/>
      <c r="Y41" s="33"/>
      <c r="Z41" s="33"/>
      <c r="AA41" s="33"/>
      <c r="AB41" s="33"/>
    </row>
    <row r="42" spans="1:12" ht="15.75">
      <c r="A42" s="236" t="s">
        <v>997</v>
      </c>
      <c r="B42" s="219"/>
      <c r="C42" s="219"/>
      <c r="D42" s="246"/>
      <c r="E42" s="239"/>
      <c r="F42" s="247">
        <f>SUM(F34:F41)</f>
        <v>6500773</v>
      </c>
      <c r="G42" s="239"/>
      <c r="H42" s="239"/>
      <c r="I42" s="247">
        <f>SUM(I34:I41)</f>
        <v>121411</v>
      </c>
      <c r="J42" s="247">
        <f>SUM(J34:J41)</f>
        <v>178589</v>
      </c>
      <c r="K42" s="247">
        <f>SUM(K34:K41)</f>
        <v>174525</v>
      </c>
      <c r="L42" s="247">
        <f>SUM(L34:L41)</f>
        <v>225475</v>
      </c>
    </row>
    <row r="43" spans="1:12" ht="15.75">
      <c r="A43" s="236" t="s">
        <v>859</v>
      </c>
      <c r="B43" s="219"/>
      <c r="C43" s="219"/>
      <c r="D43" s="219"/>
      <c r="E43" s="239"/>
      <c r="F43" s="247">
        <f>SUM(F20+F32+F42)</f>
        <v>17990773</v>
      </c>
      <c r="G43" s="239"/>
      <c r="H43" s="239"/>
      <c r="I43" s="247">
        <f>SUM(I20+I32+I42)</f>
        <v>582918</v>
      </c>
      <c r="J43" s="247">
        <f>SUM(J20+J32+J42)</f>
        <v>1158589</v>
      </c>
      <c r="K43" s="247">
        <f>SUM(K20+K32+K42)</f>
        <v>604629</v>
      </c>
      <c r="L43" s="247">
        <f>SUM(L20+L32+L42)</f>
        <v>1250475</v>
      </c>
    </row>
    <row r="44" spans="1:12" ht="15.75">
      <c r="A44" s="33"/>
      <c r="B44" s="33"/>
      <c r="C44" s="33"/>
      <c r="D44" s="33"/>
      <c r="E44" s="33"/>
      <c r="F44" s="33"/>
      <c r="G44" s="33"/>
      <c r="H44" s="33"/>
      <c r="I44" s="33"/>
      <c r="J44" s="33"/>
      <c r="K44" s="33"/>
      <c r="L44" s="33"/>
    </row>
    <row r="45" spans="5:12" ht="15.75">
      <c r="E45" s="249"/>
      <c r="F45" s="249"/>
      <c r="I45" s="249"/>
      <c r="J45" s="249"/>
      <c r="K45" s="249"/>
      <c r="L45" s="249"/>
    </row>
    <row r="46" spans="5:13" ht="15.75">
      <c r="E46" s="33"/>
      <c r="G46" s="250"/>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0.83" bottom="0.5" header="0.5" footer="0.25"/>
  <pageSetup blackAndWhite="1" fitToHeight="1" fitToWidth="1" horizontalDpi="120" verticalDpi="120" orientation="landscape" scale="79"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12" sqref="F12"/>
    </sheetView>
  </sheetViews>
  <sheetFormatPr defaultColWidth="8.796875" defaultRowHeight="15"/>
  <cols>
    <col min="1" max="1" width="24.59765625" style="2" customWidth="1"/>
    <col min="2" max="3" width="9.796875" style="2" customWidth="1"/>
    <col min="4" max="4" width="8.3984375" style="2" customWidth="1"/>
    <col min="5" max="5" width="17.09765625" style="2" customWidth="1"/>
    <col min="6" max="8" width="14.09765625" style="2" customWidth="1"/>
    <col min="9" max="16384" width="8.8984375" style="2" customWidth="1"/>
  </cols>
  <sheetData>
    <row r="1" spans="1:8" ht="15.75">
      <c r="A1" s="10" t="str">
        <f>inputPrYr!$D$2</f>
        <v>City of Paola</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874</v>
      </c>
      <c r="B4" s="8"/>
      <c r="C4" s="8"/>
      <c r="D4" s="8"/>
      <c r="E4" s="8"/>
      <c r="F4" s="8"/>
      <c r="G4" s="8"/>
      <c r="H4" s="8"/>
    </row>
    <row r="5" spans="1:8" ht="15.75">
      <c r="A5" s="4"/>
      <c r="B5" s="16"/>
      <c r="C5" s="16"/>
      <c r="D5" s="16"/>
      <c r="E5" s="16"/>
      <c r="F5" s="16"/>
      <c r="G5" s="16"/>
      <c r="H5" s="16"/>
    </row>
    <row r="6" spans="1:8" ht="15.75">
      <c r="A6" s="5"/>
      <c r="B6" s="9"/>
      <c r="C6" s="9"/>
      <c r="D6" s="9"/>
      <c r="E6" s="12" t="s">
        <v>783</v>
      </c>
      <c r="F6" s="9"/>
      <c r="G6" s="9"/>
      <c r="H6" s="9"/>
    </row>
    <row r="7" spans="1:8" ht="15.75">
      <c r="A7" s="5"/>
      <c r="B7" s="13"/>
      <c r="C7" s="13" t="s">
        <v>860</v>
      </c>
      <c r="D7" s="13" t="s">
        <v>861</v>
      </c>
      <c r="E7" s="13" t="s">
        <v>804</v>
      </c>
      <c r="F7" s="13" t="s">
        <v>863</v>
      </c>
      <c r="G7" s="13" t="s">
        <v>864</v>
      </c>
      <c r="H7" s="13" t="s">
        <v>864</v>
      </c>
    </row>
    <row r="8" spans="1:8" ht="15.75">
      <c r="A8" s="5"/>
      <c r="B8" s="13" t="s">
        <v>865</v>
      </c>
      <c r="C8" s="13" t="s">
        <v>866</v>
      </c>
      <c r="D8" s="13" t="s">
        <v>849</v>
      </c>
      <c r="E8" s="13" t="s">
        <v>867</v>
      </c>
      <c r="F8" s="13" t="s">
        <v>913</v>
      </c>
      <c r="G8" s="13" t="s">
        <v>868</v>
      </c>
      <c r="H8" s="13" t="s">
        <v>868</v>
      </c>
    </row>
    <row r="9" spans="1:8" ht="15.75">
      <c r="A9" s="17" t="s">
        <v>869</v>
      </c>
      <c r="B9" s="14" t="s">
        <v>846</v>
      </c>
      <c r="C9" s="19" t="s">
        <v>870</v>
      </c>
      <c r="D9" s="14" t="s">
        <v>826</v>
      </c>
      <c r="E9" s="19" t="s">
        <v>938</v>
      </c>
      <c r="F9" s="15" t="str">
        <f>CONCATENATE("Jan 1,",H1-1,"")</f>
        <v>Jan 1,2011</v>
      </c>
      <c r="G9" s="14">
        <f>H1-1</f>
        <v>2011</v>
      </c>
      <c r="H9" s="14">
        <f>H1</f>
        <v>2012</v>
      </c>
    </row>
    <row r="10" spans="1:8" ht="15.75">
      <c r="A10" s="3" t="s">
        <v>464</v>
      </c>
      <c r="B10" s="29">
        <v>38231</v>
      </c>
      <c r="C10" s="24">
        <v>102</v>
      </c>
      <c r="D10" s="22">
        <v>4</v>
      </c>
      <c r="E10" s="23">
        <v>102000</v>
      </c>
      <c r="F10" s="23">
        <v>20515</v>
      </c>
      <c r="G10" s="23">
        <v>14227</v>
      </c>
      <c r="H10" s="23">
        <v>7114</v>
      </c>
    </row>
    <row r="11" spans="1:8" ht="15.75">
      <c r="A11" s="3" t="s">
        <v>465</v>
      </c>
      <c r="B11" s="29">
        <v>39274</v>
      </c>
      <c r="C11" s="24">
        <v>120</v>
      </c>
      <c r="D11" s="22">
        <v>4.68</v>
      </c>
      <c r="E11" s="23">
        <v>231500</v>
      </c>
      <c r="F11" s="23">
        <v>172803</v>
      </c>
      <c r="G11" s="23">
        <v>29522</v>
      </c>
      <c r="H11" s="23">
        <v>29522</v>
      </c>
    </row>
    <row r="12" spans="1:8" ht="15.75">
      <c r="A12" s="3" t="s">
        <v>466</v>
      </c>
      <c r="B12" s="29">
        <v>39512</v>
      </c>
      <c r="C12" s="24">
        <v>36</v>
      </c>
      <c r="D12" s="22">
        <v>3.64</v>
      </c>
      <c r="E12" s="23">
        <v>107262</v>
      </c>
      <c r="F12" s="23">
        <v>37028</v>
      </c>
      <c r="G12" s="23">
        <v>38395</v>
      </c>
      <c r="H12" s="23">
        <v>0</v>
      </c>
    </row>
    <row r="13" spans="1:8" ht="15.75">
      <c r="A13" s="3" t="s">
        <v>766</v>
      </c>
      <c r="B13" s="29">
        <v>40500</v>
      </c>
      <c r="C13" s="24">
        <v>48</v>
      </c>
      <c r="D13" s="22">
        <v>3.49</v>
      </c>
      <c r="E13" s="23">
        <v>115000</v>
      </c>
      <c r="F13" s="23">
        <v>115000</v>
      </c>
      <c r="G13" s="23">
        <v>31376</v>
      </c>
      <c r="H13" s="23">
        <v>31376</v>
      </c>
    </row>
    <row r="14" spans="1:8" ht="15.75">
      <c r="A14" s="3" t="s">
        <v>765</v>
      </c>
      <c r="B14" s="29">
        <v>40550</v>
      </c>
      <c r="C14" s="24">
        <v>24</v>
      </c>
      <c r="D14" s="22">
        <v>3.45</v>
      </c>
      <c r="E14" s="23">
        <v>45520</v>
      </c>
      <c r="F14" s="23">
        <v>0</v>
      </c>
      <c r="G14" s="23">
        <v>0</v>
      </c>
      <c r="H14" s="23">
        <v>23946</v>
      </c>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799</v>
      </c>
      <c r="B28" s="20"/>
      <c r="C28" s="20"/>
      <c r="D28" s="20"/>
      <c r="E28" s="20"/>
      <c r="F28" s="28">
        <f>SUM(F10:F27)</f>
        <v>345346</v>
      </c>
      <c r="G28" s="28">
        <f>SUM(G10:G27)</f>
        <v>113520</v>
      </c>
      <c r="H28" s="28">
        <f>SUM(H10:H27)</f>
        <v>91958</v>
      </c>
    </row>
    <row r="29" spans="1:8" ht="16.5" thickTop="1">
      <c r="A29" s="5"/>
      <c r="B29" s="5"/>
      <c r="C29" s="5"/>
      <c r="D29" s="5"/>
      <c r="E29" s="5"/>
      <c r="F29" s="5"/>
      <c r="G29" s="10"/>
      <c r="H29" s="10"/>
    </row>
    <row r="30" spans="1:8" ht="15.75">
      <c r="A30" s="30" t="s">
        <v>57</v>
      </c>
      <c r="B30" s="31"/>
      <c r="C30" s="31"/>
      <c r="D30" s="31"/>
      <c r="E30" s="31"/>
      <c r="F30" s="31"/>
      <c r="G30" s="10"/>
      <c r="H30" s="10"/>
    </row>
  </sheetData>
  <sheetProtection/>
  <printOptions/>
  <pageMargins left="0.47" right="0.46" top="1" bottom="0.5" header="0.5" footer="0.5"/>
  <pageSetup blackAndWhite="1" fitToHeight="1" fitToWidth="1" horizontalDpi="120" verticalDpi="120" orientation="landscape" scale="89"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23"/>
  <sheetViews>
    <sheetView zoomScaleSheetLayoutView="100" zoomScalePageLayoutView="0" workbookViewId="0" topLeftCell="A88">
      <selection activeCell="E108" sqref="E108"/>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11.6992187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c r="C3" s="48"/>
      <c r="D3" s="48"/>
      <c r="E3" s="139"/>
    </row>
    <row r="4" spans="2:5" ht="15.75">
      <c r="B4" s="403" t="s">
        <v>878</v>
      </c>
      <c r="C4" s="253"/>
      <c r="D4" s="253"/>
      <c r="E4" s="253"/>
    </row>
    <row r="5" spans="2:5" ht="15.75">
      <c r="B5" s="175" t="s">
        <v>811</v>
      </c>
      <c r="C5" s="594" t="s">
        <v>830</v>
      </c>
      <c r="D5" s="595" t="s">
        <v>959</v>
      </c>
      <c r="E5" s="596" t="s">
        <v>960</v>
      </c>
    </row>
    <row r="6" spans="2:5" ht="15.75">
      <c r="B6" s="555" t="str">
        <f>inputPrYr!B17</f>
        <v>General - Fund 01</v>
      </c>
      <c r="C6" s="389">
        <f>E1-2</f>
        <v>2010</v>
      </c>
      <c r="D6" s="389">
        <f>E1-1</f>
        <v>2011</v>
      </c>
      <c r="E6" s="254">
        <f>E1</f>
        <v>2012</v>
      </c>
    </row>
    <row r="7" spans="2:5" ht="15.75">
      <c r="B7" s="255" t="s">
        <v>932</v>
      </c>
      <c r="C7" s="659">
        <v>621578</v>
      </c>
      <c r="D7" s="258">
        <f>C102</f>
        <v>742314</v>
      </c>
      <c r="E7" s="231">
        <f>D102</f>
        <v>570972</v>
      </c>
    </row>
    <row r="8" spans="2:5" ht="15.75">
      <c r="B8" s="259" t="s">
        <v>934</v>
      </c>
      <c r="C8" s="660"/>
      <c r="D8" s="162"/>
      <c r="E8" s="88"/>
    </row>
    <row r="9" spans="2:5" ht="15.75">
      <c r="B9" s="255" t="s">
        <v>812</v>
      </c>
      <c r="C9" s="661">
        <v>1120569</v>
      </c>
      <c r="D9" s="258">
        <v>1095894</v>
      </c>
      <c r="E9" s="262" t="s">
        <v>800</v>
      </c>
    </row>
    <row r="10" spans="2:5" ht="15.75">
      <c r="B10" s="255" t="s">
        <v>813</v>
      </c>
      <c r="C10" s="661">
        <v>37058</v>
      </c>
      <c r="D10" s="260">
        <v>35000</v>
      </c>
      <c r="E10" s="263">
        <v>37500</v>
      </c>
    </row>
    <row r="11" spans="2:5" ht="15.75">
      <c r="B11" s="255" t="s">
        <v>814</v>
      </c>
      <c r="C11" s="661">
        <v>106902</v>
      </c>
      <c r="D11" s="260">
        <v>107000</v>
      </c>
      <c r="E11" s="231">
        <f>mvalloc!C7</f>
        <v>109834</v>
      </c>
    </row>
    <row r="12" spans="2:5" ht="15.75">
      <c r="B12" s="255" t="s">
        <v>815</v>
      </c>
      <c r="C12" s="661">
        <v>0</v>
      </c>
      <c r="D12" s="260">
        <v>0</v>
      </c>
      <c r="E12" s="231">
        <f>mvalloc!D7</f>
        <v>1275</v>
      </c>
    </row>
    <row r="13" spans="2:7" ht="15.75">
      <c r="B13" s="255" t="s">
        <v>910</v>
      </c>
      <c r="C13" s="661">
        <v>0</v>
      </c>
      <c r="D13" s="260">
        <v>0</v>
      </c>
      <c r="E13" s="231">
        <f>mvalloc!E7</f>
        <v>544</v>
      </c>
      <c r="G13" s="658">
        <f>SUM(E11:E13)</f>
        <v>111653</v>
      </c>
    </row>
    <row r="14" spans="2:5" ht="15.75">
      <c r="B14" s="255" t="s">
        <v>911</v>
      </c>
      <c r="C14" s="661">
        <v>0</v>
      </c>
      <c r="D14" s="260">
        <v>0</v>
      </c>
      <c r="E14" s="231">
        <f>inputOth!E16</f>
        <v>0</v>
      </c>
    </row>
    <row r="15" spans="2:5" ht="15.75">
      <c r="B15" s="255" t="s">
        <v>975</v>
      </c>
      <c r="C15" s="661">
        <v>0</v>
      </c>
      <c r="D15" s="260">
        <v>0</v>
      </c>
      <c r="E15" s="231">
        <f>inputOth!E42</f>
        <v>0</v>
      </c>
    </row>
    <row r="16" spans="2:5" ht="15.75">
      <c r="B16" s="255" t="s">
        <v>976</v>
      </c>
      <c r="C16" s="661">
        <v>0</v>
      </c>
      <c r="D16" s="260">
        <v>0</v>
      </c>
      <c r="E16" s="231">
        <f>inputOth!E43</f>
        <v>0</v>
      </c>
    </row>
    <row r="17" spans="2:5" ht="15.75">
      <c r="B17" s="162" t="s">
        <v>977</v>
      </c>
      <c r="C17" s="661">
        <v>0</v>
      </c>
      <c r="D17" s="260">
        <v>0</v>
      </c>
      <c r="E17" s="231">
        <f>mvalloc!F7</f>
        <v>0</v>
      </c>
    </row>
    <row r="18" spans="2:5" ht="15.75">
      <c r="B18" s="648" t="s">
        <v>467</v>
      </c>
      <c r="C18" s="661">
        <v>6489</v>
      </c>
      <c r="D18" s="260">
        <v>6000</v>
      </c>
      <c r="E18" s="263">
        <v>6000</v>
      </c>
    </row>
    <row r="19" spans="2:5" ht="15.75">
      <c r="B19" s="648" t="s">
        <v>468</v>
      </c>
      <c r="C19" s="661">
        <v>12487</v>
      </c>
      <c r="D19" s="260">
        <v>10500</v>
      </c>
      <c r="E19" s="263">
        <v>11000</v>
      </c>
    </row>
    <row r="20" spans="2:5" ht="15.75">
      <c r="B20" s="648" t="s">
        <v>469</v>
      </c>
      <c r="C20" s="661">
        <v>16443</v>
      </c>
      <c r="D20" s="260">
        <v>18000</v>
      </c>
      <c r="E20" s="263">
        <v>19000</v>
      </c>
    </row>
    <row r="21" spans="2:5" ht="15.75">
      <c r="B21" s="648" t="s">
        <v>470</v>
      </c>
      <c r="C21" s="661">
        <v>628083</v>
      </c>
      <c r="D21" s="260">
        <v>635000</v>
      </c>
      <c r="E21" s="263">
        <v>630000</v>
      </c>
    </row>
    <row r="22" spans="2:5" ht="15.75">
      <c r="B22" s="648" t="s">
        <v>471</v>
      </c>
      <c r="C22" s="661">
        <v>429231</v>
      </c>
      <c r="D22" s="260">
        <v>415000</v>
      </c>
      <c r="E22" s="263">
        <v>412000</v>
      </c>
    </row>
    <row r="23" spans="2:5" ht="15.75">
      <c r="B23" s="648" t="s">
        <v>472</v>
      </c>
      <c r="C23" s="661">
        <v>0</v>
      </c>
      <c r="D23" s="260">
        <v>0</v>
      </c>
      <c r="E23" s="263">
        <v>0</v>
      </c>
    </row>
    <row r="24" spans="2:5" ht="15.75">
      <c r="B24" s="648" t="s">
        <v>473</v>
      </c>
      <c r="C24" s="661">
        <v>436192</v>
      </c>
      <c r="D24" s="260">
        <v>430000</v>
      </c>
      <c r="E24" s="263">
        <v>430000</v>
      </c>
    </row>
    <row r="25" spans="2:5" ht="15.75">
      <c r="B25" s="648" t="s">
        <v>474</v>
      </c>
      <c r="C25" s="661">
        <f>1030+22150+28212+87739+2270</f>
        <v>141401</v>
      </c>
      <c r="D25" s="260">
        <f>700+22000+25000+30000+1000</f>
        <v>78700</v>
      </c>
      <c r="E25" s="263">
        <f>800+22000+26000+30000+1500</f>
        <v>80300</v>
      </c>
    </row>
    <row r="26" spans="2:5" ht="15.75">
      <c r="B26" s="648" t="s">
        <v>475</v>
      </c>
      <c r="C26" s="661">
        <f>321854+109608</f>
        <v>431462</v>
      </c>
      <c r="D26" s="260">
        <v>395000</v>
      </c>
      <c r="E26" s="263">
        <v>405000</v>
      </c>
    </row>
    <row r="27" spans="2:5" ht="15.75">
      <c r="B27" s="648" t="s">
        <v>476</v>
      </c>
      <c r="C27" s="661">
        <f>49031+9515+35042+732+17677+1056</f>
        <v>113053</v>
      </c>
      <c r="D27" s="260">
        <f>30000+1200+10000+1000+950+5000</f>
        <v>48150</v>
      </c>
      <c r="E27" s="263">
        <f>35000+2000+10000+3000+500+5000</f>
        <v>55500</v>
      </c>
    </row>
    <row r="28" spans="2:5" ht="15.75">
      <c r="B28" s="648" t="s">
        <v>477</v>
      </c>
      <c r="C28" s="661">
        <f>26514+250</f>
        <v>26764</v>
      </c>
      <c r="D28" s="260">
        <f>26500+500</f>
        <v>27000</v>
      </c>
      <c r="E28" s="263">
        <f>26500+500</f>
        <v>27000</v>
      </c>
    </row>
    <row r="29" spans="2:5" ht="15.75">
      <c r="B29" s="648" t="s">
        <v>478</v>
      </c>
      <c r="C29" s="661">
        <v>17200</v>
      </c>
      <c r="D29" s="260">
        <v>15000</v>
      </c>
      <c r="E29" s="263">
        <v>15000</v>
      </c>
    </row>
    <row r="30" spans="2:5" ht="15.75">
      <c r="B30" s="648" t="s">
        <v>479</v>
      </c>
      <c r="C30" s="661">
        <v>34399</v>
      </c>
      <c r="D30" s="260">
        <v>35000</v>
      </c>
      <c r="E30" s="263">
        <v>40000</v>
      </c>
    </row>
    <row r="31" spans="2:5" ht="15.75">
      <c r="B31" s="648" t="s">
        <v>480</v>
      </c>
      <c r="C31" s="661">
        <v>1000</v>
      </c>
      <c r="D31" s="260">
        <v>500</v>
      </c>
      <c r="E31" s="263">
        <v>500</v>
      </c>
    </row>
    <row r="32" spans="2:5" ht="15.75">
      <c r="B32" s="648" t="s">
        <v>481</v>
      </c>
      <c r="C32" s="661">
        <v>40000</v>
      </c>
      <c r="D32" s="260">
        <v>0</v>
      </c>
      <c r="E32" s="263">
        <v>0</v>
      </c>
    </row>
    <row r="33" spans="2:5" ht="15.75">
      <c r="B33" s="648" t="s">
        <v>482</v>
      </c>
      <c r="C33" s="661">
        <v>0</v>
      </c>
      <c r="D33" s="260">
        <v>15</v>
      </c>
      <c r="E33" s="263">
        <v>0</v>
      </c>
    </row>
    <row r="34" spans="2:5" ht="15.75">
      <c r="B34" s="256" t="s">
        <v>483</v>
      </c>
      <c r="C34" s="661">
        <v>964</v>
      </c>
      <c r="D34" s="260">
        <v>750</v>
      </c>
      <c r="E34" s="263">
        <v>1000</v>
      </c>
    </row>
    <row r="35" spans="2:5" ht="15.75">
      <c r="B35" s="256" t="s">
        <v>335</v>
      </c>
      <c r="C35" s="661">
        <v>0</v>
      </c>
      <c r="D35" s="260">
        <v>4650</v>
      </c>
      <c r="E35" s="263">
        <v>0</v>
      </c>
    </row>
    <row r="36" spans="2:5" ht="15.75">
      <c r="B36" s="256"/>
      <c r="C36" s="661"/>
      <c r="D36" s="260"/>
      <c r="E36" s="263"/>
    </row>
    <row r="37" spans="2:5" ht="15.75">
      <c r="B37" s="256"/>
      <c r="C37" s="661"/>
      <c r="D37" s="260"/>
      <c r="E37" s="263"/>
    </row>
    <row r="38" spans="2:5" ht="15.75">
      <c r="B38" s="256"/>
      <c r="C38" s="661"/>
      <c r="D38" s="260"/>
      <c r="E38" s="263"/>
    </row>
    <row r="39" spans="2:5" ht="15.75">
      <c r="B39" s="256"/>
      <c r="C39" s="661"/>
      <c r="D39" s="260"/>
      <c r="E39" s="263"/>
    </row>
    <row r="40" spans="2:5" ht="15.75">
      <c r="B40" s="256"/>
      <c r="C40" s="661"/>
      <c r="D40" s="260"/>
      <c r="E40" s="263"/>
    </row>
    <row r="41" spans="2:5" ht="15.75">
      <c r="B41" s="256"/>
      <c r="C41" s="661"/>
      <c r="D41" s="260"/>
      <c r="E41" s="263"/>
    </row>
    <row r="42" spans="2:5" ht="15.75">
      <c r="B42" s="256"/>
      <c r="C42" s="661"/>
      <c r="D42" s="260"/>
      <c r="E42" s="263"/>
    </row>
    <row r="43" spans="2:5" ht="15.75">
      <c r="B43" s="256"/>
      <c r="C43" s="661"/>
      <c r="D43" s="260"/>
      <c r="E43" s="263"/>
    </row>
    <row r="44" spans="2:5" ht="15.75">
      <c r="B44" s="256"/>
      <c r="C44" s="661"/>
      <c r="D44" s="260"/>
      <c r="E44" s="263"/>
    </row>
    <row r="45" spans="2:5" ht="15.75">
      <c r="B45" s="256"/>
      <c r="C45" s="661"/>
      <c r="D45" s="260"/>
      <c r="E45" s="263"/>
    </row>
    <row r="46" spans="2:5" ht="15.75">
      <c r="B46" s="256"/>
      <c r="C46" s="661"/>
      <c r="D46" s="260"/>
      <c r="E46" s="263"/>
    </row>
    <row r="47" spans="2:5" ht="15.75">
      <c r="B47" s="256"/>
      <c r="C47" s="661"/>
      <c r="D47" s="260"/>
      <c r="E47" s="263"/>
    </row>
    <row r="48" spans="2:5" ht="15.75">
      <c r="B48" s="264" t="s">
        <v>816</v>
      </c>
      <c r="C48" s="661">
        <v>23029</v>
      </c>
      <c r="D48" s="260">
        <v>15000</v>
      </c>
      <c r="E48" s="263">
        <v>12000</v>
      </c>
    </row>
    <row r="49" spans="2:7" ht="15.75">
      <c r="B49" s="162" t="s">
        <v>49</v>
      </c>
      <c r="C49" s="661">
        <f>2802+2315</f>
        <v>5117</v>
      </c>
      <c r="D49" s="260">
        <f>2500+1500</f>
        <v>4000</v>
      </c>
      <c r="E49" s="263">
        <f>2500+1500</f>
        <v>4000</v>
      </c>
      <c r="G49" s="249"/>
    </row>
    <row r="50" spans="2:8" ht="15.75">
      <c r="B50" s="255" t="s">
        <v>138</v>
      </c>
      <c r="C50" s="265">
        <f>IF(C51*0.1&lt;C49,"Exceed 10% Rule","")</f>
      </c>
      <c r="D50" s="265">
        <f>IF(D51*0.1&lt;D49,"Exceed 10% Rule","")</f>
      </c>
      <c r="E50" s="305">
        <f>IF(E51*0.1+E108&lt;E49,"Exceed 10% Rule","")</f>
      </c>
      <c r="H50" s="658"/>
    </row>
    <row r="51" spans="2:7" ht="15.75">
      <c r="B51" s="267" t="s">
        <v>817</v>
      </c>
      <c r="C51" s="269">
        <f>SUM(C9:C49)</f>
        <v>3627843</v>
      </c>
      <c r="D51" s="269">
        <f>SUM(D9:D49)</f>
        <v>3376159</v>
      </c>
      <c r="E51" s="270">
        <f>SUM(E10:E49)</f>
        <v>2297453</v>
      </c>
      <c r="G51" s="658"/>
    </row>
    <row r="52" spans="2:5" ht="15.75">
      <c r="B52" s="267" t="s">
        <v>818</v>
      </c>
      <c r="C52" s="269">
        <f>C7+C51</f>
        <v>4249421</v>
      </c>
      <c r="D52" s="269">
        <f>D7+D51</f>
        <v>4118473</v>
      </c>
      <c r="E52" s="270">
        <f>E7+E51</f>
        <v>2868425</v>
      </c>
    </row>
    <row r="53" spans="2:5" ht="15.75">
      <c r="B53" s="48"/>
      <c r="C53" s="48"/>
      <c r="D53" s="48"/>
      <c r="E53" s="48"/>
    </row>
    <row r="54" spans="2:5" ht="15.75">
      <c r="B54" s="699" t="s">
        <v>942</v>
      </c>
      <c r="C54" s="699"/>
      <c r="D54" s="699"/>
      <c r="E54" s="699"/>
    </row>
    <row r="55" spans="2:5" ht="15.75">
      <c r="B55" s="176"/>
      <c r="C55" s="176"/>
      <c r="D55" s="176"/>
      <c r="E55" s="176"/>
    </row>
    <row r="56" spans="2:5" ht="15.75">
      <c r="B56" s="201" t="str">
        <f>inputPrYr!D2</f>
        <v>City of Paola</v>
      </c>
      <c r="C56" s="48"/>
      <c r="D56" s="48"/>
      <c r="E56" s="172"/>
    </row>
    <row r="57" spans="2:5" ht="15.75">
      <c r="B57" s="48"/>
      <c r="C57" s="48"/>
      <c r="D57" s="48"/>
      <c r="E57" s="139"/>
    </row>
    <row r="58" spans="2:5" ht="15.75">
      <c r="B58" s="271" t="s">
        <v>877</v>
      </c>
      <c r="C58" s="224"/>
      <c r="D58" s="224"/>
      <c r="E58" s="224"/>
    </row>
    <row r="59" spans="2:5" ht="15.75">
      <c r="B59" s="48" t="s">
        <v>811</v>
      </c>
      <c r="C59" s="594" t="s">
        <v>830</v>
      </c>
      <c r="D59" s="595" t="s">
        <v>959</v>
      </c>
      <c r="E59" s="596" t="s">
        <v>960</v>
      </c>
    </row>
    <row r="60" spans="2:5" ht="15.75">
      <c r="B60" s="78" t="str">
        <f>inputPrYr!B17</f>
        <v>General - Fund 01</v>
      </c>
      <c r="C60" s="389">
        <f>C6</f>
        <v>2010</v>
      </c>
      <c r="D60" s="389">
        <f>D6</f>
        <v>2011</v>
      </c>
      <c r="E60" s="254">
        <f>E6</f>
        <v>2012</v>
      </c>
    </row>
    <row r="61" spans="2:5" ht="15.75">
      <c r="B61" s="272" t="s">
        <v>818</v>
      </c>
      <c r="C61" s="258">
        <f>C52</f>
        <v>4249421</v>
      </c>
      <c r="D61" s="258">
        <f>D52</f>
        <v>4118473</v>
      </c>
      <c r="E61" s="231">
        <f>E52</f>
        <v>2868425</v>
      </c>
    </row>
    <row r="62" spans="2:5" ht="15.75">
      <c r="B62" s="259" t="s">
        <v>820</v>
      </c>
      <c r="C62" s="162"/>
      <c r="D62" s="162"/>
      <c r="E62" s="88"/>
    </row>
    <row r="63" spans="2:6" ht="15.75">
      <c r="B63" s="255" t="str">
        <f>GenDetail!A7</f>
        <v>Administration Department 001</v>
      </c>
      <c r="C63" s="273">
        <f>GenDetail!B14</f>
        <v>495938</v>
      </c>
      <c r="D63" s="273">
        <f>GenDetail!C14</f>
        <v>511535</v>
      </c>
      <c r="E63" s="83">
        <f>GenDetail!D14</f>
        <v>528905</v>
      </c>
      <c r="F63" s="274"/>
    </row>
    <row r="64" spans="2:6" ht="15.75">
      <c r="B64" s="255" t="str">
        <f>GenDetail!A15</f>
        <v>Police Department 002</v>
      </c>
      <c r="C64" s="273">
        <f>GenDetail!B21</f>
        <v>1311242</v>
      </c>
      <c r="D64" s="273">
        <f>GenDetail!C21</f>
        <v>1326236</v>
      </c>
      <c r="E64" s="83">
        <f>GenDetail!D21</f>
        <v>1372850</v>
      </c>
      <c r="F64" s="274"/>
    </row>
    <row r="65" spans="2:5" ht="15.75">
      <c r="B65" s="255" t="str">
        <f>GenDetail!A22</f>
        <v>Fire Department 003</v>
      </c>
      <c r="C65" s="273">
        <f>GenDetail!B28</f>
        <v>272922</v>
      </c>
      <c r="D65" s="273">
        <f>GenDetail!C28</f>
        <v>258872</v>
      </c>
      <c r="E65" s="83">
        <f>GenDetail!D28</f>
        <v>272472</v>
      </c>
    </row>
    <row r="66" spans="2:5" ht="15.75">
      <c r="B66" s="255" t="str">
        <f>GenDetail!A29</f>
        <v>Municipal Court Department 004</v>
      </c>
      <c r="C66" s="273">
        <f>GenDetail!B35</f>
        <v>180141</v>
      </c>
      <c r="D66" s="273">
        <f>GenDetail!C35</f>
        <v>186900</v>
      </c>
      <c r="E66" s="83">
        <f>GenDetail!D35</f>
        <v>191400</v>
      </c>
    </row>
    <row r="67" spans="2:5" ht="15.75">
      <c r="B67" s="255" t="str">
        <f>GenDetail!A36</f>
        <v>Street Department 005</v>
      </c>
      <c r="C67" s="273">
        <f>GenDetail!B43</f>
        <v>656085</v>
      </c>
      <c r="D67" s="273">
        <f>GenDetail!C43</f>
        <v>676276</v>
      </c>
      <c r="E67" s="83">
        <f>GenDetail!D43</f>
        <v>648526</v>
      </c>
    </row>
    <row r="68" spans="2:5" ht="15.75">
      <c r="B68" s="255" t="str">
        <f>GenDetail!A44</f>
        <v>Parks &amp; Recreation Department 006</v>
      </c>
      <c r="C68" s="273">
        <f>GenDetail!B51</f>
        <v>314604</v>
      </c>
      <c r="D68" s="273">
        <f>GenDetail!C51</f>
        <v>318068</v>
      </c>
      <c r="E68" s="83">
        <f>GenDetail!D51</f>
        <v>350114</v>
      </c>
    </row>
    <row r="69" spans="2:5" ht="15.75">
      <c r="B69" s="255" t="str">
        <f>GenDetail!A52</f>
        <v>Cemetery Department 007</v>
      </c>
      <c r="C69" s="273">
        <f>GenDetail!B58</f>
        <v>54080</v>
      </c>
      <c r="D69" s="273">
        <f>GenDetail!C58</f>
        <v>58702</v>
      </c>
      <c r="E69" s="83">
        <f>GenDetail!D58</f>
        <v>68100</v>
      </c>
    </row>
    <row r="70" spans="2:5" ht="15.75">
      <c r="B70" s="255" t="str">
        <f>GenDetail!A59</f>
        <v>Community Development Department 009</v>
      </c>
      <c r="C70" s="273">
        <f>GenDetail!B65</f>
        <v>216721</v>
      </c>
      <c r="D70" s="273">
        <f>GenDetail!C65</f>
        <v>205762</v>
      </c>
      <c r="E70" s="83">
        <f>GenDetail!D65</f>
        <v>215000</v>
      </c>
    </row>
    <row r="71" spans="2:5" ht="15.75">
      <c r="B71" s="255">
        <f>GenDetail!A77</f>
        <v>0</v>
      </c>
      <c r="C71" s="273">
        <f>GenDetail!B83</f>
        <v>0</v>
      </c>
      <c r="D71" s="273">
        <f>GenDetail!C83</f>
        <v>0</v>
      </c>
      <c r="E71" s="83">
        <f>GenDetail!D83</f>
        <v>0</v>
      </c>
    </row>
    <row r="72" spans="2:5" ht="15.75">
      <c r="B72" s="255">
        <f>GenDetail!A84</f>
        <v>0</v>
      </c>
      <c r="C72" s="273">
        <f>GenDetail!B90</f>
        <v>0</v>
      </c>
      <c r="D72" s="273">
        <f>GenDetail!C90</f>
        <v>0</v>
      </c>
      <c r="E72" s="83">
        <f>GenDetail!D90</f>
        <v>0</v>
      </c>
    </row>
    <row r="73" spans="2:5" ht="15.75">
      <c r="B73" s="255">
        <f>GenDetail!A91</f>
        <v>0</v>
      </c>
      <c r="C73" s="273">
        <f>GenDetail!B97</f>
        <v>0</v>
      </c>
      <c r="D73" s="273">
        <f>GenDetail!C97</f>
        <v>0</v>
      </c>
      <c r="E73" s="83">
        <f>GenDetail!D97</f>
        <v>0</v>
      </c>
    </row>
    <row r="74" spans="2:5" ht="15.75">
      <c r="B74" s="255">
        <f>GenDetail!A98</f>
        <v>0</v>
      </c>
      <c r="C74" s="273">
        <f>GenDetail!B103</f>
        <v>0</v>
      </c>
      <c r="D74" s="273">
        <f>GenDetail!C103</f>
        <v>0</v>
      </c>
      <c r="E74" s="83">
        <f>GenDetail!D103</f>
        <v>0</v>
      </c>
    </row>
    <row r="75" spans="2:5" ht="15.75">
      <c r="B75" s="255">
        <f>GenDetail!A104</f>
        <v>0</v>
      </c>
      <c r="C75" s="273">
        <f>GenDetail!B110</f>
        <v>0</v>
      </c>
      <c r="D75" s="273">
        <f>GenDetail!C110</f>
        <v>0</v>
      </c>
      <c r="E75" s="83">
        <f>GenDetail!D110</f>
        <v>0</v>
      </c>
    </row>
    <row r="76" spans="2:5" ht="15.75">
      <c r="B76" s="255">
        <f>GenDetail!A111</f>
        <v>0</v>
      </c>
      <c r="C76" s="273">
        <f>GenDetail!B117</f>
        <v>0</v>
      </c>
      <c r="D76" s="273">
        <f>GenDetail!C117</f>
        <v>0</v>
      </c>
      <c r="E76" s="83">
        <f>GenDetail!D117</f>
        <v>0</v>
      </c>
    </row>
    <row r="77" spans="2:5" ht="15.75">
      <c r="B77" s="255">
        <f>GenDetail!A118</f>
        <v>0</v>
      </c>
      <c r="C77" s="273">
        <f>GenDetail!B124</f>
        <v>0</v>
      </c>
      <c r="D77" s="273">
        <f>GenDetail!C124</f>
        <v>0</v>
      </c>
      <c r="E77" s="83">
        <f>GenDetail!D124</f>
        <v>0</v>
      </c>
    </row>
    <row r="78" spans="2:5" ht="15.75">
      <c r="B78" s="255">
        <f>GenDetail!A125</f>
        <v>0</v>
      </c>
      <c r="C78" s="273">
        <f>GenDetail!B131</f>
        <v>0</v>
      </c>
      <c r="D78" s="273">
        <f>GenDetail!C131</f>
        <v>0</v>
      </c>
      <c r="E78" s="83">
        <f>GenDetail!D131</f>
        <v>0</v>
      </c>
    </row>
    <row r="79" spans="2:5" ht="15.75">
      <c r="B79" s="275" t="s">
        <v>666</v>
      </c>
      <c r="C79" s="390">
        <f>SUM(C63:C78)</f>
        <v>3501733</v>
      </c>
      <c r="D79" s="390">
        <f>SUM(D63:D78)</f>
        <v>3542351</v>
      </c>
      <c r="E79" s="292">
        <f>SUM(E63:E78)</f>
        <v>3647367</v>
      </c>
    </row>
    <row r="80" spans="2:5" ht="15.75">
      <c r="B80" s="649" t="s">
        <v>484</v>
      </c>
      <c r="C80" s="260">
        <v>0</v>
      </c>
      <c r="D80" s="260">
        <v>0</v>
      </c>
      <c r="E80" s="263">
        <v>310552</v>
      </c>
    </row>
    <row r="81" spans="2:5" ht="15.75">
      <c r="B81" s="264"/>
      <c r="C81" s="260"/>
      <c r="D81" s="260"/>
      <c r="E81" s="263"/>
    </row>
    <row r="82" spans="2:5" ht="15.75">
      <c r="B82" s="264"/>
      <c r="C82" s="260"/>
      <c r="D82" s="260"/>
      <c r="E82" s="263"/>
    </row>
    <row r="83" spans="2:5" ht="15.75">
      <c r="B83" s="264"/>
      <c r="C83" s="260"/>
      <c r="D83" s="260"/>
      <c r="E83" s="263"/>
    </row>
    <row r="84" spans="2:5" ht="15.75">
      <c r="B84" s="264"/>
      <c r="C84" s="260"/>
      <c r="D84" s="260"/>
      <c r="E84" s="263"/>
    </row>
    <row r="85" spans="2:5" ht="15.75">
      <c r="B85" s="264"/>
      <c r="C85" s="260"/>
      <c r="D85" s="260"/>
      <c r="E85" s="263"/>
    </row>
    <row r="86" spans="2:5" ht="15.75">
      <c r="B86" s="276"/>
      <c r="C86" s="260"/>
      <c r="D86" s="260"/>
      <c r="E86" s="263"/>
    </row>
    <row r="87" spans="2:5" ht="15.75">
      <c r="B87" s="276"/>
      <c r="C87" s="260"/>
      <c r="D87" s="260"/>
      <c r="E87" s="263"/>
    </row>
    <row r="88" spans="2:5" ht="15.75">
      <c r="B88" s="276"/>
      <c r="C88" s="260"/>
      <c r="D88" s="260"/>
      <c r="E88" s="263"/>
    </row>
    <row r="89" spans="2:5" ht="15.75">
      <c r="B89" s="276"/>
      <c r="C89" s="260"/>
      <c r="D89" s="260"/>
      <c r="E89" s="263"/>
    </row>
    <row r="90" spans="2:5" ht="15.75">
      <c r="B90" s="276"/>
      <c r="C90" s="260"/>
      <c r="D90" s="260"/>
      <c r="E90" s="263"/>
    </row>
    <row r="91" spans="2:5" ht="15.75">
      <c r="B91" s="276"/>
      <c r="C91" s="260"/>
      <c r="D91" s="260"/>
      <c r="E91" s="263"/>
    </row>
    <row r="92" spans="2:5" ht="15.75">
      <c r="B92" s="276"/>
      <c r="C92" s="260"/>
      <c r="D92" s="260"/>
      <c r="E92" s="263"/>
    </row>
    <row r="93" spans="2:5" ht="15.75">
      <c r="B93" s="276"/>
      <c r="C93" s="260"/>
      <c r="D93" s="260"/>
      <c r="E93" s="263"/>
    </row>
    <row r="94" spans="2:5" ht="15.75">
      <c r="B94" s="276"/>
      <c r="C94" s="260"/>
      <c r="D94" s="260"/>
      <c r="E94" s="263"/>
    </row>
    <row r="95" spans="2:5" ht="15.75">
      <c r="B95" s="276"/>
      <c r="C95" s="260"/>
      <c r="D95" s="260"/>
      <c r="E95" s="263"/>
    </row>
    <row r="96" spans="2:5" ht="15.75">
      <c r="B96" s="276"/>
      <c r="C96" s="260"/>
      <c r="D96" s="260"/>
      <c r="E96" s="263"/>
    </row>
    <row r="97" spans="2:5" ht="15.75">
      <c r="B97" s="276"/>
      <c r="C97" s="260"/>
      <c r="D97" s="260"/>
      <c r="E97" s="263"/>
    </row>
    <row r="98" spans="2:5" ht="15.75">
      <c r="B98" s="277" t="s">
        <v>48</v>
      </c>
      <c r="C98" s="260">
        <v>0</v>
      </c>
      <c r="D98" s="260"/>
      <c r="E98" s="278">
        <f>nhood!E6</f>
      </c>
    </row>
    <row r="99" spans="2:5" ht="15.75">
      <c r="B99" s="277" t="s">
        <v>49</v>
      </c>
      <c r="C99" s="260">
        <f>2049+345+500+20+1700+50+545+165</f>
        <v>5374</v>
      </c>
      <c r="D99" s="260">
        <f>2750+2000+50+300+50</f>
        <v>5150</v>
      </c>
      <c r="E99" s="263">
        <f>4000+2000+100+300</f>
        <v>6400</v>
      </c>
    </row>
    <row r="100" spans="2:10" ht="15.75">
      <c r="B100" s="277" t="s">
        <v>139</v>
      </c>
      <c r="C100" s="265">
        <f>IF(C101*0.1&lt;C99,"Exceed 10% Rule","")</f>
      </c>
      <c r="D100" s="265">
        <f>IF(D101*0.1&lt;D99,"Exceed 10% Rule","")</f>
      </c>
      <c r="E100" s="305">
        <f>IF(E101*0.1&lt;E99,"Exceed 10% Rule","")</f>
      </c>
      <c r="G100" s="727" t="str">
        <f>CONCATENATE("Projected Carryover Into ",E1+1,"")</f>
        <v>Projected Carryover Into 2013</v>
      </c>
      <c r="H100" s="728"/>
      <c r="I100" s="728"/>
      <c r="J100" s="729"/>
    </row>
    <row r="101" spans="2:10" ht="15.75">
      <c r="B101" s="267" t="s">
        <v>824</v>
      </c>
      <c r="C101" s="269">
        <f>SUM(C79:C99)</f>
        <v>3507107</v>
      </c>
      <c r="D101" s="269">
        <f>SUM(D79:D99)</f>
        <v>3547501</v>
      </c>
      <c r="E101" s="270">
        <f>SUM(E79:E99)</f>
        <v>3964319</v>
      </c>
      <c r="G101" s="562"/>
      <c r="H101" s="556"/>
      <c r="I101" s="556"/>
      <c r="J101" s="563"/>
    </row>
    <row r="102" spans="2:10" ht="15.75">
      <c r="B102" s="153" t="s">
        <v>933</v>
      </c>
      <c r="C102" s="273">
        <f>C52-C101</f>
        <v>742314</v>
      </c>
      <c r="D102" s="273">
        <f>D52-D101</f>
        <v>570972</v>
      </c>
      <c r="E102" s="262" t="s">
        <v>800</v>
      </c>
      <c r="G102" s="564">
        <f>D102</f>
        <v>570972</v>
      </c>
      <c r="H102" s="565" t="str">
        <f>CONCATENATE("",E1-1," Ending Cash Balance (est.)")</f>
        <v>2011 Ending Cash Balance (est.)</v>
      </c>
      <c r="I102" s="566"/>
      <c r="J102" s="563"/>
    </row>
    <row r="103" spans="2:10" ht="15.75">
      <c r="B103" s="139" t="str">
        <f>CONCATENATE("",E1-2,"/",E1-1," Budget Authority Amount:")</f>
        <v>2010/2011 Budget Authority Amount:</v>
      </c>
      <c r="C103" s="244">
        <f>inputOth!B61</f>
        <v>3998476</v>
      </c>
      <c r="D103" s="244">
        <f>inputPrYr!D17</f>
        <v>4017134</v>
      </c>
      <c r="E103" s="262" t="s">
        <v>800</v>
      </c>
      <c r="F103" s="279"/>
      <c r="G103" s="564">
        <f>E51</f>
        <v>2297453</v>
      </c>
      <c r="H103" s="567" t="str">
        <f>CONCATENATE("",E1," Non-AV Receipts (est.)")</f>
        <v>2012 Non-AV Receipts (est.)</v>
      </c>
      <c r="I103" s="566"/>
      <c r="J103" s="563"/>
    </row>
    <row r="104" spans="2:10" ht="15.75">
      <c r="B104" s="139"/>
      <c r="C104" s="731" t="s">
        <v>664</v>
      </c>
      <c r="D104" s="732"/>
      <c r="E104" s="263">
        <v>0</v>
      </c>
      <c r="F104" s="454">
        <f>IF(E101/0.95-E101&lt;E104,"Exceeds 5%","")</f>
      </c>
      <c r="G104" s="568">
        <f>E108</f>
        <v>1161648</v>
      </c>
      <c r="H104" s="567" t="str">
        <f>CONCATENATE("",E1," Ad Valorem Tax (est.)")</f>
        <v>2012 Ad Valorem Tax (est.)</v>
      </c>
      <c r="I104" s="566"/>
      <c r="J104" s="563"/>
    </row>
    <row r="105" spans="2:10" ht="15.75">
      <c r="B105" s="549" t="str">
        <f>CONCATENATE(C122,"     ",D122)</f>
        <v>     </v>
      </c>
      <c r="C105" s="733" t="s">
        <v>665</v>
      </c>
      <c r="D105" s="734"/>
      <c r="E105" s="231">
        <f>E101+E104</f>
        <v>3964319</v>
      </c>
      <c r="G105" s="564">
        <f>SUM(G102:G104)</f>
        <v>4030073</v>
      </c>
      <c r="H105" s="567" t="str">
        <f>CONCATENATE("Total ",E1," Resources Available")</f>
        <v>Total 2012 Resources Available</v>
      </c>
      <c r="I105" s="566"/>
      <c r="J105" s="563"/>
    </row>
    <row r="106" spans="2:10" ht="15.75">
      <c r="B106" s="549" t="str">
        <f>CONCATENATE(C123,"     ",D123)</f>
        <v>     </v>
      </c>
      <c r="C106" s="280"/>
      <c r="D106" s="172" t="s">
        <v>825</v>
      </c>
      <c r="E106" s="83">
        <f>IF(E105-E52&gt;0,E105-E52,0)</f>
        <v>1095894</v>
      </c>
      <c r="G106" s="569"/>
      <c r="H106" s="567"/>
      <c r="I106" s="567"/>
      <c r="J106" s="563"/>
    </row>
    <row r="107" spans="2:10" ht="15.75">
      <c r="B107" s="172"/>
      <c r="C107" s="397" t="s">
        <v>663</v>
      </c>
      <c r="D107" s="664">
        <f>inputOth!$E$48</f>
        <v>0.06</v>
      </c>
      <c r="E107" s="231">
        <f>ROUND(IF(D107&gt;0,(E106*D107),0),0)</f>
        <v>65754</v>
      </c>
      <c r="G107" s="568">
        <f>C101*0.05+C101</f>
        <v>3682462.35</v>
      </c>
      <c r="H107" s="567" t="str">
        <f>CONCATENATE("Less ",E1-2," Expenditures + 5%")</f>
        <v>Less 2010 Expenditures + 5%</v>
      </c>
      <c r="I107" s="566"/>
      <c r="J107" s="563"/>
    </row>
    <row r="108" spans="2:10" ht="15.75">
      <c r="B108" s="48"/>
      <c r="C108" s="735" t="str">
        <f>CONCATENATE("Amount of  ",$E$1-1," Ad Valorem Tax")</f>
        <v>Amount of  2011 Ad Valorem Tax</v>
      </c>
      <c r="D108" s="736"/>
      <c r="E108" s="292">
        <f>E106+E107</f>
        <v>1161648</v>
      </c>
      <c r="G108" s="574">
        <f>G105-G107</f>
        <v>347610.6499999999</v>
      </c>
      <c r="H108" s="570" t="str">
        <f>CONCATENATE("Projected ",E1+1," Carryover (est.)")</f>
        <v>Projected 2013 Carryover (est.)</v>
      </c>
      <c r="I108" s="571"/>
      <c r="J108" s="572"/>
    </row>
    <row r="109" spans="2:10" ht="15.75">
      <c r="B109" s="48"/>
      <c r="C109" s="48"/>
      <c r="D109" s="48"/>
      <c r="E109" s="48"/>
      <c r="G109" s="399"/>
      <c r="H109" s="399"/>
      <c r="I109" s="399"/>
      <c r="J109" s="399"/>
    </row>
    <row r="110" spans="2:10" ht="15.75">
      <c r="B110" s="699" t="s">
        <v>952</v>
      </c>
      <c r="C110" s="699"/>
      <c r="D110" s="699"/>
      <c r="E110" s="699"/>
      <c r="G110" s="554">
        <f>IF(inputOth!E7=0,"",ROUND(general!E108/inputOth!E7*1000,3))</f>
        <v>24.958</v>
      </c>
      <c r="H110" s="578" t="str">
        <f>CONCATENATE("Projected ",E1-1," Mill Rate (est.)")</f>
        <v>Projected 2011 Mill Rate (est.)</v>
      </c>
      <c r="I110" s="577"/>
      <c r="J110" s="576"/>
    </row>
    <row r="112" spans="2:10" ht="15.75">
      <c r="B112" s="107"/>
      <c r="G112" s="727" t="str">
        <f>CONCATENATE("Desired Carryover Into ",E1+1,"")</f>
        <v>Desired Carryover Into 2013</v>
      </c>
      <c r="H112" s="730"/>
      <c r="I112" s="730"/>
      <c r="J112" s="729"/>
    </row>
    <row r="113" spans="7:10" ht="15.75">
      <c r="G113" s="562"/>
      <c r="H113" s="556"/>
      <c r="I113" s="556"/>
      <c r="J113" s="563"/>
    </row>
    <row r="114" spans="7:10" ht="15.75">
      <c r="G114" s="573" t="s">
        <v>122</v>
      </c>
      <c r="H114" s="567"/>
      <c r="I114" s="567"/>
      <c r="J114" s="561">
        <v>0</v>
      </c>
    </row>
    <row r="115" spans="2:10" ht="15.75">
      <c r="B115" s="33"/>
      <c r="C115" s="33"/>
      <c r="G115" s="580" t="s">
        <v>123</v>
      </c>
      <c r="H115" s="432"/>
      <c r="I115" s="557"/>
      <c r="J115" s="579">
        <f>IF(J114=0,"",ROUND((J114+E108-G108)/inputOth!E7*1000,3)-general!G110)</f>
      </c>
    </row>
    <row r="116" spans="7:10" ht="15.75">
      <c r="G116" s="560" t="str">
        <f>CONCATENATE("",E1," Total Expenditures Must Be:")</f>
        <v>2012 Total Expenditures Must Be:</v>
      </c>
      <c r="H116" s="559"/>
      <c r="I116" s="558"/>
      <c r="J116" s="575">
        <v>0</v>
      </c>
    </row>
    <row r="122" spans="3:4" ht="15.75" hidden="1">
      <c r="C122" s="548">
        <f>IF(C101&gt;C103,"See Tab A","")</f>
      </c>
      <c r="D122" s="548">
        <f>IF(D101&gt;D103,"See Tab C","")</f>
      </c>
    </row>
    <row r="123" spans="3:4" ht="15.75" hidden="1">
      <c r="C123" s="548">
        <f>IF(C102&lt;0,"See Tab B","")</f>
      </c>
      <c r="D123" s="548">
        <f>IF(D102&lt;0,"See Tab D","")</f>
      </c>
    </row>
  </sheetData>
  <sheetProtection/>
  <mergeCells count="7">
    <mergeCell ref="B54:E54"/>
    <mergeCell ref="G100:J100"/>
    <mergeCell ref="G112:J112"/>
    <mergeCell ref="B110:E110"/>
    <mergeCell ref="C104:D104"/>
    <mergeCell ref="C105:D105"/>
    <mergeCell ref="C108:D108"/>
  </mergeCells>
  <conditionalFormatting sqref="E99">
    <cfRule type="cellIs" priority="2" dxfId="7" operator="greaterThan" stopIfTrue="1">
      <formula>$E$101*0.1</formula>
    </cfRule>
  </conditionalFormatting>
  <conditionalFormatting sqref="E104">
    <cfRule type="cellIs" priority="3" dxfId="7" operator="greaterThan" stopIfTrue="1">
      <formula>$E$101/0.95-$E$101</formula>
    </cfRule>
  </conditionalFormatting>
  <conditionalFormatting sqref="C101:D101">
    <cfRule type="cellIs" priority="4" dxfId="0" operator="greaterThan" stopIfTrue="1">
      <formula>$C$103</formula>
    </cfRule>
  </conditionalFormatting>
  <conditionalFormatting sqref="C102:D102">
    <cfRule type="cellIs" priority="6" dxfId="0" operator="lessThan" stopIfTrue="1">
      <formula>0</formula>
    </cfRule>
  </conditionalFormatting>
  <conditionalFormatting sqref="C99">
    <cfRule type="cellIs" priority="7" dxfId="0" operator="greaterThan" stopIfTrue="1">
      <formula>$C$101*0.1</formula>
    </cfRule>
  </conditionalFormatting>
  <conditionalFormatting sqref="D99">
    <cfRule type="cellIs" priority="8" dxfId="0" operator="greaterThan" stopIfTrue="1">
      <formula>$D$101*0.1</formula>
    </cfRule>
  </conditionalFormatting>
  <conditionalFormatting sqref="E49">
    <cfRule type="cellIs" priority="11" dxfId="7" operator="greaterThan" stopIfTrue="1">
      <formula>$E$51*0.1+E108</formula>
    </cfRule>
  </conditionalFormatting>
  <conditionalFormatting sqref="D49">
    <cfRule type="cellIs" priority="9" dxfId="0" operator="greaterThan" stopIfTrue="1">
      <formula>$D$51*0.1</formula>
    </cfRule>
  </conditionalFormatting>
  <conditionalFormatting sqref="C49">
    <cfRule type="cellIs" priority="10" dxfId="0" operator="greaterThan" stopIfTrue="1">
      <formula>$C$51*0.1</formula>
    </cfRule>
  </conditionalFormatting>
  <printOptions horizontalCentered="1"/>
  <pageMargins left="0.5" right="0.5" top="0.84" bottom="0.5" header="0.5" footer="0.5"/>
  <pageSetup blackAndWhite="1" fitToHeight="2" fitToWidth="1" horizontalDpi="120" verticalDpi="120" orientation="portrait" scale="90" r:id="rId1"/>
  <headerFooter alignWithMargins="0">
    <oddHeader>&amp;RState of Kansas
City</oddHeader>
  </headerFooter>
  <rowBreaks count="2" manualBreakCount="2">
    <brk id="54" min="1" max="4" man="1"/>
    <brk id="5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7"/>
  <sheetViews>
    <sheetView workbookViewId="0" topLeftCell="A7">
      <selection activeCell="D17" sqref="D17"/>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Paola</v>
      </c>
      <c r="B1" s="48"/>
      <c r="C1" s="175"/>
      <c r="D1" s="48">
        <f>inputPrYr!C5</f>
        <v>2012</v>
      </c>
    </row>
    <row r="2" spans="1:4" ht="15.75">
      <c r="A2" s="48"/>
      <c r="B2" s="48"/>
      <c r="C2" s="48"/>
      <c r="D2" s="175"/>
    </row>
    <row r="3" spans="1:4" ht="15.75">
      <c r="A3" s="252"/>
      <c r="B3" s="281"/>
      <c r="C3" s="281"/>
      <c r="D3" s="281"/>
    </row>
    <row r="4" spans="1:4" ht="15.75">
      <c r="A4" s="229" t="s">
        <v>811</v>
      </c>
      <c r="B4" s="597" t="s">
        <v>830</v>
      </c>
      <c r="C4" s="596" t="s">
        <v>959</v>
      </c>
      <c r="D4" s="596" t="s">
        <v>960</v>
      </c>
    </row>
    <row r="5" spans="1:4" ht="15.75">
      <c r="A5" s="598" t="s">
        <v>379</v>
      </c>
      <c r="B5" s="254">
        <f>D1-2</f>
        <v>2010</v>
      </c>
      <c r="C5" s="254">
        <f>D1-1</f>
        <v>2011</v>
      </c>
      <c r="D5" s="254">
        <f>D1</f>
        <v>2012</v>
      </c>
    </row>
    <row r="6" spans="1:4" ht="15.75">
      <c r="A6" s="229" t="s">
        <v>820</v>
      </c>
      <c r="B6" s="88"/>
      <c r="C6" s="88"/>
      <c r="D6" s="88"/>
    </row>
    <row r="7" spans="1:4" ht="15.75">
      <c r="A7" s="650" t="s">
        <v>485</v>
      </c>
      <c r="B7" s="88"/>
      <c r="C7" s="88"/>
      <c r="D7" s="88"/>
    </row>
    <row r="8" spans="1:4" ht="15.75">
      <c r="A8" s="651" t="s">
        <v>828</v>
      </c>
      <c r="B8" s="263">
        <v>115652</v>
      </c>
      <c r="C8" s="263">
        <v>124685</v>
      </c>
      <c r="D8" s="263">
        <v>126405</v>
      </c>
    </row>
    <row r="9" spans="1:4" ht="15.75">
      <c r="A9" s="651" t="s">
        <v>821</v>
      </c>
      <c r="B9" s="263">
        <v>249194</v>
      </c>
      <c r="C9" s="263">
        <v>254800</v>
      </c>
      <c r="D9" s="263">
        <v>264000</v>
      </c>
    </row>
    <row r="10" spans="1:4" ht="15.75">
      <c r="A10" s="651" t="s">
        <v>822</v>
      </c>
      <c r="B10" s="263">
        <v>32556</v>
      </c>
      <c r="C10" s="263">
        <v>26800</v>
      </c>
      <c r="D10" s="263">
        <v>33500</v>
      </c>
    </row>
    <row r="11" spans="1:4" ht="15.75">
      <c r="A11" s="651" t="s">
        <v>823</v>
      </c>
      <c r="B11" s="263">
        <v>369</v>
      </c>
      <c r="C11" s="263">
        <v>5250</v>
      </c>
      <c r="D11" s="263">
        <v>4000</v>
      </c>
    </row>
    <row r="12" spans="1:4" ht="15.75">
      <c r="A12" s="651" t="s">
        <v>486</v>
      </c>
      <c r="B12" s="263">
        <v>78000</v>
      </c>
      <c r="C12" s="263">
        <v>78000</v>
      </c>
      <c r="D12" s="263">
        <v>78000</v>
      </c>
    </row>
    <row r="13" spans="1:4" ht="15.75">
      <c r="A13" s="651" t="s">
        <v>487</v>
      </c>
      <c r="B13" s="263">
        <v>20167</v>
      </c>
      <c r="C13" s="263">
        <v>22000</v>
      </c>
      <c r="D13" s="263">
        <v>23000</v>
      </c>
    </row>
    <row r="14" spans="1:4" ht="15.75">
      <c r="A14" s="229" t="s">
        <v>783</v>
      </c>
      <c r="B14" s="268">
        <f>SUM(B8:B13)</f>
        <v>495938</v>
      </c>
      <c r="C14" s="268">
        <f>SUM(C8:C13)</f>
        <v>511535</v>
      </c>
      <c r="D14" s="268">
        <f>SUM(D8:D13)</f>
        <v>528905</v>
      </c>
    </row>
    <row r="15" spans="1:4" ht="15.75">
      <c r="A15" s="652" t="s">
        <v>488</v>
      </c>
      <c r="B15" s="201"/>
      <c r="C15" s="201"/>
      <c r="D15" s="201"/>
    </row>
    <row r="16" spans="1:4" ht="15.75">
      <c r="A16" s="651" t="s">
        <v>828</v>
      </c>
      <c r="B16" s="263">
        <v>988832</v>
      </c>
      <c r="C16" s="263">
        <v>944450</v>
      </c>
      <c r="D16" s="263">
        <v>995000</v>
      </c>
    </row>
    <row r="17" spans="1:4" ht="15.75">
      <c r="A17" s="651" t="s">
        <v>821</v>
      </c>
      <c r="B17" s="263">
        <v>91812</v>
      </c>
      <c r="C17" s="263">
        <v>123100</v>
      </c>
      <c r="D17" s="263">
        <v>127750</v>
      </c>
    </row>
    <row r="18" spans="1:4" ht="15.75">
      <c r="A18" s="651" t="s">
        <v>822</v>
      </c>
      <c r="B18" s="263">
        <v>95248</v>
      </c>
      <c r="C18" s="263">
        <v>112886</v>
      </c>
      <c r="D18" s="263">
        <v>108400</v>
      </c>
    </row>
    <row r="19" spans="1:4" ht="15.75">
      <c r="A19" s="651" t="s">
        <v>823</v>
      </c>
      <c r="B19" s="263">
        <v>7017</v>
      </c>
      <c r="C19" s="263">
        <v>5800</v>
      </c>
      <c r="D19" s="263">
        <v>7500</v>
      </c>
    </row>
    <row r="20" spans="1:4" ht="15.75">
      <c r="A20" s="651" t="s">
        <v>487</v>
      </c>
      <c r="B20" s="263">
        <v>128333</v>
      </c>
      <c r="C20" s="263">
        <v>140000</v>
      </c>
      <c r="D20" s="263">
        <v>134200</v>
      </c>
    </row>
    <row r="21" spans="1:4" ht="15.75">
      <c r="A21" s="229" t="s">
        <v>783</v>
      </c>
      <c r="B21" s="268">
        <f>SUM(B16:B20)</f>
        <v>1311242</v>
      </c>
      <c r="C21" s="268">
        <f>SUM(C16:C20)</f>
        <v>1326236</v>
      </c>
      <c r="D21" s="268">
        <f>SUM(D16:D20)</f>
        <v>1372850</v>
      </c>
    </row>
    <row r="22" spans="1:4" ht="15.75">
      <c r="A22" s="652" t="s">
        <v>489</v>
      </c>
      <c r="B22" s="201"/>
      <c r="C22" s="201"/>
      <c r="D22" s="201"/>
    </row>
    <row r="23" spans="1:4" ht="15.75">
      <c r="A23" s="651" t="s">
        <v>828</v>
      </c>
      <c r="B23" s="263">
        <v>143861</v>
      </c>
      <c r="C23" s="263">
        <v>129100</v>
      </c>
      <c r="D23" s="263">
        <v>132500</v>
      </c>
    </row>
    <row r="24" spans="1:4" ht="15.75">
      <c r="A24" s="651" t="s">
        <v>821</v>
      </c>
      <c r="B24" s="263">
        <v>68032</v>
      </c>
      <c r="C24" s="263">
        <v>74822</v>
      </c>
      <c r="D24" s="263">
        <v>78822</v>
      </c>
    </row>
    <row r="25" spans="1:4" ht="15.75">
      <c r="A25" s="651" t="s">
        <v>822</v>
      </c>
      <c r="B25" s="263">
        <v>59449</v>
      </c>
      <c r="C25" s="263">
        <v>53150</v>
      </c>
      <c r="D25" s="263">
        <v>59150</v>
      </c>
    </row>
    <row r="26" spans="1:4" ht="15.75">
      <c r="A26" s="651" t="s">
        <v>823</v>
      </c>
      <c r="B26" s="263">
        <v>1580</v>
      </c>
      <c r="C26" s="263">
        <v>1800</v>
      </c>
      <c r="D26" s="263">
        <v>2000</v>
      </c>
    </row>
    <row r="27" spans="1:4" ht="15.75">
      <c r="A27" s="651" t="s">
        <v>490</v>
      </c>
      <c r="B27" s="263">
        <v>0</v>
      </c>
      <c r="C27" s="263">
        <v>0</v>
      </c>
      <c r="D27" s="263">
        <v>0</v>
      </c>
    </row>
    <row r="28" spans="1:4" ht="15.75">
      <c r="A28" s="229" t="s">
        <v>783</v>
      </c>
      <c r="B28" s="268">
        <f>SUM(B23:B27)</f>
        <v>272922</v>
      </c>
      <c r="C28" s="268">
        <f>SUM(C23:C27)</f>
        <v>258872</v>
      </c>
      <c r="D28" s="268">
        <f>SUM(D23:D27)</f>
        <v>272472</v>
      </c>
    </row>
    <row r="29" spans="1:4" ht="15.75">
      <c r="A29" s="652" t="s">
        <v>491</v>
      </c>
      <c r="B29" s="201"/>
      <c r="C29" s="201"/>
      <c r="D29" s="201"/>
    </row>
    <row r="30" spans="1:4" ht="15.75">
      <c r="A30" s="651" t="s">
        <v>828</v>
      </c>
      <c r="B30" s="263">
        <v>63310</v>
      </c>
      <c r="C30" s="263">
        <v>61300</v>
      </c>
      <c r="D30" s="263">
        <v>62350</v>
      </c>
    </row>
    <row r="31" spans="1:4" ht="15.75">
      <c r="A31" s="651" t="s">
        <v>821</v>
      </c>
      <c r="B31" s="263">
        <v>105445</v>
      </c>
      <c r="C31" s="263">
        <v>116500</v>
      </c>
      <c r="D31" s="263">
        <v>118650</v>
      </c>
    </row>
    <row r="32" spans="1:4" ht="15.75">
      <c r="A32" s="651" t="s">
        <v>822</v>
      </c>
      <c r="B32" s="263">
        <v>4781</v>
      </c>
      <c r="C32" s="263">
        <v>2700</v>
      </c>
      <c r="D32" s="263">
        <v>3500</v>
      </c>
    </row>
    <row r="33" spans="1:4" ht="15.75">
      <c r="A33" s="651" t="s">
        <v>823</v>
      </c>
      <c r="B33" s="263">
        <v>1472</v>
      </c>
      <c r="C33" s="263">
        <v>800</v>
      </c>
      <c r="D33" s="263">
        <v>1500</v>
      </c>
    </row>
    <row r="34" spans="1:4" ht="15.75">
      <c r="A34" s="651" t="s">
        <v>487</v>
      </c>
      <c r="B34" s="263">
        <v>5133</v>
      </c>
      <c r="C34" s="263">
        <v>5600</v>
      </c>
      <c r="D34" s="263">
        <v>5400</v>
      </c>
    </row>
    <row r="35" spans="1:4" ht="15.75">
      <c r="A35" s="229" t="s">
        <v>783</v>
      </c>
      <c r="B35" s="268">
        <f>SUM(B30:B34)</f>
        <v>180141</v>
      </c>
      <c r="C35" s="268">
        <f>SUM(C30:C34)</f>
        <v>186900</v>
      </c>
      <c r="D35" s="268">
        <f>SUM(D30:D34)</f>
        <v>191400</v>
      </c>
    </row>
    <row r="36" spans="1:4" ht="15.75">
      <c r="A36" s="652" t="s">
        <v>492</v>
      </c>
      <c r="B36" s="201"/>
      <c r="C36" s="201"/>
      <c r="D36" s="201"/>
    </row>
    <row r="37" spans="1:4" ht="15.75">
      <c r="A37" s="651" t="s">
        <v>828</v>
      </c>
      <c r="B37" s="263">
        <v>268748</v>
      </c>
      <c r="C37" s="263">
        <v>240750</v>
      </c>
      <c r="D37" s="263">
        <v>221000</v>
      </c>
    </row>
    <row r="38" spans="1:4" ht="15.75">
      <c r="A38" s="651" t="s">
        <v>821</v>
      </c>
      <c r="B38" s="263">
        <v>48542</v>
      </c>
      <c r="C38" s="263">
        <v>85726</v>
      </c>
      <c r="D38" s="263">
        <v>70326</v>
      </c>
    </row>
    <row r="39" spans="1:4" ht="15.75">
      <c r="A39" s="651" t="s">
        <v>822</v>
      </c>
      <c r="B39" s="263">
        <v>135243</v>
      </c>
      <c r="C39" s="263">
        <v>140250</v>
      </c>
      <c r="D39" s="263">
        <v>150000</v>
      </c>
    </row>
    <row r="40" spans="1:4" ht="15.75">
      <c r="A40" s="651" t="s">
        <v>823</v>
      </c>
      <c r="B40" s="263">
        <v>100385</v>
      </c>
      <c r="C40" s="263">
        <v>101550</v>
      </c>
      <c r="D40" s="263">
        <v>102000</v>
      </c>
    </row>
    <row r="41" spans="1:4" ht="15.75">
      <c r="A41" s="651" t="s">
        <v>493</v>
      </c>
      <c r="B41" s="263">
        <v>50000</v>
      </c>
      <c r="C41" s="263">
        <v>50000</v>
      </c>
      <c r="D41" s="263">
        <v>50000</v>
      </c>
    </row>
    <row r="42" spans="1:4" ht="15.75">
      <c r="A42" s="651" t="s">
        <v>487</v>
      </c>
      <c r="B42" s="263">
        <v>53167</v>
      </c>
      <c r="C42" s="263">
        <v>58000</v>
      </c>
      <c r="D42" s="263">
        <v>55200</v>
      </c>
    </row>
    <row r="43" spans="1:4" ht="15.75">
      <c r="A43" s="229" t="s">
        <v>783</v>
      </c>
      <c r="B43" s="268">
        <f>SUM(B37:B42)</f>
        <v>656085</v>
      </c>
      <c r="C43" s="268">
        <f>SUM(C37:C42)</f>
        <v>676276</v>
      </c>
      <c r="D43" s="268">
        <f>SUM(D37:D42)</f>
        <v>648526</v>
      </c>
    </row>
    <row r="44" spans="1:4" ht="15.75">
      <c r="A44" s="652" t="s">
        <v>494</v>
      </c>
      <c r="B44" s="201"/>
      <c r="C44" s="201"/>
      <c r="D44" s="201"/>
    </row>
    <row r="45" spans="1:4" ht="15.75">
      <c r="A45" s="651" t="s">
        <v>828</v>
      </c>
      <c r="B45" s="263">
        <v>178244</v>
      </c>
      <c r="C45" s="263">
        <v>177100</v>
      </c>
      <c r="D45" s="263">
        <v>201800</v>
      </c>
    </row>
    <row r="46" spans="1:4" ht="15.75">
      <c r="A46" s="651" t="s">
        <v>821</v>
      </c>
      <c r="B46" s="263">
        <v>59487</v>
      </c>
      <c r="C46" s="263">
        <v>58228</v>
      </c>
      <c r="D46" s="263">
        <v>53114</v>
      </c>
    </row>
    <row r="47" spans="1:4" ht="15.75">
      <c r="A47" s="651" t="s">
        <v>822</v>
      </c>
      <c r="B47" s="263">
        <v>48053</v>
      </c>
      <c r="C47" s="263">
        <v>51300</v>
      </c>
      <c r="D47" s="263">
        <v>61500</v>
      </c>
    </row>
    <row r="48" spans="1:4" ht="15.75">
      <c r="A48" s="651" t="s">
        <v>823</v>
      </c>
      <c r="B48" s="263">
        <v>0</v>
      </c>
      <c r="C48" s="263">
        <v>0</v>
      </c>
      <c r="D48" s="263">
        <v>0</v>
      </c>
    </row>
    <row r="49" spans="1:4" ht="15.75">
      <c r="A49" s="651" t="s">
        <v>490</v>
      </c>
      <c r="B49" s="263">
        <v>0</v>
      </c>
      <c r="C49" s="263">
        <v>0</v>
      </c>
      <c r="D49" s="263">
        <v>0</v>
      </c>
    </row>
    <row r="50" spans="1:4" ht="15.75">
      <c r="A50" s="651" t="s">
        <v>487</v>
      </c>
      <c r="B50" s="263">
        <v>28820</v>
      </c>
      <c r="C50" s="263">
        <v>31440</v>
      </c>
      <c r="D50" s="263">
        <v>33700</v>
      </c>
    </row>
    <row r="51" spans="1:4" ht="15.75">
      <c r="A51" s="229" t="s">
        <v>783</v>
      </c>
      <c r="B51" s="268">
        <f>SUM(B45:B50)</f>
        <v>314604</v>
      </c>
      <c r="C51" s="268">
        <f>SUM(C45:C50)</f>
        <v>318068</v>
      </c>
      <c r="D51" s="268">
        <f>SUM(D45:D50)</f>
        <v>350114</v>
      </c>
    </row>
    <row r="52" spans="1:4" ht="15.75">
      <c r="A52" s="652" t="s">
        <v>495</v>
      </c>
      <c r="B52" s="201"/>
      <c r="C52" s="201"/>
      <c r="D52" s="201"/>
    </row>
    <row r="53" spans="1:4" ht="15.75">
      <c r="A53" s="651" t="s">
        <v>828</v>
      </c>
      <c r="B53" s="263">
        <v>43014</v>
      </c>
      <c r="C53" s="263">
        <v>43500</v>
      </c>
      <c r="D53" s="263">
        <v>51000</v>
      </c>
    </row>
    <row r="54" spans="1:4" ht="15.75">
      <c r="A54" s="651" t="s">
        <v>821</v>
      </c>
      <c r="B54" s="263">
        <v>500</v>
      </c>
      <c r="C54" s="263">
        <v>702</v>
      </c>
      <c r="D54" s="263">
        <v>1300</v>
      </c>
    </row>
    <row r="55" spans="1:4" ht="15.75">
      <c r="A55" s="651" t="s">
        <v>822</v>
      </c>
      <c r="B55" s="263">
        <v>5662</v>
      </c>
      <c r="C55" s="263">
        <v>9150</v>
      </c>
      <c r="D55" s="263">
        <v>9850</v>
      </c>
    </row>
    <row r="56" spans="1:4" ht="15.75">
      <c r="A56" s="651" t="s">
        <v>823</v>
      </c>
      <c r="B56" s="263">
        <v>0</v>
      </c>
      <c r="C56" s="263">
        <v>0</v>
      </c>
      <c r="D56" s="263">
        <v>0</v>
      </c>
    </row>
    <row r="57" spans="1:4" ht="15.75">
      <c r="A57" s="651" t="s">
        <v>487</v>
      </c>
      <c r="B57" s="263">
        <v>4904</v>
      </c>
      <c r="C57" s="263">
        <v>5350</v>
      </c>
      <c r="D57" s="263">
        <v>5950</v>
      </c>
    </row>
    <row r="58" spans="1:4" ht="15.75">
      <c r="A58" s="229" t="s">
        <v>783</v>
      </c>
      <c r="B58" s="268">
        <f>SUM(B53:B57)</f>
        <v>54080</v>
      </c>
      <c r="C58" s="268">
        <f>SUM(C53:C57)</f>
        <v>58702</v>
      </c>
      <c r="D58" s="268">
        <f>SUM(D53:D57)</f>
        <v>68100</v>
      </c>
    </row>
    <row r="59" spans="1:4" ht="15.75">
      <c r="A59" s="652" t="s">
        <v>496</v>
      </c>
      <c r="B59" s="201"/>
      <c r="C59" s="201"/>
      <c r="D59" s="201"/>
    </row>
    <row r="60" spans="1:4" ht="15.75">
      <c r="A60" s="651" t="s">
        <v>828</v>
      </c>
      <c r="B60" s="263">
        <v>152995</v>
      </c>
      <c r="C60" s="263">
        <v>141350</v>
      </c>
      <c r="D60" s="263">
        <v>144500</v>
      </c>
    </row>
    <row r="61" spans="1:4" ht="15.75">
      <c r="A61" s="651" t="s">
        <v>821</v>
      </c>
      <c r="B61" s="263">
        <v>12593</v>
      </c>
      <c r="C61" s="263">
        <v>17112</v>
      </c>
      <c r="D61" s="263">
        <v>17700</v>
      </c>
    </row>
    <row r="62" spans="1:4" ht="15.75">
      <c r="A62" s="651" t="s">
        <v>822</v>
      </c>
      <c r="B62" s="263">
        <v>8472</v>
      </c>
      <c r="C62" s="263">
        <v>8000</v>
      </c>
      <c r="D62" s="263">
        <v>9000</v>
      </c>
    </row>
    <row r="63" spans="1:4" ht="15.75">
      <c r="A63" s="651" t="s">
        <v>823</v>
      </c>
      <c r="B63" s="263">
        <v>8469</v>
      </c>
      <c r="C63" s="263">
        <v>2000</v>
      </c>
      <c r="D63" s="263">
        <v>8000</v>
      </c>
    </row>
    <row r="64" spans="1:4" ht="15.75">
      <c r="A64" s="651" t="s">
        <v>487</v>
      </c>
      <c r="B64" s="263">
        <v>34192</v>
      </c>
      <c r="C64" s="263">
        <v>37300</v>
      </c>
      <c r="D64" s="263">
        <v>35800</v>
      </c>
    </row>
    <row r="65" spans="1:4" ht="15.75">
      <c r="A65" s="229" t="s">
        <v>783</v>
      </c>
      <c r="B65" s="268">
        <f>SUM(B60:B64)</f>
        <v>216721</v>
      </c>
      <c r="C65" s="268">
        <f>SUM(C60:C64)</f>
        <v>205762</v>
      </c>
      <c r="D65" s="268">
        <f>SUM(D60:D64)</f>
        <v>215000</v>
      </c>
    </row>
    <row r="66" spans="1:4" ht="15.75">
      <c r="A66" s="48"/>
      <c r="B66" s="201"/>
      <c r="C66" s="201"/>
      <c r="D66" s="201"/>
    </row>
    <row r="67" spans="1:4" ht="16.5" thickBot="1">
      <c r="A67" s="229" t="s">
        <v>375</v>
      </c>
      <c r="B67" s="286">
        <f>B14+B21+B28+B35+B43+B51+B58+B65</f>
        <v>3501733</v>
      </c>
      <c r="C67" s="286">
        <f>C14+C21+C28+C35+C43+C51+C58+C65</f>
        <v>3542351</v>
      </c>
      <c r="D67" s="286">
        <f>D14+D21+D28+D35+D43+D51+D58+D65</f>
        <v>3647367</v>
      </c>
    </row>
    <row r="68" spans="1:4" ht="16.5" thickTop="1">
      <c r="A68" s="287"/>
      <c r="B68" s="201"/>
      <c r="C68" s="201"/>
      <c r="D68" s="201"/>
    </row>
    <row r="69" spans="1:4" ht="15.75">
      <c r="A69" s="416" t="s">
        <v>827</v>
      </c>
      <c r="B69" s="288" t="s">
        <v>953</v>
      </c>
      <c r="C69" s="201"/>
      <c r="D69" s="201"/>
    </row>
    <row r="70" spans="1:4" ht="15.75">
      <c r="A70" s="48"/>
      <c r="B70" s="201"/>
      <c r="C70" s="201"/>
      <c r="D70" s="201"/>
    </row>
    <row r="71" spans="1:4" ht="15.75">
      <c r="A71" s="201" t="str">
        <f>A1</f>
        <v>City of Paola</v>
      </c>
      <c r="B71" s="48"/>
      <c r="C71" s="175"/>
      <c r="D71" s="48">
        <f>D1</f>
        <v>2012</v>
      </c>
    </row>
    <row r="72" spans="1:4" ht="15.75">
      <c r="A72" s="48"/>
      <c r="B72" s="48"/>
      <c r="C72" s="48"/>
      <c r="D72" s="175"/>
    </row>
    <row r="73" spans="1:4" ht="15.75">
      <c r="A73" s="252"/>
      <c r="B73" s="281"/>
      <c r="C73" s="281"/>
      <c r="D73" s="281"/>
    </row>
    <row r="74" spans="1:4" ht="15.75">
      <c r="A74" s="229" t="s">
        <v>811</v>
      </c>
      <c r="B74" s="597" t="s">
        <v>830</v>
      </c>
      <c r="C74" s="599" t="s">
        <v>959</v>
      </c>
      <c r="D74" s="599" t="s">
        <v>960</v>
      </c>
    </row>
    <row r="75" spans="1:4" ht="15.75">
      <c r="A75" s="598" t="s">
        <v>380</v>
      </c>
      <c r="B75" s="353">
        <f>D71-2</f>
        <v>2010</v>
      </c>
      <c r="C75" s="254">
        <f>D71-1</f>
        <v>2011</v>
      </c>
      <c r="D75" s="254">
        <f>D71</f>
        <v>2012</v>
      </c>
    </row>
    <row r="76" spans="1:4" ht="15.75">
      <c r="A76" s="229" t="s">
        <v>820</v>
      </c>
      <c r="B76" s="88"/>
      <c r="C76" s="88"/>
      <c r="D76" s="88"/>
    </row>
    <row r="77" spans="1:4" ht="15.75">
      <c r="A77" s="283"/>
      <c r="B77" s="88"/>
      <c r="C77" s="88"/>
      <c r="D77" s="88"/>
    </row>
    <row r="78" spans="1:4" ht="15.75">
      <c r="A78" s="284" t="s">
        <v>828</v>
      </c>
      <c r="B78" s="263"/>
      <c r="C78" s="263"/>
      <c r="D78" s="263"/>
    </row>
    <row r="79" spans="1:4" ht="15.75">
      <c r="A79" s="284" t="s">
        <v>821</v>
      </c>
      <c r="B79" s="263"/>
      <c r="C79" s="263"/>
      <c r="D79" s="263"/>
    </row>
    <row r="80" spans="1:4" ht="15.75">
      <c r="A80" s="284" t="s">
        <v>822</v>
      </c>
      <c r="B80" s="263"/>
      <c r="C80" s="263"/>
      <c r="D80" s="263"/>
    </row>
    <row r="81" spans="1:4" ht="15.75">
      <c r="A81" s="284" t="s">
        <v>823</v>
      </c>
      <c r="B81" s="263"/>
      <c r="C81" s="263"/>
      <c r="D81" s="263"/>
    </row>
    <row r="82" spans="1:4" ht="15.75">
      <c r="A82" s="70"/>
      <c r="B82" s="263"/>
      <c r="C82" s="263"/>
      <c r="D82" s="263"/>
    </row>
    <row r="83" spans="1:4" ht="15.75">
      <c r="A83" s="229" t="s">
        <v>783</v>
      </c>
      <c r="B83" s="268">
        <f>SUM(B78:B82)</f>
        <v>0</v>
      </c>
      <c r="C83" s="268">
        <f>SUM(C78:C82)</f>
        <v>0</v>
      </c>
      <c r="D83" s="268">
        <f>SUM(D78:D82)</f>
        <v>0</v>
      </c>
    </row>
    <row r="84" spans="1:4" ht="15.75">
      <c r="A84" s="285"/>
      <c r="B84" s="201"/>
      <c r="C84" s="201"/>
      <c r="D84" s="201"/>
    </row>
    <row r="85" spans="1:4" ht="15.75">
      <c r="A85" s="284" t="s">
        <v>828</v>
      </c>
      <c r="B85" s="263"/>
      <c r="C85" s="263"/>
      <c r="D85" s="263"/>
    </row>
    <row r="86" spans="1:4" ht="15.75">
      <c r="A86" s="284" t="s">
        <v>821</v>
      </c>
      <c r="B86" s="263"/>
      <c r="C86" s="263"/>
      <c r="D86" s="263"/>
    </row>
    <row r="87" spans="1:4" ht="15.75">
      <c r="A87" s="284" t="s">
        <v>822</v>
      </c>
      <c r="B87" s="263"/>
      <c r="C87" s="263"/>
      <c r="D87" s="263"/>
    </row>
    <row r="88" spans="1:4" ht="15.75">
      <c r="A88" s="284" t="s">
        <v>823</v>
      </c>
      <c r="B88" s="263"/>
      <c r="C88" s="263"/>
      <c r="D88" s="263"/>
    </row>
    <row r="89" spans="1:4" ht="15.75">
      <c r="A89" s="284"/>
      <c r="B89" s="263"/>
      <c r="C89" s="263"/>
      <c r="D89" s="263"/>
    </row>
    <row r="90" spans="1:4" ht="15.75">
      <c r="A90" s="229" t="s">
        <v>783</v>
      </c>
      <c r="B90" s="268">
        <f>SUM(B85:B89)</f>
        <v>0</v>
      </c>
      <c r="C90" s="268">
        <f>SUM(C85:C89)</f>
        <v>0</v>
      </c>
      <c r="D90" s="268">
        <f>SUM(D85:D89)</f>
        <v>0</v>
      </c>
    </row>
    <row r="91" spans="1:4" ht="15.75">
      <c r="A91" s="285"/>
      <c r="B91" s="201"/>
      <c r="C91" s="201"/>
      <c r="D91" s="201"/>
    </row>
    <row r="92" spans="1:4" ht="15.75">
      <c r="A92" s="284" t="s">
        <v>828</v>
      </c>
      <c r="B92" s="263"/>
      <c r="C92" s="263"/>
      <c r="D92" s="263"/>
    </row>
    <row r="93" spans="1:4" ht="15.75">
      <c r="A93" s="284" t="s">
        <v>821</v>
      </c>
      <c r="B93" s="263"/>
      <c r="C93" s="263"/>
      <c r="D93" s="263"/>
    </row>
    <row r="94" spans="1:4" ht="15.75">
      <c r="A94" s="284" t="s">
        <v>822</v>
      </c>
      <c r="B94" s="263"/>
      <c r="C94" s="263"/>
      <c r="D94" s="263"/>
    </row>
    <row r="95" spans="1:4" ht="15.75">
      <c r="A95" s="284" t="s">
        <v>823</v>
      </c>
      <c r="B95" s="263"/>
      <c r="C95" s="263"/>
      <c r="D95" s="263"/>
    </row>
    <row r="96" spans="1:4" ht="15.75">
      <c r="A96" s="284"/>
      <c r="B96" s="263"/>
      <c r="C96" s="263"/>
      <c r="D96" s="263"/>
    </row>
    <row r="97" spans="1:4" ht="15.75">
      <c r="A97" s="229" t="s">
        <v>783</v>
      </c>
      <c r="B97" s="268">
        <f>SUM(B92:B96)</f>
        <v>0</v>
      </c>
      <c r="C97" s="268">
        <f>SUM(C92:C96)</f>
        <v>0</v>
      </c>
      <c r="D97" s="268">
        <f>SUM(D92:D96)</f>
        <v>0</v>
      </c>
    </row>
    <row r="98" spans="1:4" ht="15.75">
      <c r="A98" s="285"/>
      <c r="B98" s="201"/>
      <c r="C98" s="201"/>
      <c r="D98" s="201"/>
    </row>
    <row r="99" spans="1:4" ht="15.75">
      <c r="A99" s="284" t="s">
        <v>828</v>
      </c>
      <c r="B99" s="263"/>
      <c r="C99" s="263"/>
      <c r="D99" s="263"/>
    </row>
    <row r="100" spans="1:4" ht="15.75">
      <c r="A100" s="284" t="s">
        <v>821</v>
      </c>
      <c r="B100" s="263"/>
      <c r="C100" s="263"/>
      <c r="D100" s="263"/>
    </row>
    <row r="101" spans="1:4" ht="15.75">
      <c r="A101" s="284" t="s">
        <v>822</v>
      </c>
      <c r="B101" s="263"/>
      <c r="C101" s="263"/>
      <c r="D101" s="263"/>
    </row>
    <row r="102" spans="1:4" ht="15.75">
      <c r="A102" s="284" t="s">
        <v>823</v>
      </c>
      <c r="B102" s="263"/>
      <c r="C102" s="263"/>
      <c r="D102" s="263"/>
    </row>
    <row r="103" spans="1:4" ht="15.75">
      <c r="A103" s="229" t="s">
        <v>783</v>
      </c>
      <c r="B103" s="268">
        <f>SUM(B99:B102)</f>
        <v>0</v>
      </c>
      <c r="C103" s="268">
        <f>SUM(C99:C102)</f>
        <v>0</v>
      </c>
      <c r="D103" s="268">
        <f>SUM(D99:D102)</f>
        <v>0</v>
      </c>
    </row>
    <row r="104" spans="1:4" ht="15.75">
      <c r="A104" s="285"/>
      <c r="B104" s="201"/>
      <c r="C104" s="201"/>
      <c r="D104" s="201"/>
    </row>
    <row r="105" spans="1:4" ht="15.75">
      <c r="A105" s="284" t="s">
        <v>828</v>
      </c>
      <c r="B105" s="263"/>
      <c r="C105" s="263"/>
      <c r="D105" s="263"/>
    </row>
    <row r="106" spans="1:4" ht="15.75">
      <c r="A106" s="284" t="s">
        <v>821</v>
      </c>
      <c r="B106" s="263"/>
      <c r="C106" s="263"/>
      <c r="D106" s="263"/>
    </row>
    <row r="107" spans="1:4" ht="15.75">
      <c r="A107" s="284" t="s">
        <v>822</v>
      </c>
      <c r="B107" s="263"/>
      <c r="C107" s="263"/>
      <c r="D107" s="263"/>
    </row>
    <row r="108" spans="1:4" ht="15.75">
      <c r="A108" s="284" t="s">
        <v>823</v>
      </c>
      <c r="B108" s="263"/>
      <c r="C108" s="263"/>
      <c r="D108" s="263"/>
    </row>
    <row r="109" spans="1:4" ht="15.75">
      <c r="A109" s="284"/>
      <c r="B109" s="263"/>
      <c r="C109" s="263"/>
      <c r="D109" s="263"/>
    </row>
    <row r="110" spans="1:4" ht="15.75">
      <c r="A110" s="229" t="s">
        <v>783</v>
      </c>
      <c r="B110" s="268">
        <f>SUM(B105:B109)</f>
        <v>0</v>
      </c>
      <c r="C110" s="268">
        <f>SUM(C105:C109)</f>
        <v>0</v>
      </c>
      <c r="D110" s="268">
        <f>SUM(D105:D109)</f>
        <v>0</v>
      </c>
    </row>
    <row r="111" spans="1:4" ht="15.75">
      <c r="A111" s="285"/>
      <c r="B111" s="201"/>
      <c r="C111" s="201"/>
      <c r="D111" s="201"/>
    </row>
    <row r="112" spans="1:4" ht="15.75">
      <c r="A112" s="284" t="s">
        <v>828</v>
      </c>
      <c r="B112" s="263"/>
      <c r="C112" s="263"/>
      <c r="D112" s="263"/>
    </row>
    <row r="113" spans="1:4" ht="15.75">
      <c r="A113" s="284" t="s">
        <v>821</v>
      </c>
      <c r="B113" s="263"/>
      <c r="C113" s="263"/>
      <c r="D113" s="263"/>
    </row>
    <row r="114" spans="1:4" ht="15.75">
      <c r="A114" s="284" t="s">
        <v>822</v>
      </c>
      <c r="B114" s="263"/>
      <c r="C114" s="263"/>
      <c r="D114" s="263"/>
    </row>
    <row r="115" spans="1:4" ht="15.75">
      <c r="A115" s="284" t="s">
        <v>823</v>
      </c>
      <c r="B115" s="263"/>
      <c r="C115" s="263"/>
      <c r="D115" s="263"/>
    </row>
    <row r="116" spans="1:4" ht="15.75">
      <c r="A116" s="284"/>
      <c r="B116" s="263"/>
      <c r="C116" s="263"/>
      <c r="D116" s="263"/>
    </row>
    <row r="117" spans="1:4" ht="15.75">
      <c r="A117" s="229" t="s">
        <v>783</v>
      </c>
      <c r="B117" s="268">
        <f>SUM(B112:B116)</f>
        <v>0</v>
      </c>
      <c r="C117" s="268">
        <f>SUM(C112:C116)</f>
        <v>0</v>
      </c>
      <c r="D117" s="268">
        <f>SUM(D112:D116)</f>
        <v>0</v>
      </c>
    </row>
    <row r="118" spans="1:4" ht="15.75">
      <c r="A118" s="285"/>
      <c r="B118" s="201"/>
      <c r="C118" s="201"/>
      <c r="D118" s="201"/>
    </row>
    <row r="119" spans="1:4" ht="15.75">
      <c r="A119" s="284" t="s">
        <v>828</v>
      </c>
      <c r="B119" s="263"/>
      <c r="C119" s="263"/>
      <c r="D119" s="263"/>
    </row>
    <row r="120" spans="1:4" ht="15.75">
      <c r="A120" s="284" t="s">
        <v>821</v>
      </c>
      <c r="B120" s="263"/>
      <c r="C120" s="263"/>
      <c r="D120" s="263"/>
    </row>
    <row r="121" spans="1:4" ht="15.75">
      <c r="A121" s="284" t="s">
        <v>822</v>
      </c>
      <c r="B121" s="263"/>
      <c r="C121" s="263"/>
      <c r="D121" s="263"/>
    </row>
    <row r="122" spans="1:4" ht="15.75">
      <c r="A122" s="284" t="s">
        <v>823</v>
      </c>
      <c r="B122" s="263"/>
      <c r="C122" s="263"/>
      <c r="D122" s="263"/>
    </row>
    <row r="123" spans="1:4" ht="15.75">
      <c r="A123" s="284"/>
      <c r="B123" s="263"/>
      <c r="C123" s="263"/>
      <c r="D123" s="263"/>
    </row>
    <row r="124" spans="1:4" ht="15.75">
      <c r="A124" s="229" t="s">
        <v>783</v>
      </c>
      <c r="B124" s="268">
        <f>SUM(B119:B123)</f>
        <v>0</v>
      </c>
      <c r="C124" s="268">
        <f>SUM(C119:C123)</f>
        <v>0</v>
      </c>
      <c r="D124" s="268">
        <f>SUM(D119:D123)</f>
        <v>0</v>
      </c>
    </row>
    <row r="125" spans="1:4" ht="15.75">
      <c r="A125" s="285"/>
      <c r="B125" s="201"/>
      <c r="C125" s="201"/>
      <c r="D125" s="201"/>
    </row>
    <row r="126" spans="1:4" ht="15.75">
      <c r="A126" s="284" t="s">
        <v>828</v>
      </c>
      <c r="B126" s="263"/>
      <c r="C126" s="263"/>
      <c r="D126" s="263"/>
    </row>
    <row r="127" spans="1:4" ht="15.75">
      <c r="A127" s="284" t="s">
        <v>821</v>
      </c>
      <c r="B127" s="263"/>
      <c r="C127" s="263"/>
      <c r="D127" s="263"/>
    </row>
    <row r="128" spans="1:4" ht="15.75">
      <c r="A128" s="284" t="s">
        <v>822</v>
      </c>
      <c r="B128" s="263"/>
      <c r="C128" s="263"/>
      <c r="D128" s="263"/>
    </row>
    <row r="129" spans="1:4" ht="15.75">
      <c r="A129" s="284" t="s">
        <v>823</v>
      </c>
      <c r="B129" s="263"/>
      <c r="C129" s="263"/>
      <c r="D129" s="263"/>
    </row>
    <row r="130" spans="1:4" ht="15.75">
      <c r="A130" s="284"/>
      <c r="B130" s="263"/>
      <c r="C130" s="263"/>
      <c r="D130" s="263"/>
    </row>
    <row r="131" spans="1:4" ht="15.75">
      <c r="A131" s="229" t="s">
        <v>783</v>
      </c>
      <c r="B131" s="268">
        <f>SUM(B126:B130)</f>
        <v>0</v>
      </c>
      <c r="C131" s="268">
        <f>SUM(C126:C130)</f>
        <v>0</v>
      </c>
      <c r="D131" s="268">
        <f>SUM(D126:D130)</f>
        <v>0</v>
      </c>
    </row>
    <row r="132" spans="1:4" ht="15.75">
      <c r="A132" s="229"/>
      <c r="B132" s="201"/>
      <c r="C132" s="201"/>
      <c r="D132" s="201"/>
    </row>
    <row r="133" spans="1:4" ht="15.75">
      <c r="A133" s="66" t="s">
        <v>377</v>
      </c>
      <c r="B133" s="278">
        <f>B83+B90+B97+B103+B110+B117+B124+B131</f>
        <v>0</v>
      </c>
      <c r="C133" s="278">
        <f>C83+C90+C97+C103+C110+C117+C124+C131</f>
        <v>0</v>
      </c>
      <c r="D133" s="278">
        <f>D83+D90+D97+D103+D110+D117+D124+D131</f>
        <v>0</v>
      </c>
    </row>
    <row r="134" spans="1:4" ht="15.75">
      <c r="A134" s="229" t="s">
        <v>376</v>
      </c>
      <c r="B134" s="268">
        <f>B67</f>
        <v>3501733</v>
      </c>
      <c r="C134" s="268">
        <f>C67</f>
        <v>3542351</v>
      </c>
      <c r="D134" s="268">
        <f>D67</f>
        <v>3647367</v>
      </c>
    </row>
    <row r="135" spans="1:4" ht="16.5" thickBot="1">
      <c r="A135" s="229" t="s">
        <v>378</v>
      </c>
      <c r="B135" s="286">
        <f>SUM(B133:B134)</f>
        <v>3501733</v>
      </c>
      <c r="C135" s="286">
        <f>SUM(C133:C134)</f>
        <v>3542351</v>
      </c>
      <c r="D135" s="286">
        <f>SUM(D133:D134)</f>
        <v>3647367</v>
      </c>
    </row>
    <row r="136" spans="1:4" ht="16.5" thickTop="1">
      <c r="A136" s="287" t="s">
        <v>83</v>
      </c>
      <c r="B136" s="201"/>
      <c r="C136" s="201"/>
      <c r="D136" s="201"/>
    </row>
    <row r="137" spans="1:4" ht="15.75">
      <c r="A137" s="416" t="s">
        <v>827</v>
      </c>
      <c r="B137" s="288" t="s">
        <v>374</v>
      </c>
      <c r="C137" s="201"/>
      <c r="D137" s="201"/>
    </row>
  </sheetData>
  <sheetProtection/>
  <printOptions horizontalCentered="1"/>
  <pageMargins left="0.5" right="0.5" top="0.61" bottom="0.5" header="0.29" footer="0.5"/>
  <pageSetup blackAndWhite="1" fitToHeight="2" fitToWidth="1" horizontalDpi="300" verticalDpi="300" orientation="portrait" scale="71" r:id="rId1"/>
  <headerFooter alignWithMargins="0">
    <oddHeader>&amp;RState of Kansas
City</oddHeader>
  </headerFooter>
  <rowBreaks count="3" manualBreakCount="3">
    <brk id="69" max="255" man="1"/>
    <brk id="71" max="255" man="1"/>
    <brk id="137"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100"/>
  <sheetViews>
    <sheetView zoomScalePageLayoutView="0" workbookViewId="0" topLeftCell="A62">
      <selection activeCell="E84" sqref="E84"/>
    </sheetView>
  </sheetViews>
  <sheetFormatPr defaultColWidth="8.796875" defaultRowHeight="15"/>
  <cols>
    <col min="1" max="1" width="2.3984375" style="46" customWidth="1"/>
    <col min="2" max="2" width="38.19921875" style="46" customWidth="1"/>
    <col min="3" max="3" width="15.796875" style="46" customWidth="1"/>
    <col min="4" max="4" width="16.8984375" style="46" customWidth="1"/>
    <col min="5" max="5" width="16.19921875" style="46" customWidth="1"/>
    <col min="6" max="6" width="7.09765625" style="46" customWidth="1"/>
    <col min="7" max="16384" width="8.8984375" style="46" customWidth="1"/>
  </cols>
  <sheetData>
    <row r="1" spans="2:5" ht="15.75">
      <c r="B1" s="414" t="str">
        <f>inputPrYr!D2</f>
        <v>City of Paola</v>
      </c>
      <c r="C1" s="414"/>
      <c r="D1" s="400"/>
      <c r="E1" s="408">
        <f>inputPrYr!C5</f>
        <v>2012</v>
      </c>
    </row>
    <row r="2" spans="2:5" ht="15.75">
      <c r="B2" s="400"/>
      <c r="C2" s="400"/>
      <c r="D2" s="400"/>
      <c r="E2" s="416"/>
    </row>
    <row r="3" spans="2:5" ht="15.75">
      <c r="B3" s="403" t="s">
        <v>878</v>
      </c>
      <c r="C3" s="403"/>
      <c r="D3" s="419"/>
      <c r="E3" s="409"/>
    </row>
    <row r="4" spans="2:5" ht="15.75">
      <c r="B4" s="402" t="s">
        <v>811</v>
      </c>
      <c r="C4" s="600" t="s">
        <v>830</v>
      </c>
      <c r="D4" s="601" t="s">
        <v>959</v>
      </c>
      <c r="E4" s="602" t="s">
        <v>960</v>
      </c>
    </row>
    <row r="5" spans="2:5" ht="15.75">
      <c r="B5" s="449" t="s">
        <v>759</v>
      </c>
      <c r="C5" s="435">
        <f>E1-2</f>
        <v>2010</v>
      </c>
      <c r="D5" s="435">
        <f>E1-1</f>
        <v>2011</v>
      </c>
      <c r="E5" s="418">
        <f>E1</f>
        <v>2012</v>
      </c>
    </row>
    <row r="6" spans="2:5" ht="15.75">
      <c r="B6" s="410" t="s">
        <v>932</v>
      </c>
      <c r="C6" s="445">
        <v>373576</v>
      </c>
      <c r="D6" s="444">
        <f>C40</f>
        <v>337201</v>
      </c>
      <c r="E6" s="411">
        <f>D40</f>
        <v>355520</v>
      </c>
    </row>
    <row r="7" spans="2:5" ht="15.75">
      <c r="B7" s="410" t="s">
        <v>934</v>
      </c>
      <c r="C7" s="412"/>
      <c r="D7" s="444"/>
      <c r="E7" s="411"/>
    </row>
    <row r="8" spans="2:5" ht="15.75">
      <c r="B8" s="410" t="s">
        <v>812</v>
      </c>
      <c r="C8" s="442">
        <v>216533</v>
      </c>
      <c r="D8" s="444">
        <v>212850</v>
      </c>
      <c r="E8" s="427" t="s">
        <v>800</v>
      </c>
    </row>
    <row r="9" spans="2:5" ht="15.75">
      <c r="B9" s="410" t="s">
        <v>813</v>
      </c>
      <c r="C9" s="442">
        <v>9120</v>
      </c>
      <c r="D9" s="446">
        <v>6000</v>
      </c>
      <c r="E9" s="404">
        <v>6000</v>
      </c>
    </row>
    <row r="10" spans="2:5" ht="15.75">
      <c r="B10" s="410" t="s">
        <v>814</v>
      </c>
      <c r="C10" s="442">
        <v>23191</v>
      </c>
      <c r="D10" s="446">
        <v>22446</v>
      </c>
      <c r="E10" s="411">
        <f>mvalloc!C8</f>
        <v>21333</v>
      </c>
    </row>
    <row r="11" spans="2:5" ht="15.75">
      <c r="B11" s="410" t="s">
        <v>815</v>
      </c>
      <c r="C11" s="442">
        <v>0</v>
      </c>
      <c r="D11" s="446">
        <v>0</v>
      </c>
      <c r="E11" s="411">
        <f>mvalloc!D8</f>
        <v>248</v>
      </c>
    </row>
    <row r="12" spans="2:5" ht="15.75">
      <c r="B12" s="413" t="s">
        <v>910</v>
      </c>
      <c r="C12" s="442">
        <v>0</v>
      </c>
      <c r="D12" s="446">
        <v>0</v>
      </c>
      <c r="E12" s="411">
        <f>mvalloc!E8</f>
        <v>106</v>
      </c>
    </row>
    <row r="13" spans="2:5" ht="15.75">
      <c r="B13" s="413" t="s">
        <v>977</v>
      </c>
      <c r="C13" s="442">
        <v>0</v>
      </c>
      <c r="D13" s="446">
        <v>0</v>
      </c>
      <c r="E13" s="411">
        <f>mvalloc!F8</f>
        <v>0</v>
      </c>
    </row>
    <row r="14" spans="2:5" ht="15.75">
      <c r="B14" s="653" t="s">
        <v>497</v>
      </c>
      <c r="C14" s="442">
        <v>304022</v>
      </c>
      <c r="D14" s="446">
        <v>270000</v>
      </c>
      <c r="E14" s="404">
        <v>270000</v>
      </c>
    </row>
    <row r="15" spans="2:5" ht="15.75">
      <c r="B15" s="653" t="s">
        <v>498</v>
      </c>
      <c r="C15" s="442">
        <v>70000</v>
      </c>
      <c r="D15" s="446">
        <v>50000</v>
      </c>
      <c r="E15" s="446">
        <v>50000</v>
      </c>
    </row>
    <row r="16" spans="2:5" ht="15.75">
      <c r="B16" s="653" t="s">
        <v>499</v>
      </c>
      <c r="C16" s="442">
        <v>10000</v>
      </c>
      <c r="D16" s="446">
        <v>10000</v>
      </c>
      <c r="E16" s="446">
        <v>10000</v>
      </c>
    </row>
    <row r="17" spans="2:5" ht="15.75">
      <c r="B17" s="653" t="s">
        <v>500</v>
      </c>
      <c r="C17" s="442">
        <v>25000</v>
      </c>
      <c r="D17" s="446">
        <v>25000</v>
      </c>
      <c r="E17" s="446">
        <v>25000</v>
      </c>
    </row>
    <row r="18" spans="2:5" ht="15.75">
      <c r="B18" s="653" t="s">
        <v>501</v>
      </c>
      <c r="C18" s="442">
        <v>50000</v>
      </c>
      <c r="D18" s="446">
        <v>50000</v>
      </c>
      <c r="E18" s="446">
        <v>50000</v>
      </c>
    </row>
    <row r="19" spans="2:5" ht="15.75">
      <c r="B19" s="653" t="s">
        <v>502</v>
      </c>
      <c r="C19" s="442">
        <v>318063</v>
      </c>
      <c r="D19" s="446">
        <v>326062</v>
      </c>
      <c r="E19" s="404">
        <v>338463</v>
      </c>
    </row>
    <row r="20" spans="2:5" ht="15.75">
      <c r="B20" s="653" t="s">
        <v>503</v>
      </c>
      <c r="C20" s="442">
        <v>87791</v>
      </c>
      <c r="D20" s="446">
        <v>90922</v>
      </c>
      <c r="E20" s="404">
        <v>88748</v>
      </c>
    </row>
    <row r="21" spans="2:5" ht="15.75">
      <c r="B21" s="653" t="s">
        <v>504</v>
      </c>
      <c r="C21" s="442">
        <v>334225</v>
      </c>
      <c r="D21" s="446">
        <v>331344</v>
      </c>
      <c r="E21" s="404">
        <v>332263</v>
      </c>
    </row>
    <row r="22" spans="2:5" ht="15.75">
      <c r="B22" s="653" t="s">
        <v>505</v>
      </c>
      <c r="C22" s="442">
        <v>0</v>
      </c>
      <c r="D22" s="446">
        <v>0</v>
      </c>
      <c r="E22" s="404">
        <v>140000</v>
      </c>
    </row>
    <row r="23" spans="2:5" ht="15.75">
      <c r="B23" s="653" t="s">
        <v>506</v>
      </c>
      <c r="C23" s="442">
        <v>0</v>
      </c>
      <c r="D23" s="446">
        <v>0</v>
      </c>
      <c r="E23" s="404">
        <v>230000</v>
      </c>
    </row>
    <row r="24" spans="2:5" ht="15.75">
      <c r="B24" s="653" t="s">
        <v>507</v>
      </c>
      <c r="C24" s="442">
        <v>0</v>
      </c>
      <c r="D24" s="446">
        <v>0</v>
      </c>
      <c r="E24" s="404">
        <v>0</v>
      </c>
    </row>
    <row r="25" spans="2:5" ht="15.75">
      <c r="B25" s="653" t="s">
        <v>508</v>
      </c>
      <c r="C25" s="442">
        <v>334</v>
      </c>
      <c r="D25" s="446">
        <v>201</v>
      </c>
      <c r="E25" s="404">
        <v>500</v>
      </c>
    </row>
    <row r="26" spans="2:9" ht="15.75">
      <c r="B26" s="654" t="s">
        <v>816</v>
      </c>
      <c r="C26" s="442">
        <v>8032</v>
      </c>
      <c r="D26" s="446">
        <v>5000</v>
      </c>
      <c r="E26" s="404">
        <v>3500</v>
      </c>
      <c r="F26" s="399"/>
      <c r="G26" s="399"/>
      <c r="H26" s="399"/>
      <c r="I26" s="399"/>
    </row>
    <row r="27" spans="2:9" ht="15.75">
      <c r="B27" s="410" t="s">
        <v>49</v>
      </c>
      <c r="C27" s="260">
        <v>0</v>
      </c>
      <c r="D27" s="260">
        <v>0</v>
      </c>
      <c r="E27" s="68">
        <v>0</v>
      </c>
      <c r="F27" s="399"/>
      <c r="G27" s="399"/>
      <c r="H27" s="399"/>
      <c r="I27" s="399"/>
    </row>
    <row r="28" spans="2:9" ht="15.75">
      <c r="B28" s="410" t="s">
        <v>138</v>
      </c>
      <c r="C28" s="265">
        <f>IF(C29*0.1&lt;C27,"Exceed 10% Rule","")</f>
      </c>
      <c r="D28" s="265">
        <f>IF(D29*0.1&lt;D27,"Exceed 10% Rule","")</f>
      </c>
      <c r="E28" s="305">
        <f>IF(E29*0.1+E46&lt;E27,"Exceed 10% Rule","")</f>
      </c>
      <c r="F28" s="399"/>
      <c r="G28" s="399"/>
      <c r="H28" s="399"/>
      <c r="I28" s="399"/>
    </row>
    <row r="29" spans="2:9" ht="15.75">
      <c r="B29" s="421" t="s">
        <v>817</v>
      </c>
      <c r="C29" s="447">
        <f>SUM(C8:C27)</f>
        <v>1456311</v>
      </c>
      <c r="D29" s="447">
        <f>SUM(D8:D27)</f>
        <v>1399825</v>
      </c>
      <c r="E29" s="430">
        <f>SUM(E9:E27)</f>
        <v>1566161</v>
      </c>
      <c r="F29" s="399"/>
      <c r="G29" s="399"/>
      <c r="H29" s="399"/>
      <c r="I29" s="399"/>
    </row>
    <row r="30" spans="2:9" ht="15.75">
      <c r="B30" s="421" t="s">
        <v>818</v>
      </c>
      <c r="C30" s="447">
        <f>SUM(C6+C29)</f>
        <v>1829887</v>
      </c>
      <c r="D30" s="447">
        <f>SUM(D6+D29)</f>
        <v>1737026</v>
      </c>
      <c r="E30" s="430">
        <f>SUM(E6+E29)</f>
        <v>1921681</v>
      </c>
      <c r="F30" s="399"/>
      <c r="G30" s="399"/>
      <c r="H30" s="399"/>
      <c r="I30" s="399"/>
    </row>
    <row r="31" spans="2:9" ht="15.75">
      <c r="B31" s="410" t="s">
        <v>820</v>
      </c>
      <c r="C31" s="410"/>
      <c r="D31" s="444"/>
      <c r="E31" s="411"/>
      <c r="F31" s="399"/>
      <c r="G31" s="399"/>
      <c r="H31" s="399"/>
      <c r="I31" s="399"/>
    </row>
    <row r="32" spans="2:9" ht="15.75">
      <c r="B32" s="655" t="s">
        <v>509</v>
      </c>
      <c r="C32" s="509">
        <v>995000</v>
      </c>
      <c r="D32" s="446">
        <v>980000</v>
      </c>
      <c r="E32" s="404">
        <v>1275000</v>
      </c>
      <c r="F32" s="399"/>
      <c r="G32" s="399"/>
      <c r="H32" s="399"/>
      <c r="I32" s="399"/>
    </row>
    <row r="33" spans="2:9" ht="15.75">
      <c r="B33" s="655" t="s">
        <v>510</v>
      </c>
      <c r="C33" s="509">
        <v>497686</v>
      </c>
      <c r="D33" s="446">
        <v>401506</v>
      </c>
      <c r="E33" s="404">
        <v>645003</v>
      </c>
      <c r="F33" s="399"/>
      <c r="G33" s="399"/>
      <c r="H33" s="399"/>
      <c r="I33" s="399"/>
    </row>
    <row r="34" spans="2:9" ht="15.75">
      <c r="B34" s="655" t="s">
        <v>511</v>
      </c>
      <c r="C34" s="509">
        <v>0</v>
      </c>
      <c r="D34" s="446">
        <v>0</v>
      </c>
      <c r="E34" s="404">
        <v>0</v>
      </c>
      <c r="F34" s="399"/>
      <c r="G34" s="399"/>
      <c r="H34" s="399"/>
      <c r="I34" s="399"/>
    </row>
    <row r="35" spans="2:9" ht="15.75">
      <c r="B35" s="655" t="s">
        <v>512</v>
      </c>
      <c r="C35" s="509">
        <v>0</v>
      </c>
      <c r="D35" s="446">
        <v>0</v>
      </c>
      <c r="E35" s="404">
        <f>214528-4750</f>
        <v>209778</v>
      </c>
      <c r="F35" s="399"/>
      <c r="G35" s="399"/>
      <c r="H35" s="399"/>
      <c r="I35" s="399"/>
    </row>
    <row r="36" spans="2:9" ht="15.75">
      <c r="B36" s="426" t="s">
        <v>48</v>
      </c>
      <c r="C36" s="509">
        <v>0</v>
      </c>
      <c r="D36" s="446">
        <v>0</v>
      </c>
      <c r="E36" s="411">
        <f>nhood!E7</f>
      </c>
      <c r="F36" s="399"/>
      <c r="G36" s="399"/>
      <c r="H36" s="399"/>
      <c r="I36" s="399"/>
    </row>
    <row r="37" spans="2:9" ht="15.75">
      <c r="B37" s="426" t="s">
        <v>49</v>
      </c>
      <c r="C37" s="509">
        <v>0</v>
      </c>
      <c r="D37" s="446">
        <v>0</v>
      </c>
      <c r="E37" s="404">
        <v>0</v>
      </c>
      <c r="F37" s="399"/>
      <c r="G37" s="399"/>
      <c r="H37" s="399"/>
      <c r="I37" s="399"/>
    </row>
    <row r="38" spans="2:9" ht="15.75">
      <c r="B38" s="426" t="s">
        <v>140</v>
      </c>
      <c r="C38" s="265">
        <f>IF(C39*0.1&lt;C37,"Exceed 10% Rule","")</f>
      </c>
      <c r="D38" s="265">
        <f>IF(D39*0.1&lt;D37,"Exceed 10% Rule","")</f>
      </c>
      <c r="E38" s="305">
        <f>IF(E39*0.1&lt;E37,"Exceed 10% Rule","")</f>
      </c>
      <c r="F38" s="399"/>
      <c r="G38" s="737" t="str">
        <f>CONCATENATE("Projected Carryover Into ",E1+1,"")</f>
        <v>Projected Carryover Into 2013</v>
      </c>
      <c r="H38" s="738"/>
      <c r="I38" s="739"/>
    </row>
    <row r="39" spans="2:9" ht="15.75">
      <c r="B39" s="421" t="s">
        <v>824</v>
      </c>
      <c r="C39" s="443">
        <f>SUM(C32:C37)</f>
        <v>1492686</v>
      </c>
      <c r="D39" s="443">
        <f>SUM(D32:D37)</f>
        <v>1381506</v>
      </c>
      <c r="E39" s="425">
        <f>SUM(E32:E37)</f>
        <v>2129781</v>
      </c>
      <c r="F39" s="399"/>
      <c r="G39" s="431"/>
      <c r="H39" s="432"/>
      <c r="I39" s="433"/>
    </row>
    <row r="40" spans="2:9" ht="15.75">
      <c r="B40" s="410" t="s">
        <v>933</v>
      </c>
      <c r="C40" s="448">
        <f>SUM(C30-C39)</f>
        <v>337201</v>
      </c>
      <c r="D40" s="448">
        <f>SUM(D30-D39)</f>
        <v>355520</v>
      </c>
      <c r="E40" s="427" t="s">
        <v>800</v>
      </c>
      <c r="F40" s="399"/>
      <c r="G40" s="438">
        <f>D40</f>
        <v>355520</v>
      </c>
      <c r="H40" s="441" t="str">
        <f>CONCATENATE("",E1-1," Ending Cash Balance (est.)")</f>
        <v>2011 Ending Cash Balance (est.)</v>
      </c>
      <c r="I40" s="433"/>
    </row>
    <row r="41" spans="2:9" ht="15.75">
      <c r="B41" s="415" t="str">
        <f>CONCATENATE("",E1-2,"/",E1-1," Budget Authority Amount:")</f>
        <v>2010/2011 Budget Authority Amount:</v>
      </c>
      <c r="C41" s="417">
        <f>inputOth!B62</f>
        <v>2189219</v>
      </c>
      <c r="D41" s="422">
        <f>inputPrYr!D18</f>
        <v>2108092</v>
      </c>
      <c r="E41" s="427" t="s">
        <v>800</v>
      </c>
      <c r="F41" s="423"/>
      <c r="G41" s="438">
        <f>E29</f>
        <v>1566161</v>
      </c>
      <c r="H41" s="440" t="str">
        <f>CONCATENATE("",E1," Non-AV Receipts (est.)")</f>
        <v>2012 Non-AV Receipts (est.)</v>
      </c>
      <c r="I41" s="433"/>
    </row>
    <row r="42" spans="2:9" ht="15.75">
      <c r="B42" s="415"/>
      <c r="C42" s="731" t="s">
        <v>664</v>
      </c>
      <c r="D42" s="732"/>
      <c r="E42" s="68">
        <v>0</v>
      </c>
      <c r="F42" s="454">
        <f>IF(E39/0.95-E39&lt;E42,"Exceeds 5%","")</f>
      </c>
      <c r="G42" s="437">
        <f>E46</f>
        <v>220586</v>
      </c>
      <c r="H42" s="440" t="str">
        <f>CONCATENATE("",E1," Ad Valorem Tax (est.)")</f>
        <v>2012 Ad Valorem Tax (est.)</v>
      </c>
      <c r="I42" s="433"/>
    </row>
    <row r="43" spans="2:9" ht="15.75">
      <c r="B43" s="549" t="str">
        <f>CONCATENATE(C97,"     ",D97)</f>
        <v>     </v>
      </c>
      <c r="C43" s="733" t="s">
        <v>665</v>
      </c>
      <c r="D43" s="734"/>
      <c r="E43" s="411">
        <f>SUM(E39+E42)</f>
        <v>2129781</v>
      </c>
      <c r="F43" s="399"/>
      <c r="G43" s="438">
        <f>SUM(G40:G42)</f>
        <v>2142267</v>
      </c>
      <c r="H43" s="440" t="str">
        <f>CONCATENATE("Total ",E1," Resources Available")</f>
        <v>Total 2012 Resources Available</v>
      </c>
      <c r="I43" s="433"/>
    </row>
    <row r="44" spans="2:9" ht="15.75">
      <c r="B44" s="549" t="str">
        <f>CONCATENATE(C98,"     ",D98)</f>
        <v>     </v>
      </c>
      <c r="C44" s="424"/>
      <c r="D44" s="416" t="s">
        <v>825</v>
      </c>
      <c r="E44" s="405">
        <f>IF(E43-E30&gt;0,E43-E30,0)</f>
        <v>208100</v>
      </c>
      <c r="F44" s="399"/>
      <c r="G44" s="436"/>
      <c r="H44" s="440"/>
      <c r="I44" s="433"/>
    </row>
    <row r="45" spans="2:9" ht="15.75">
      <c r="B45" s="416"/>
      <c r="C45" s="397" t="s">
        <v>663</v>
      </c>
      <c r="D45" s="664">
        <f>inputOth!$E$48</f>
        <v>0.06</v>
      </c>
      <c r="E45" s="411">
        <f>ROUND(IF(D45&gt;0,(E44*D45),0),0)</f>
        <v>12486</v>
      </c>
      <c r="F45" s="399"/>
      <c r="G45" s="437">
        <f>C39</f>
        <v>1492686</v>
      </c>
      <c r="H45" s="440" t="str">
        <f>CONCATENATE("Less ",E1-2," Expenditures")</f>
        <v>Less 2010 Expenditures</v>
      </c>
      <c r="I45" s="433"/>
    </row>
    <row r="46" spans="2:9" ht="15.75">
      <c r="B46" s="400"/>
      <c r="C46" s="740" t="s">
        <v>668</v>
      </c>
      <c r="D46" s="741"/>
      <c r="E46" s="428">
        <f>SUM(E44:E45)</f>
        <v>220586</v>
      </c>
      <c r="F46" s="399"/>
      <c r="G46" s="437">
        <f>SUM(G43-G45)</f>
        <v>649581</v>
      </c>
      <c r="H46" s="439" t="str">
        <f>CONCATENATE("Projected ",E1+1," carryover (est.)")</f>
        <v>Projected 2013 carryover (est.)</v>
      </c>
      <c r="I46" s="434"/>
    </row>
    <row r="47" spans="2:9" ht="15.75">
      <c r="B47" s="402"/>
      <c r="C47" s="402"/>
      <c r="D47" s="419"/>
      <c r="E47" s="419"/>
      <c r="F47" s="399"/>
      <c r="G47" s="399"/>
      <c r="H47" s="399"/>
      <c r="I47" s="399"/>
    </row>
    <row r="48" spans="2:9" ht="15.75">
      <c r="B48" s="402" t="s">
        <v>811</v>
      </c>
      <c r="C48" s="600" t="s">
        <v>830</v>
      </c>
      <c r="D48" s="601" t="s">
        <v>959</v>
      </c>
      <c r="E48" s="602" t="s">
        <v>960</v>
      </c>
      <c r="F48" s="399"/>
      <c r="G48" s="399"/>
      <c r="H48" s="399"/>
      <c r="I48" s="399"/>
    </row>
    <row r="49" spans="2:9" ht="15.75">
      <c r="B49" s="450" t="str">
        <f>inputPrYr!B20</f>
        <v>Library - Fund 02</v>
      </c>
      <c r="C49" s="435">
        <f>E1-2</f>
        <v>2010</v>
      </c>
      <c r="D49" s="435">
        <f>E1-1</f>
        <v>2011</v>
      </c>
      <c r="E49" s="418">
        <f>E1</f>
        <v>2012</v>
      </c>
      <c r="F49" s="399"/>
      <c r="G49" s="399"/>
      <c r="H49" s="399"/>
      <c r="I49" s="399"/>
    </row>
    <row r="50" spans="2:9" ht="15.75">
      <c r="B50" s="410" t="s">
        <v>932</v>
      </c>
      <c r="C50" s="442">
        <v>25454</v>
      </c>
      <c r="D50" s="444">
        <f>C78</f>
        <v>22143</v>
      </c>
      <c r="E50" s="411">
        <f>D78</f>
        <v>23060</v>
      </c>
      <c r="F50" s="399"/>
      <c r="G50" s="399"/>
      <c r="H50" s="399"/>
      <c r="I50" s="399"/>
    </row>
    <row r="51" spans="2:9" ht="15.75">
      <c r="B51" s="420" t="s">
        <v>934</v>
      </c>
      <c r="C51" s="410"/>
      <c r="D51" s="444"/>
      <c r="E51" s="411"/>
      <c r="F51" s="399"/>
      <c r="G51" s="399"/>
      <c r="H51" s="399"/>
      <c r="I51" s="399"/>
    </row>
    <row r="52" spans="2:9" ht="15.75">
      <c r="B52" s="410" t="s">
        <v>812</v>
      </c>
      <c r="C52" s="442">
        <v>211830</v>
      </c>
      <c r="D52" s="444">
        <v>207188</v>
      </c>
      <c r="E52" s="427" t="s">
        <v>800</v>
      </c>
      <c r="F52" s="399"/>
      <c r="G52" s="399"/>
      <c r="H52" s="399"/>
      <c r="I52" s="399"/>
    </row>
    <row r="53" spans="2:9" ht="15.75">
      <c r="B53" s="410" t="s">
        <v>813</v>
      </c>
      <c r="C53" s="442">
        <v>7066</v>
      </c>
      <c r="D53" s="446">
        <v>6000</v>
      </c>
      <c r="E53" s="404">
        <v>6000</v>
      </c>
      <c r="F53" s="399"/>
      <c r="G53" s="399"/>
      <c r="H53" s="399"/>
      <c r="I53" s="399"/>
    </row>
    <row r="54" spans="2:9" ht="15.75">
      <c r="B54" s="410" t="s">
        <v>814</v>
      </c>
      <c r="C54" s="442">
        <v>20067</v>
      </c>
      <c r="D54" s="446">
        <v>20000</v>
      </c>
      <c r="E54" s="411">
        <f>mvalloc!C9</f>
        <v>20756</v>
      </c>
      <c r="F54" s="399"/>
      <c r="G54" s="399"/>
      <c r="H54" s="399"/>
      <c r="I54" s="399"/>
    </row>
    <row r="55" spans="2:9" ht="15.75">
      <c r="B55" s="410" t="s">
        <v>815</v>
      </c>
      <c r="C55" s="442">
        <v>0</v>
      </c>
      <c r="D55" s="446">
        <v>0</v>
      </c>
      <c r="E55" s="411">
        <f>mvalloc!D9</f>
        <v>241</v>
      </c>
      <c r="F55" s="399"/>
      <c r="G55" s="399"/>
      <c r="H55" s="399"/>
      <c r="I55" s="399"/>
    </row>
    <row r="56" spans="2:6" ht="15.75">
      <c r="B56" s="413" t="s">
        <v>910</v>
      </c>
      <c r="C56" s="442">
        <v>0</v>
      </c>
      <c r="D56" s="446">
        <v>0</v>
      </c>
      <c r="E56" s="411">
        <f>mvalloc!E9</f>
        <v>103</v>
      </c>
      <c r="F56" s="658"/>
    </row>
    <row r="57" spans="2:5" ht="15.75">
      <c r="B57" s="413" t="s">
        <v>977</v>
      </c>
      <c r="C57" s="442">
        <v>0</v>
      </c>
      <c r="D57" s="446">
        <v>0</v>
      </c>
      <c r="E57" s="411">
        <f>mvalloc!F9</f>
        <v>0</v>
      </c>
    </row>
    <row r="58" spans="2:5" ht="15.75">
      <c r="B58" s="655" t="s">
        <v>513</v>
      </c>
      <c r="C58" s="442">
        <v>325</v>
      </c>
      <c r="D58" s="446">
        <v>195</v>
      </c>
      <c r="E58" s="404">
        <v>200</v>
      </c>
    </row>
    <row r="59" spans="2:5" ht="15.75">
      <c r="B59" s="655" t="s">
        <v>482</v>
      </c>
      <c r="C59" s="442">
        <v>22805</v>
      </c>
      <c r="D59" s="446">
        <v>23300</v>
      </c>
      <c r="E59" s="404">
        <v>22590</v>
      </c>
    </row>
    <row r="60" spans="2:5" ht="15.75">
      <c r="B60" s="655" t="s">
        <v>514</v>
      </c>
      <c r="C60" s="442">
        <v>5928</v>
      </c>
      <c r="D60" s="446">
        <v>6690</v>
      </c>
      <c r="E60" s="404">
        <v>6800</v>
      </c>
    </row>
    <row r="61" spans="2:5" ht="15.75">
      <c r="B61" s="655" t="s">
        <v>515</v>
      </c>
      <c r="C61" s="442">
        <v>825</v>
      </c>
      <c r="D61" s="446">
        <v>0</v>
      </c>
      <c r="E61" s="404">
        <v>0</v>
      </c>
    </row>
    <row r="62" spans="2:5" ht="15.75">
      <c r="B62" s="649" t="s">
        <v>816</v>
      </c>
      <c r="C62" s="442">
        <v>638</v>
      </c>
      <c r="D62" s="446">
        <v>500</v>
      </c>
      <c r="E62" s="404">
        <v>350</v>
      </c>
    </row>
    <row r="63" spans="2:5" ht="15.75">
      <c r="B63" s="410" t="s">
        <v>49</v>
      </c>
      <c r="C63" s="442">
        <v>0</v>
      </c>
      <c r="D63" s="260">
        <v>142</v>
      </c>
      <c r="E63" s="68">
        <v>0</v>
      </c>
    </row>
    <row r="64" spans="2:5" ht="15.75">
      <c r="B64" s="410" t="s">
        <v>138</v>
      </c>
      <c r="C64" s="265">
        <f>IF(C65*0.1&lt;C63,"Exceed 10% Rule","")</f>
      </c>
      <c r="D64" s="265">
        <f>IF(D65*0.1&lt;D63,"Exceed 10% Rule","")</f>
      </c>
      <c r="E64" s="305">
        <f>IF(E65*0.1+E84&lt;E63,"Exceed 10% Rule","")</f>
      </c>
    </row>
    <row r="65" spans="2:5" ht="15.75">
      <c r="B65" s="421" t="s">
        <v>817</v>
      </c>
      <c r="C65" s="443">
        <f>SUM(C52:C63)</f>
        <v>269484</v>
      </c>
      <c r="D65" s="443">
        <f>SUM(D52:D63)</f>
        <v>264015</v>
      </c>
      <c r="E65" s="425">
        <f>SUM(E53:E63)</f>
        <v>57040</v>
      </c>
    </row>
    <row r="66" spans="2:5" ht="15.75">
      <c r="B66" s="421" t="s">
        <v>818</v>
      </c>
      <c r="C66" s="443">
        <f>SUM(C50+C65)</f>
        <v>294938</v>
      </c>
      <c r="D66" s="443">
        <f>SUM(D50+D65)</f>
        <v>286158</v>
      </c>
      <c r="E66" s="425">
        <f>SUM(E50+E65)</f>
        <v>80100</v>
      </c>
    </row>
    <row r="67" spans="2:5" ht="15.75">
      <c r="B67" s="410" t="s">
        <v>820</v>
      </c>
      <c r="C67" s="410"/>
      <c r="D67" s="444"/>
      <c r="E67" s="411"/>
    </row>
    <row r="68" spans="2:5" ht="15.75">
      <c r="B68" s="655" t="s">
        <v>516</v>
      </c>
      <c r="C68" s="442">
        <f>68670+53640+29152+473+147</f>
        <v>152082</v>
      </c>
      <c r="D68" s="446">
        <f>66600+52000+23250+300+150</f>
        <v>142300</v>
      </c>
      <c r="E68" s="404">
        <f>69000+53100+25000+500+100</f>
        <v>147700</v>
      </c>
    </row>
    <row r="69" spans="2:5" ht="15.75">
      <c r="B69" s="655" t="s">
        <v>484</v>
      </c>
      <c r="C69" s="442">
        <v>0</v>
      </c>
      <c r="D69" s="446">
        <v>0</v>
      </c>
      <c r="E69" s="404">
        <v>15028</v>
      </c>
    </row>
    <row r="70" spans="2:5" ht="15.75">
      <c r="B70" s="655" t="s">
        <v>517</v>
      </c>
      <c r="C70" s="442">
        <f>1242+1764+1733+5678+11343+8158</f>
        <v>29918</v>
      </c>
      <c r="D70" s="446">
        <f>1270+1000+500+5772+13000+7000</f>
        <v>28542</v>
      </c>
      <c r="E70" s="404">
        <f>1300+1000+500+7000+14000+7000</f>
        <v>30800</v>
      </c>
    </row>
    <row r="71" spans="2:5" ht="15.75">
      <c r="B71" s="655" t="s">
        <v>518</v>
      </c>
      <c r="C71" s="442">
        <f>1582+1219+30+3237+3717+606+31229+1030+805+370</f>
        <v>43825</v>
      </c>
      <c r="D71" s="446">
        <f>2000+230+50+4500+2000+250+32000+1200+700+150</f>
        <v>43080</v>
      </c>
      <c r="E71" s="404">
        <f>2000+1000+60+4000+3500+300+29000+1200+800+100</f>
        <v>41960</v>
      </c>
    </row>
    <row r="72" spans="2:5" ht="15.75">
      <c r="B72" s="655" t="s">
        <v>519</v>
      </c>
      <c r="C72" s="442">
        <f>2463+2349+6254+63</f>
        <v>11129</v>
      </c>
      <c r="D72" s="446">
        <f>3950+150+6000</f>
        <v>10100</v>
      </c>
      <c r="E72" s="404">
        <f>5000+200+7500</f>
        <v>12700</v>
      </c>
    </row>
    <row r="73" spans="2:5" ht="15.75">
      <c r="B73" s="655" t="s">
        <v>520</v>
      </c>
      <c r="C73" s="442">
        <v>35750</v>
      </c>
      <c r="D73" s="446">
        <v>39000</v>
      </c>
      <c r="E73" s="404">
        <v>39000</v>
      </c>
    </row>
    <row r="74" spans="2:6" ht="15.75">
      <c r="B74" s="413" t="s">
        <v>48</v>
      </c>
      <c r="C74" s="442">
        <v>0</v>
      </c>
      <c r="D74" s="446">
        <v>0</v>
      </c>
      <c r="E74" s="411">
        <f>nhood!E8</f>
      </c>
      <c r="F74" s="399"/>
    </row>
    <row r="75" spans="2:6" ht="15.75">
      <c r="B75" s="413" t="s">
        <v>49</v>
      </c>
      <c r="C75" s="509">
        <v>91</v>
      </c>
      <c r="D75" s="446">
        <v>76</v>
      </c>
      <c r="E75" s="404">
        <v>100</v>
      </c>
      <c r="F75" s="399"/>
    </row>
    <row r="76" spans="2:6" ht="15.75">
      <c r="B76" s="413" t="s">
        <v>139</v>
      </c>
      <c r="C76" s="265">
        <f>IF(C77*0.1&lt;C75,"Exceed 10% Rule","")</f>
      </c>
      <c r="D76" s="265">
        <f>IF(D77*0.1&lt;D75,"Exceed 10% Rule","")</f>
      </c>
      <c r="E76" s="305">
        <f>IF(E77*0.1&lt;E75,"Exceed 10% Rule","")</f>
      </c>
      <c r="F76" s="399"/>
    </row>
    <row r="77" spans="2:6" ht="15.75">
      <c r="B77" s="421" t="s">
        <v>824</v>
      </c>
      <c r="C77" s="443">
        <f>SUM(C68:C75)</f>
        <v>272795</v>
      </c>
      <c r="D77" s="443">
        <f>SUM(D68:D75)</f>
        <v>263098</v>
      </c>
      <c r="E77" s="425">
        <f>SUM(E68:E75)</f>
        <v>287288</v>
      </c>
      <c r="F77" s="399"/>
    </row>
    <row r="78" spans="2:6" ht="15.75">
      <c r="B78" s="410" t="s">
        <v>933</v>
      </c>
      <c r="C78" s="448">
        <f>SUM(C66-C77)</f>
        <v>22143</v>
      </c>
      <c r="D78" s="448">
        <f>SUM(D66-D77)</f>
        <v>23060</v>
      </c>
      <c r="E78" s="427" t="s">
        <v>800</v>
      </c>
      <c r="F78" s="399"/>
    </row>
    <row r="79" spans="2:6" ht="15.75">
      <c r="B79" s="415" t="str">
        <f>CONCATENATE("",E1-2,"/",E1-1," Budget Authority Amount:")</f>
        <v>2010/2011 Budget Authority Amount:</v>
      </c>
      <c r="C79" s="417">
        <f>inputOth!B63</f>
        <v>282120</v>
      </c>
      <c r="D79" s="417">
        <f>inputPrYr!D20</f>
        <v>297403</v>
      </c>
      <c r="E79" s="427" t="s">
        <v>800</v>
      </c>
      <c r="F79" s="423"/>
    </row>
    <row r="80" spans="2:6" ht="15.75">
      <c r="B80" s="415"/>
      <c r="C80" s="731" t="s">
        <v>664</v>
      </c>
      <c r="D80" s="732"/>
      <c r="E80" s="68"/>
      <c r="F80" s="454">
        <f>IF(E77/0.95-E77&lt;E80,"Exceeds 5%","")</f>
      </c>
    </row>
    <row r="81" spans="2:6" ht="15.75">
      <c r="B81" s="549" t="str">
        <f>CONCATENATE(C99,"     ",D99)</f>
        <v>     </v>
      </c>
      <c r="C81" s="733" t="s">
        <v>665</v>
      </c>
      <c r="D81" s="734"/>
      <c r="E81" s="411">
        <f>SUM(E77+E80)</f>
        <v>287288</v>
      </c>
      <c r="F81" s="399"/>
    </row>
    <row r="82" spans="2:6" ht="15.75">
      <c r="B82" s="549" t="str">
        <f>CONCATENATE(C100,"     ",D100)</f>
        <v>     </v>
      </c>
      <c r="C82" s="424"/>
      <c r="D82" s="416" t="s">
        <v>825</v>
      </c>
      <c r="E82" s="405">
        <f>IF(E81-E66&gt;0,E81-E66,0)</f>
        <v>207188</v>
      </c>
      <c r="F82" s="399"/>
    </row>
    <row r="83" spans="2:6" ht="15.75">
      <c r="B83" s="416"/>
      <c r="C83" s="397" t="s">
        <v>663</v>
      </c>
      <c r="D83" s="664">
        <f>inputOth!$E$48</f>
        <v>0.06</v>
      </c>
      <c r="E83" s="411">
        <f>ROUND(IF(D83&gt;0,(E82*D83),0),0)</f>
        <v>12431</v>
      </c>
      <c r="F83" s="399"/>
    </row>
    <row r="84" spans="2:6" ht="15.75">
      <c r="B84" s="400"/>
      <c r="C84" s="740" t="s">
        <v>668</v>
      </c>
      <c r="D84" s="741"/>
      <c r="E84" s="428">
        <f>SUM(E82:E83)</f>
        <v>219619</v>
      </c>
      <c r="F84" s="399"/>
    </row>
    <row r="85" spans="2:6" ht="15.75">
      <c r="B85" s="416" t="s">
        <v>827</v>
      </c>
      <c r="C85" s="429">
        <v>8</v>
      </c>
      <c r="D85" s="406"/>
      <c r="E85" s="400"/>
      <c r="F85" s="399"/>
    </row>
    <row r="87" spans="2:6" ht="15.75">
      <c r="B87" s="407"/>
      <c r="C87" s="407"/>
      <c r="D87" s="399"/>
      <c r="E87" s="399"/>
      <c r="F87" s="399"/>
    </row>
    <row r="92" spans="3:4" ht="15.75">
      <c r="C92" s="401" t="s">
        <v>667</v>
      </c>
      <c r="D92" s="401" t="s">
        <v>667</v>
      </c>
    </row>
    <row r="93" spans="3:4" ht="15.75">
      <c r="C93" s="401" t="s">
        <v>667</v>
      </c>
      <c r="D93" s="401" t="s">
        <v>667</v>
      </c>
    </row>
    <row r="95" spans="3:4" ht="15.75">
      <c r="C95" s="401" t="s">
        <v>667</v>
      </c>
      <c r="D95" s="401" t="s">
        <v>667</v>
      </c>
    </row>
    <row r="96" spans="3:4" ht="16.5" customHeight="1">
      <c r="C96" s="401" t="s">
        <v>667</v>
      </c>
      <c r="D96" s="401" t="s">
        <v>667</v>
      </c>
    </row>
    <row r="97" spans="3:4" ht="15" customHeight="1" hidden="1">
      <c r="C97" s="548">
        <f>IF(C39&gt;C41,"See Tab A","")</f>
      </c>
      <c r="D97" s="548">
        <f>IF(D39&gt;D41,"See Tab C","")</f>
      </c>
    </row>
    <row r="98" spans="3:4" ht="15.75" customHeight="1" hidden="1">
      <c r="C98" s="548">
        <f>IF(C40&lt;0,"See Tab B","")</f>
      </c>
      <c r="D98" s="548">
        <f>IF(D40&lt;0,"See Tab D","")</f>
      </c>
    </row>
    <row r="99" spans="3:4" ht="15" customHeight="1" hidden="1">
      <c r="C99" s="548">
        <f>IF(C74&gt;C78,"See Tab A","")</f>
      </c>
      <c r="D99" s="548">
        <f>IF(D74&gt;D78,"See Tab C","")</f>
      </c>
    </row>
    <row r="100" spans="3:4" ht="14.25" customHeight="1" hidden="1">
      <c r="C100" s="548">
        <f>IF(C78&lt;0,"See Tab B","")</f>
      </c>
      <c r="D100" s="548">
        <f>IF(D78&lt;0,"See Tab D","")</f>
      </c>
    </row>
  </sheetData>
  <sheetProtection/>
  <mergeCells count="7">
    <mergeCell ref="G38:I38"/>
    <mergeCell ref="C84:D84"/>
    <mergeCell ref="C80:D80"/>
    <mergeCell ref="C81:D81"/>
    <mergeCell ref="C42:D42"/>
    <mergeCell ref="C43:D43"/>
    <mergeCell ref="C46:D46"/>
  </mergeCells>
  <conditionalFormatting sqref="C63">
    <cfRule type="cellIs" priority="22" dxfId="10" operator="greaterThan" stopIfTrue="1">
      <formula>$C$65*0.1</formula>
    </cfRule>
  </conditionalFormatting>
  <conditionalFormatting sqref="D63 D27">
    <cfRule type="cellIs" priority="21" dxfId="0" operator="greaterThan" stopIfTrue="1">
      <formula>$D$29*0.1</formula>
    </cfRule>
  </conditionalFormatting>
  <conditionalFormatting sqref="E63">
    <cfRule type="cellIs" priority="20" dxfId="7" operator="greaterThan" stopIfTrue="1">
      <formula>$E$29*0.1+E84</formula>
    </cfRule>
  </conditionalFormatting>
  <conditionalFormatting sqref="C75">
    <cfRule type="cellIs" priority="19" dxfId="10" operator="greaterThan" stopIfTrue="1">
      <formula>$C$77*0.1</formula>
    </cfRule>
  </conditionalFormatting>
  <conditionalFormatting sqref="D75">
    <cfRule type="cellIs" priority="18" dxfId="10" operator="greaterThan" stopIfTrue="1">
      <formula>$D$77*0.1</formula>
    </cfRule>
  </conditionalFormatting>
  <conditionalFormatting sqref="E75">
    <cfRule type="cellIs" priority="17" dxfId="10" operator="greaterThan" stopIfTrue="1">
      <formula>$E$77*0.1</formula>
    </cfRule>
  </conditionalFormatting>
  <conditionalFormatting sqref="C37">
    <cfRule type="cellIs" priority="16" dxfId="10" operator="greaterThan" stopIfTrue="1">
      <formula>$C$39*0.1</formula>
    </cfRule>
  </conditionalFormatting>
  <conditionalFormatting sqref="D37">
    <cfRule type="cellIs" priority="15" dxfId="10" operator="greaterThan" stopIfTrue="1">
      <formula>$D$39*0.1</formula>
    </cfRule>
  </conditionalFormatting>
  <conditionalFormatting sqref="E37">
    <cfRule type="cellIs" priority="14" dxfId="10" operator="greaterThan" stopIfTrue="1">
      <formula>$E$39*0.1</formula>
    </cfRule>
  </conditionalFormatting>
  <conditionalFormatting sqref="E42">
    <cfRule type="cellIs" priority="10" dxfId="7" operator="greaterThan" stopIfTrue="1">
      <formula>$E$39/0.95-$E$39</formula>
    </cfRule>
  </conditionalFormatting>
  <conditionalFormatting sqref="E80">
    <cfRule type="cellIs" priority="9" dxfId="7" operator="greaterThan" stopIfTrue="1">
      <formula>$E$77/0.95-$E$77</formula>
    </cfRule>
  </conditionalFormatting>
  <conditionalFormatting sqref="C39">
    <cfRule type="cellIs" priority="8" dxfId="10" operator="greaterThan" stopIfTrue="1">
      <formula>$C$41</formula>
    </cfRule>
  </conditionalFormatting>
  <conditionalFormatting sqref="C40:D40 C78:D78">
    <cfRule type="cellIs" priority="7" dxfId="10" operator="lessThan" stopIfTrue="1">
      <formula>0</formula>
    </cfRule>
  </conditionalFormatting>
  <conditionalFormatting sqref="D39">
    <cfRule type="cellIs" priority="6" dxfId="10" operator="greaterThan" stopIfTrue="1">
      <formula>$D$41</formula>
    </cfRule>
  </conditionalFormatting>
  <conditionalFormatting sqref="C77">
    <cfRule type="cellIs" priority="4" dxfId="10" operator="greaterThan" stopIfTrue="1">
      <formula>$C$79</formula>
    </cfRule>
  </conditionalFormatting>
  <conditionalFormatting sqref="D77">
    <cfRule type="cellIs" priority="2" dxfId="10" operator="greaterThan" stopIfTrue="1">
      <formula>$D$79</formula>
    </cfRule>
  </conditionalFormatting>
  <conditionalFormatting sqref="E27">
    <cfRule type="cellIs" priority="39" dxfId="7" operator="greaterThan" stopIfTrue="1">
      <formula>$E$29*0.1+E46</formula>
    </cfRule>
  </conditionalFormatting>
  <conditionalFormatting sqref="C27">
    <cfRule type="cellIs" priority="12" dxfId="0" operator="greaterThan" stopIfTrue="1">
      <formula>$C$29*0.1</formula>
    </cfRule>
  </conditionalFormatting>
  <printOptions/>
  <pageMargins left="1.34" right="0.44" top="0.49" bottom="0.43" header="0.34" footer="0.37"/>
  <pageSetup blackAndWhite="1" fitToHeight="1" fitToWidth="1" horizontalDpi="600" verticalDpi="600" orientation="portrait" scale="6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G77"/>
  <sheetViews>
    <sheetView zoomScalePageLayoutView="0" workbookViewId="0" topLeftCell="A34">
      <selection activeCell="E58" sqref="E58"/>
    </sheetView>
  </sheetViews>
  <sheetFormatPr defaultColWidth="8.796875" defaultRowHeight="15"/>
  <cols>
    <col min="1" max="1" width="2.3984375" style="46" customWidth="1"/>
    <col min="2" max="2" width="38.796875" style="46" customWidth="1"/>
    <col min="3" max="4" width="15.796875" style="46" customWidth="1"/>
    <col min="5" max="5" width="16.19921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878</v>
      </c>
      <c r="C3" s="208"/>
      <c r="D3" s="208"/>
      <c r="E3" s="293"/>
    </row>
    <row r="4" spans="2:5" ht="15.75">
      <c r="B4" s="48"/>
      <c r="C4" s="294"/>
      <c r="D4" s="294"/>
      <c r="E4" s="294"/>
    </row>
    <row r="5" spans="2:5" ht="15.75">
      <c r="B5" s="53" t="s">
        <v>811</v>
      </c>
      <c r="C5" s="594" t="s">
        <v>830</v>
      </c>
      <c r="D5" s="595" t="s">
        <v>959</v>
      </c>
      <c r="E5" s="596" t="s">
        <v>960</v>
      </c>
    </row>
    <row r="6" spans="2:5" ht="15.75">
      <c r="B6" s="555" t="str">
        <f>inputPrYr!B21</f>
        <v>Employee Benefits - Fund 05</v>
      </c>
      <c r="C6" s="389">
        <f>E1-2</f>
        <v>2010</v>
      </c>
      <c r="D6" s="389">
        <f>E1-1</f>
        <v>2011</v>
      </c>
      <c r="E6" s="254">
        <f>E1</f>
        <v>2012</v>
      </c>
    </row>
    <row r="7" spans="2:5" ht="15.75">
      <c r="B7" s="255" t="s">
        <v>932</v>
      </c>
      <c r="C7" s="260">
        <v>129485</v>
      </c>
      <c r="D7" s="258">
        <f>C52</f>
        <v>276245</v>
      </c>
      <c r="E7" s="231">
        <f>D52</f>
        <v>360344</v>
      </c>
    </row>
    <row r="8" spans="2:5" ht="15.75">
      <c r="B8" s="259" t="s">
        <v>934</v>
      </c>
      <c r="C8" s="162"/>
      <c r="D8" s="162"/>
      <c r="E8" s="88"/>
    </row>
    <row r="9" spans="2:5" ht="15.75">
      <c r="B9" s="153" t="s">
        <v>812</v>
      </c>
      <c r="C9" s="260">
        <v>305381</v>
      </c>
      <c r="D9" s="258">
        <v>298980</v>
      </c>
      <c r="E9" s="290" t="s">
        <v>800</v>
      </c>
    </row>
    <row r="10" spans="2:5" ht="15.75">
      <c r="B10" s="153" t="s">
        <v>813</v>
      </c>
      <c r="C10" s="260">
        <v>10838</v>
      </c>
      <c r="D10" s="260">
        <v>8000</v>
      </c>
      <c r="E10" s="68">
        <v>9000</v>
      </c>
    </row>
    <row r="11" spans="2:5" ht="15.75">
      <c r="B11" s="153" t="s">
        <v>814</v>
      </c>
      <c r="C11" s="260">
        <v>30357</v>
      </c>
      <c r="D11" s="260">
        <v>31500</v>
      </c>
      <c r="E11" s="231">
        <f>mvalloc!C10</f>
        <v>29965</v>
      </c>
    </row>
    <row r="12" spans="2:5" ht="15.75">
      <c r="B12" s="153" t="s">
        <v>815</v>
      </c>
      <c r="C12" s="260">
        <v>0</v>
      </c>
      <c r="D12" s="260">
        <v>0</v>
      </c>
      <c r="E12" s="231">
        <f>mvalloc!D10</f>
        <v>348</v>
      </c>
    </row>
    <row r="13" spans="2:5" ht="15.75">
      <c r="B13" s="162" t="s">
        <v>910</v>
      </c>
      <c r="C13" s="260">
        <v>0</v>
      </c>
      <c r="D13" s="260">
        <v>0</v>
      </c>
      <c r="E13" s="231">
        <f>mvalloc!E10</f>
        <v>148</v>
      </c>
    </row>
    <row r="14" spans="2:5" ht="15.75">
      <c r="B14" s="291" t="s">
        <v>977</v>
      </c>
      <c r="C14" s="260">
        <v>0</v>
      </c>
      <c r="D14" s="260">
        <v>0</v>
      </c>
      <c r="E14" s="231">
        <f>mvalloc!F10</f>
        <v>0</v>
      </c>
    </row>
    <row r="15" spans="2:5" ht="15.75">
      <c r="B15" s="655" t="s">
        <v>513</v>
      </c>
      <c r="C15" s="260">
        <v>469</v>
      </c>
      <c r="D15" s="260">
        <v>282</v>
      </c>
      <c r="E15" s="68">
        <v>300</v>
      </c>
    </row>
    <row r="16" spans="2:5" ht="15.75">
      <c r="B16" s="655" t="s">
        <v>507</v>
      </c>
      <c r="C16" s="260">
        <f>6279+20539+687</f>
        <v>27505</v>
      </c>
      <c r="D16" s="260">
        <f>9430+13000+21000</f>
        <v>43430</v>
      </c>
      <c r="E16" s="68">
        <v>38000</v>
      </c>
    </row>
    <row r="17" spans="2:5" ht="15.75">
      <c r="B17" s="655" t="s">
        <v>527</v>
      </c>
      <c r="C17" s="260">
        <v>20167</v>
      </c>
      <c r="D17" s="260">
        <v>22000</v>
      </c>
      <c r="E17" s="68">
        <v>23000</v>
      </c>
    </row>
    <row r="18" spans="2:5" ht="15.75">
      <c r="B18" s="655" t="s">
        <v>528</v>
      </c>
      <c r="C18" s="260">
        <v>128333</v>
      </c>
      <c r="D18" s="260">
        <v>140000</v>
      </c>
      <c r="E18" s="68">
        <v>134200</v>
      </c>
    </row>
    <row r="19" spans="2:5" ht="15.75">
      <c r="B19" s="655" t="s">
        <v>529</v>
      </c>
      <c r="C19" s="260">
        <v>5133</v>
      </c>
      <c r="D19" s="260">
        <v>5600</v>
      </c>
      <c r="E19" s="68">
        <v>5400</v>
      </c>
    </row>
    <row r="20" spans="2:5" ht="15.75">
      <c r="B20" s="655" t="s">
        <v>530</v>
      </c>
      <c r="C20" s="260">
        <v>53167</v>
      </c>
      <c r="D20" s="260">
        <v>58000</v>
      </c>
      <c r="E20" s="68">
        <v>55200</v>
      </c>
    </row>
    <row r="21" spans="2:5" ht="15.75">
      <c r="B21" s="655" t="s">
        <v>531</v>
      </c>
      <c r="C21" s="260">
        <v>28820</v>
      </c>
      <c r="D21" s="260">
        <v>31440</v>
      </c>
      <c r="E21" s="68">
        <v>33700</v>
      </c>
    </row>
    <row r="22" spans="2:5" ht="15.75">
      <c r="B22" s="655" t="s">
        <v>532</v>
      </c>
      <c r="C22" s="260">
        <v>4904</v>
      </c>
      <c r="D22" s="260">
        <v>5350</v>
      </c>
      <c r="E22" s="68">
        <v>5950</v>
      </c>
    </row>
    <row r="23" spans="2:5" ht="15.75">
      <c r="B23" s="655" t="s">
        <v>533</v>
      </c>
      <c r="C23" s="260">
        <v>34192</v>
      </c>
      <c r="D23" s="260">
        <v>37300</v>
      </c>
      <c r="E23" s="68">
        <v>35800</v>
      </c>
    </row>
    <row r="24" spans="2:5" ht="15.75">
      <c r="B24" s="655" t="s">
        <v>521</v>
      </c>
      <c r="C24" s="260">
        <v>35750</v>
      </c>
      <c r="D24" s="260">
        <v>39000</v>
      </c>
      <c r="E24" s="68">
        <v>39000</v>
      </c>
    </row>
    <row r="25" spans="2:5" ht="15.75">
      <c r="B25" s="655" t="s">
        <v>522</v>
      </c>
      <c r="C25" s="260">
        <v>107440</v>
      </c>
      <c r="D25" s="260">
        <v>112540</v>
      </c>
      <c r="E25" s="68">
        <v>120000</v>
      </c>
    </row>
    <row r="26" spans="2:5" ht="15.75">
      <c r="B26" s="655" t="s">
        <v>523</v>
      </c>
      <c r="C26" s="260">
        <v>39300</v>
      </c>
      <c r="D26" s="260">
        <v>39300</v>
      </c>
      <c r="E26" s="68">
        <v>39300</v>
      </c>
    </row>
    <row r="27" spans="2:5" ht="15.75">
      <c r="B27" s="655" t="s">
        <v>524</v>
      </c>
      <c r="C27" s="260">
        <v>13500</v>
      </c>
      <c r="D27" s="260">
        <v>15000</v>
      </c>
      <c r="E27" s="68">
        <v>15000</v>
      </c>
    </row>
    <row r="28" spans="2:5" ht="15.75">
      <c r="B28" s="655" t="s">
        <v>104</v>
      </c>
      <c r="C28" s="260">
        <v>154640</v>
      </c>
      <c r="D28" s="260">
        <v>131640</v>
      </c>
      <c r="E28" s="68">
        <v>138750</v>
      </c>
    </row>
    <row r="29" spans="2:5" ht="15.75">
      <c r="B29" s="655" t="s">
        <v>103</v>
      </c>
      <c r="C29" s="260">
        <v>0</v>
      </c>
      <c r="D29" s="260">
        <v>0</v>
      </c>
      <c r="E29" s="68">
        <v>5000</v>
      </c>
    </row>
    <row r="30" spans="2:5" ht="15.75">
      <c r="B30" s="649" t="s">
        <v>525</v>
      </c>
      <c r="C30" s="260">
        <v>5901</v>
      </c>
      <c r="D30" s="260">
        <v>5900</v>
      </c>
      <c r="E30" s="68">
        <v>5000</v>
      </c>
    </row>
    <row r="31" spans="2:5" ht="15.75">
      <c r="B31" s="649" t="s">
        <v>526</v>
      </c>
      <c r="C31" s="260">
        <v>0</v>
      </c>
      <c r="D31" s="260">
        <v>5000</v>
      </c>
      <c r="E31" s="68">
        <v>10000</v>
      </c>
    </row>
    <row r="32" spans="2:5" ht="15.75">
      <c r="B32" s="649" t="s">
        <v>816</v>
      </c>
      <c r="C32" s="260">
        <v>2223</v>
      </c>
      <c r="D32" s="260">
        <v>1600</v>
      </c>
      <c r="E32" s="68">
        <v>1400</v>
      </c>
    </row>
    <row r="33" spans="2:5" ht="15.75">
      <c r="B33" s="162" t="s">
        <v>49</v>
      </c>
      <c r="C33" s="260">
        <v>-2</v>
      </c>
      <c r="D33" s="260">
        <v>0</v>
      </c>
      <c r="E33" s="68"/>
    </row>
    <row r="34" spans="2:5" ht="15.75">
      <c r="B34" s="255" t="s">
        <v>138</v>
      </c>
      <c r="C34" s="265">
        <f>IF(C35*0.1&lt;C33,"Exceed 10% Rule","")</f>
      </c>
      <c r="D34" s="265">
        <f>IF(D35*0.1&lt;D33,"Exceed 10% Rule","")</f>
      </c>
      <c r="E34" s="305">
        <f>IF(E35*0.1+E58&lt;E33,"Exceed 10% Rule","")</f>
      </c>
    </row>
    <row r="35" spans="2:5" ht="15.75">
      <c r="B35" s="267" t="s">
        <v>817</v>
      </c>
      <c r="C35" s="269">
        <f>SUM(C9:C33)</f>
        <v>1008018</v>
      </c>
      <c r="D35" s="269">
        <f>SUM(D9:D33)</f>
        <v>1031862</v>
      </c>
      <c r="E35" s="270">
        <f>SUM(E9:E33)</f>
        <v>744461</v>
      </c>
    </row>
    <row r="36" spans="2:7" ht="15.75">
      <c r="B36" s="267" t="s">
        <v>818</v>
      </c>
      <c r="C36" s="273">
        <f>C7+C35</f>
        <v>1137503</v>
      </c>
      <c r="D36" s="273">
        <f>D7+D35</f>
        <v>1308107</v>
      </c>
      <c r="E36" s="83">
        <f>E7+E35</f>
        <v>1104805</v>
      </c>
      <c r="G36" s="658"/>
    </row>
    <row r="37" spans="2:5" ht="15.75">
      <c r="B37" s="153" t="s">
        <v>820</v>
      </c>
      <c r="C37" s="277"/>
      <c r="D37" s="277"/>
      <c r="E37" s="66"/>
    </row>
    <row r="38" spans="2:5" ht="15.75">
      <c r="B38" s="655" t="s">
        <v>534</v>
      </c>
      <c r="C38" s="260">
        <f>37402+269659</f>
        <v>307061</v>
      </c>
      <c r="D38" s="260">
        <f>60000+320000</f>
        <v>380000</v>
      </c>
      <c r="E38" s="68">
        <f>85000+350000</f>
        <v>435000</v>
      </c>
    </row>
    <row r="39" spans="2:5" ht="15.75">
      <c r="B39" s="655" t="s">
        <v>535</v>
      </c>
      <c r="C39" s="260">
        <v>215513</v>
      </c>
      <c r="D39" s="260">
        <v>220000</v>
      </c>
      <c r="E39" s="68">
        <v>230000</v>
      </c>
    </row>
    <row r="40" spans="2:5" ht="15.75">
      <c r="B40" s="655" t="s">
        <v>536</v>
      </c>
      <c r="C40" s="260">
        <v>81580</v>
      </c>
      <c r="D40" s="260">
        <v>68000</v>
      </c>
      <c r="E40" s="68">
        <v>95000</v>
      </c>
    </row>
    <row r="41" spans="2:5" ht="15.75">
      <c r="B41" s="655" t="s">
        <v>537</v>
      </c>
      <c r="C41" s="260">
        <v>222259</v>
      </c>
      <c r="D41" s="260">
        <v>240000</v>
      </c>
      <c r="E41" s="68">
        <v>280000</v>
      </c>
    </row>
    <row r="42" spans="2:5" ht="15.75">
      <c r="B42" s="655" t="s">
        <v>105</v>
      </c>
      <c r="C42" s="260">
        <v>0</v>
      </c>
      <c r="D42" s="260">
        <v>0</v>
      </c>
      <c r="E42" s="68">
        <v>40000</v>
      </c>
    </row>
    <row r="43" spans="2:5" ht="15.75">
      <c r="B43" s="655" t="s">
        <v>538</v>
      </c>
      <c r="C43" s="260">
        <v>3253</v>
      </c>
      <c r="D43" s="260">
        <v>3000</v>
      </c>
      <c r="E43" s="68">
        <v>26000</v>
      </c>
    </row>
    <row r="44" spans="2:5" ht="15.75">
      <c r="B44" s="655" t="s">
        <v>539</v>
      </c>
      <c r="C44" s="260">
        <v>8080</v>
      </c>
      <c r="D44" s="260">
        <v>10000</v>
      </c>
      <c r="E44" s="68">
        <v>10000</v>
      </c>
    </row>
    <row r="45" spans="2:5" ht="15.75">
      <c r="B45" s="655" t="s">
        <v>540</v>
      </c>
      <c r="C45" s="260">
        <f>1440+19713</f>
        <v>21153</v>
      </c>
      <c r="D45" s="260">
        <v>22200</v>
      </c>
      <c r="E45" s="68">
        <v>26200</v>
      </c>
    </row>
    <row r="46" spans="2:5" ht="15.75">
      <c r="B46" s="655" t="s">
        <v>517</v>
      </c>
      <c r="C46" s="260">
        <f>72+113+780+1085</f>
        <v>2050</v>
      </c>
      <c r="D46" s="260">
        <f>250+113+1000+1200</f>
        <v>2563</v>
      </c>
      <c r="E46" s="68">
        <f>250+250+1000+1200</f>
        <v>2700</v>
      </c>
    </row>
    <row r="47" spans="2:5" ht="15.75">
      <c r="B47" s="655" t="s">
        <v>512</v>
      </c>
      <c r="C47" s="260">
        <v>0</v>
      </c>
      <c r="D47" s="260">
        <v>0</v>
      </c>
      <c r="E47" s="68">
        <v>256885</v>
      </c>
    </row>
    <row r="48" spans="2:5" ht="15.75">
      <c r="B48" s="277" t="s">
        <v>48</v>
      </c>
      <c r="C48" s="260">
        <v>0</v>
      </c>
      <c r="D48" s="260">
        <v>0</v>
      </c>
      <c r="E48" s="83">
        <f>nhood!E9</f>
      </c>
    </row>
    <row r="49" spans="2:5" ht="15.75">
      <c r="B49" s="277" t="s">
        <v>49</v>
      </c>
      <c r="C49" s="260">
        <v>309</v>
      </c>
      <c r="D49" s="260">
        <v>2000</v>
      </c>
      <c r="E49" s="68">
        <v>2000</v>
      </c>
    </row>
    <row r="50" spans="2:5" ht="15.75">
      <c r="B50" s="277" t="s">
        <v>139</v>
      </c>
      <c r="C50" s="265">
        <f>IF(C51*0.1&lt;C49,"Exceed 10% Rule","")</f>
      </c>
      <c r="D50" s="265">
        <f>IF(D51*0.1&lt;D49,"Exceed 10% Rule","")</f>
      </c>
      <c r="E50" s="305">
        <f>IF(E51*0.1&lt;E49,"Exceed 10% Rule","")</f>
      </c>
    </row>
    <row r="51" spans="2:5" ht="15.75">
      <c r="B51" s="267" t="s">
        <v>824</v>
      </c>
      <c r="C51" s="269">
        <f>SUM(C38:C49)</f>
        <v>861258</v>
      </c>
      <c r="D51" s="269">
        <f>SUM(D38:D49)</f>
        <v>947763</v>
      </c>
      <c r="E51" s="270">
        <f>SUM(E38:E49)</f>
        <v>1403785</v>
      </c>
    </row>
    <row r="52" spans="2:5" ht="15.75">
      <c r="B52" s="153" t="s">
        <v>933</v>
      </c>
      <c r="C52" s="273">
        <f>C36-C51</f>
        <v>276245</v>
      </c>
      <c r="D52" s="273">
        <f>D36-D51</f>
        <v>360344</v>
      </c>
      <c r="E52" s="290" t="s">
        <v>800</v>
      </c>
    </row>
    <row r="53" spans="2:6" ht="15.75">
      <c r="B53" s="139" t="str">
        <f>CONCATENATE("",E1-2,"/",E1-1," Budget Authority Amount:")</f>
        <v>2010/2011 Budget Authority Amount:</v>
      </c>
      <c r="C53" s="244">
        <f>inputOth!B64</f>
        <v>1083764</v>
      </c>
      <c r="D53" s="244">
        <f>inputPrYr!D21</f>
        <v>1213890</v>
      </c>
      <c r="E53" s="290" t="s">
        <v>800</v>
      </c>
      <c r="F53" s="279"/>
    </row>
    <row r="54" spans="2:6" ht="15.75">
      <c r="B54" s="139"/>
      <c r="C54" s="731" t="s">
        <v>664</v>
      </c>
      <c r="D54" s="732"/>
      <c r="E54" s="68"/>
      <c r="F54" s="279">
        <f>IF(E51/0.95-E51&lt;E54,"Exceeds 5%","")</f>
      </c>
    </row>
    <row r="55" spans="2:5" ht="15.75">
      <c r="B55" s="549" t="str">
        <f>CONCATENATE(C74,"     ",D74)</f>
        <v>     </v>
      </c>
      <c r="C55" s="733" t="s">
        <v>665</v>
      </c>
      <c r="D55" s="734"/>
      <c r="E55" s="231">
        <f>E51+E54</f>
        <v>1403785</v>
      </c>
    </row>
    <row r="56" spans="2:5" ht="15.75">
      <c r="B56" s="549" t="str">
        <f>CONCATENATE(C75,"     ",D75)</f>
        <v>     </v>
      </c>
      <c r="C56" s="280"/>
      <c r="D56" s="172" t="s">
        <v>825</v>
      </c>
      <c r="E56" s="83">
        <f>IF(E55-E36&gt;0,E55-E36,0)</f>
        <v>298980</v>
      </c>
    </row>
    <row r="57" spans="2:5" ht="15.75">
      <c r="B57" s="172"/>
      <c r="C57" s="397" t="s">
        <v>663</v>
      </c>
      <c r="D57" s="664">
        <f>inputOth!$E$48</f>
        <v>0.06</v>
      </c>
      <c r="E57" s="231">
        <f>ROUND(IF(D57&gt;0,(E56*D57),0),0)</f>
        <v>17939</v>
      </c>
    </row>
    <row r="58" spans="2:5" ht="15.75">
      <c r="B58" s="172"/>
      <c r="C58" s="735" t="str">
        <f>CONCATENATE("Amount of  ",$E$1-1," Ad Valorem Tax")</f>
        <v>Amount of  2011 Ad Valorem Tax</v>
      </c>
      <c r="D58" s="736"/>
      <c r="E58" s="295">
        <f>E56+E57</f>
        <v>316919</v>
      </c>
    </row>
    <row r="59" spans="2:5" ht="15.75">
      <c r="B59" s="48"/>
      <c r="C59" s="735"/>
      <c r="D59" s="742"/>
      <c r="E59" s="77"/>
    </row>
    <row r="60" spans="2:5" ht="15.75">
      <c r="B60" s="53"/>
      <c r="C60" s="294"/>
      <c r="D60" s="294"/>
      <c r="E60" s="294"/>
    </row>
    <row r="61" spans="2:5" ht="15.75">
      <c r="B61" s="416" t="s">
        <v>827</v>
      </c>
      <c r="C61" s="285">
        <v>9</v>
      </c>
      <c r="D61" s="48"/>
      <c r="E61" s="48"/>
    </row>
    <row r="62" ht="15.75">
      <c r="B62" s="33"/>
    </row>
    <row r="74" spans="3:4" ht="15.75" hidden="1">
      <c r="C74" s="548">
        <f>IF(C51&gt;C53,"See Tab A","")</f>
      </c>
      <c r="D74" s="548">
        <f>IF(D49&gt;D53,"See Tab C","")</f>
      </c>
    </row>
    <row r="75" spans="3:4" ht="15.75" hidden="1">
      <c r="C75" s="548">
        <f>IF(C52&lt;0,"See Tab B","")</f>
      </c>
      <c r="D75" s="548">
        <f>IF(D52&lt;0,"See Tab D","")</f>
      </c>
    </row>
    <row r="76" spans="3:4" ht="15.75" hidden="1">
      <c r="C76" s="548" t="e">
        <f>IF(#REF!&gt;#REF!,"See Tab A","")</f>
        <v>#REF!</v>
      </c>
      <c r="D76" s="548" t="e">
        <f>IF(#REF!&gt;#REF!,"See Tab C","")</f>
        <v>#REF!</v>
      </c>
    </row>
    <row r="77" spans="3:4" ht="15.75" hidden="1">
      <c r="C77" s="548" t="e">
        <f>IF(#REF!&lt;0,"See Tab B","")</f>
        <v>#REF!</v>
      </c>
      <c r="D77" s="548" t="e">
        <f>IF(#REF!&lt;0,"See Tab D","")</f>
        <v>#REF!</v>
      </c>
    </row>
  </sheetData>
  <sheetProtection/>
  <mergeCells count="4">
    <mergeCell ref="C54:D54"/>
    <mergeCell ref="C55:D55"/>
    <mergeCell ref="C59:D59"/>
    <mergeCell ref="C58:D58"/>
  </mergeCells>
  <conditionalFormatting sqref="E33">
    <cfRule type="cellIs" priority="20" dxfId="7" operator="greaterThan" stopIfTrue="1">
      <formula>$E$35*0.1+E58</formula>
    </cfRule>
  </conditionalFormatting>
  <conditionalFormatting sqref="E49">
    <cfRule type="cellIs" priority="5" dxfId="7" operator="greaterThan" stopIfTrue="1">
      <formula>$E$51*0.1</formula>
    </cfRule>
  </conditionalFormatting>
  <conditionalFormatting sqref="E54">
    <cfRule type="cellIs" priority="6" dxfId="7" operator="greaterThan" stopIfTrue="1">
      <formula>$E$51/0.95-$E$51</formula>
    </cfRule>
  </conditionalFormatting>
  <conditionalFormatting sqref="C49">
    <cfRule type="cellIs" priority="7" dxfId="0" operator="greaterThan" stopIfTrue="1">
      <formula>$C$51*0.1</formula>
    </cfRule>
  </conditionalFormatting>
  <conditionalFormatting sqref="D49">
    <cfRule type="cellIs" priority="8" dxfId="0" operator="greaterThan" stopIfTrue="1">
      <formula>$D$51*0.1</formula>
    </cfRule>
  </conditionalFormatting>
  <conditionalFormatting sqref="D51">
    <cfRule type="cellIs" priority="9" dxfId="0" operator="greaterThan" stopIfTrue="1">
      <formula>$D$53</formula>
    </cfRule>
  </conditionalFormatting>
  <conditionalFormatting sqref="C51">
    <cfRule type="cellIs" priority="10" dxfId="0" operator="greaterThan" stopIfTrue="1">
      <formula>$C$53</formula>
    </cfRule>
  </conditionalFormatting>
  <conditionalFormatting sqref="C52:D52">
    <cfRule type="cellIs" priority="11" dxfId="0" operator="lessThan" stopIfTrue="1">
      <formula>0</formula>
    </cfRule>
  </conditionalFormatting>
  <conditionalFormatting sqref="D33">
    <cfRule type="cellIs" priority="16" dxfId="0" operator="greaterThan" stopIfTrue="1">
      <formula>$D$35*0.1</formula>
    </cfRule>
  </conditionalFormatting>
  <conditionalFormatting sqref="C33">
    <cfRule type="cellIs" priority="17" dxfId="0" operator="greaterThan" stopIfTrue="1">
      <formula>$C$35*0.1</formula>
    </cfRule>
  </conditionalFormatting>
  <printOptions horizontalCentered="1" verticalCentered="1"/>
  <pageMargins left="0.5" right="0.5" top="1" bottom="0.5" header="0.5" footer="0.5"/>
  <pageSetup blackAndWhite="1" fitToHeight="1" fitToWidth="1" horizontalDpi="120" verticalDpi="120" orientation="portrait" scale="7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43">
      <selection activeCell="D66" sqref="D66"/>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878</v>
      </c>
      <c r="C3" s="208"/>
      <c r="D3" s="208"/>
      <c r="E3" s="293"/>
    </row>
    <row r="4" spans="2:5" ht="15.75">
      <c r="B4" s="48"/>
      <c r="C4" s="294"/>
      <c r="D4" s="294"/>
      <c r="E4" s="294"/>
    </row>
    <row r="5" spans="2:5" ht="15.75">
      <c r="B5" s="53" t="s">
        <v>811</v>
      </c>
      <c r="C5" s="594" t="s">
        <v>830</v>
      </c>
      <c r="D5" s="595" t="s">
        <v>959</v>
      </c>
      <c r="E5" s="596" t="s">
        <v>960</v>
      </c>
    </row>
    <row r="6" spans="2:5" ht="15.75">
      <c r="B6" s="555">
        <f>inputPrYr!B23</f>
        <v>0</v>
      </c>
      <c r="C6" s="389">
        <f>E1-2</f>
        <v>2010</v>
      </c>
      <c r="D6" s="389">
        <f>E1-1</f>
        <v>2011</v>
      </c>
      <c r="E6" s="254">
        <f>E1</f>
        <v>2012</v>
      </c>
    </row>
    <row r="7" spans="2:5" ht="15.75">
      <c r="B7" s="255" t="s">
        <v>932</v>
      </c>
      <c r="C7" s="260"/>
      <c r="D7" s="258">
        <f>C33</f>
        <v>0</v>
      </c>
      <c r="E7" s="231">
        <f>D33</f>
        <v>0</v>
      </c>
    </row>
    <row r="8" spans="2:5" ht="15.75">
      <c r="B8" s="259" t="s">
        <v>934</v>
      </c>
      <c r="C8" s="258"/>
      <c r="D8" s="258"/>
      <c r="E8" s="231"/>
    </row>
    <row r="9" spans="2:5" ht="15.75">
      <c r="B9" s="153" t="s">
        <v>812</v>
      </c>
      <c r="C9" s="260"/>
      <c r="D9" s="258">
        <f>inputPrYr!E22</f>
        <v>0</v>
      </c>
      <c r="E9" s="290" t="s">
        <v>800</v>
      </c>
    </row>
    <row r="10" spans="2:5" ht="15.75">
      <c r="B10" s="153" t="s">
        <v>813</v>
      </c>
      <c r="C10" s="260"/>
      <c r="D10" s="260"/>
      <c r="E10" s="68"/>
    </row>
    <row r="11" spans="2:5" ht="15.75">
      <c r="B11" s="153" t="s">
        <v>814</v>
      </c>
      <c r="C11" s="260"/>
      <c r="D11" s="260"/>
      <c r="E11" s="231" t="str">
        <f>mvalloc!C12</f>
        <v>  </v>
      </c>
    </row>
    <row r="12" spans="2:5" ht="15.75">
      <c r="B12" s="153" t="s">
        <v>815</v>
      </c>
      <c r="C12" s="260"/>
      <c r="D12" s="260"/>
      <c r="E12" s="231" t="str">
        <f>mvalloc!D12</f>
        <v> </v>
      </c>
    </row>
    <row r="13" spans="2:5" ht="15.75">
      <c r="B13" s="162" t="s">
        <v>910</v>
      </c>
      <c r="C13" s="260"/>
      <c r="D13" s="260"/>
      <c r="E13" s="231" t="str">
        <f>mvalloc!E12</f>
        <v> </v>
      </c>
    </row>
    <row r="14" spans="2:5" ht="15.75">
      <c r="B14" s="291" t="s">
        <v>977</v>
      </c>
      <c r="C14" s="260"/>
      <c r="D14" s="260"/>
      <c r="E14" s="231" t="str">
        <f>mvalloc!F12</f>
        <v> </v>
      </c>
    </row>
    <row r="15" spans="2:5" ht="15.75">
      <c r="B15" s="276"/>
      <c r="C15" s="260"/>
      <c r="D15" s="260"/>
      <c r="E15" s="68"/>
    </row>
    <row r="16" spans="2:5" ht="15.75">
      <c r="B16" s="276"/>
      <c r="C16" s="260"/>
      <c r="D16" s="260"/>
      <c r="E16" s="68"/>
    </row>
    <row r="17" spans="2:5" ht="15.75">
      <c r="B17" s="276"/>
      <c r="C17" s="260"/>
      <c r="D17" s="260"/>
      <c r="E17" s="68"/>
    </row>
    <row r="18" spans="2:5" ht="15.75">
      <c r="B18" s="264" t="s">
        <v>816</v>
      </c>
      <c r="C18" s="260"/>
      <c r="D18" s="260"/>
      <c r="E18" s="68"/>
    </row>
    <row r="19" spans="2:5" ht="15.75">
      <c r="B19" s="162" t="s">
        <v>49</v>
      </c>
      <c r="C19" s="260"/>
      <c r="D19" s="260"/>
      <c r="E19" s="68"/>
    </row>
    <row r="20" spans="2:5" ht="15.75">
      <c r="B20" s="255" t="s">
        <v>138</v>
      </c>
      <c r="C20" s="265">
        <f>IF(C21*0.1&lt;C19,"Exceed 10% Rule","")</f>
      </c>
      <c r="D20" s="265">
        <f>IF(D21*0.1&lt;D19,"Exceed 10% Rule","")</f>
      </c>
      <c r="E20" s="305">
        <f>IF(E21*0.1+E39&lt;E19,"Exceed 10% Rule","")</f>
      </c>
    </row>
    <row r="21" spans="2:5" ht="15.75">
      <c r="B21" s="267" t="s">
        <v>817</v>
      </c>
      <c r="C21" s="269">
        <f>SUM(C9:C19)</f>
        <v>0</v>
      </c>
      <c r="D21" s="269">
        <f>SUM(D9:D19)</f>
        <v>0</v>
      </c>
      <c r="E21" s="270">
        <f>SUM(E9:E19)</f>
        <v>0</v>
      </c>
    </row>
    <row r="22" spans="2:5" ht="15.75">
      <c r="B22" s="267" t="s">
        <v>818</v>
      </c>
      <c r="C22" s="269">
        <f>C7+C21</f>
        <v>0</v>
      </c>
      <c r="D22" s="269">
        <f>D7+D21</f>
        <v>0</v>
      </c>
      <c r="E22" s="270">
        <f>E7+E21</f>
        <v>0</v>
      </c>
    </row>
    <row r="23" spans="2:6" ht="15.75">
      <c r="B23" s="153" t="s">
        <v>820</v>
      </c>
      <c r="C23" s="277"/>
      <c r="D23" s="277"/>
      <c r="E23" s="66"/>
      <c r="F23" s="296"/>
    </row>
    <row r="24" spans="2:5" ht="15.75">
      <c r="B24" s="297"/>
      <c r="C24" s="260"/>
      <c r="D24" s="260"/>
      <c r="E24" s="104"/>
    </row>
    <row r="25" spans="2:5" ht="15.75">
      <c r="B25" s="276"/>
      <c r="C25" s="260"/>
      <c r="D25" s="260"/>
      <c r="E25" s="68"/>
    </row>
    <row r="26" spans="2:5" ht="15.75">
      <c r="B26" s="276"/>
      <c r="C26" s="260"/>
      <c r="D26" s="260"/>
      <c r="E26" s="68"/>
    </row>
    <row r="27" spans="2:5" ht="15.75">
      <c r="B27" s="276"/>
      <c r="C27" s="260"/>
      <c r="D27" s="260"/>
      <c r="E27" s="68"/>
    </row>
    <row r="28" spans="2:7" ht="15.75">
      <c r="B28" s="276"/>
      <c r="C28" s="260"/>
      <c r="D28" s="260"/>
      <c r="E28" s="68"/>
      <c r="G28" s="296"/>
    </row>
    <row r="29" spans="2:7" ht="15.75">
      <c r="B29" s="277" t="s">
        <v>48</v>
      </c>
      <c r="C29" s="260"/>
      <c r="D29" s="260"/>
      <c r="E29" s="83">
        <f>nhood!E11</f>
      </c>
      <c r="G29" s="296"/>
    </row>
    <row r="30" spans="2:7" ht="15.75">
      <c r="B30" s="277" t="s">
        <v>49</v>
      </c>
      <c r="C30" s="260"/>
      <c r="D30" s="260"/>
      <c r="E30" s="68"/>
      <c r="G30" s="296"/>
    </row>
    <row r="31" spans="2:7" ht="15.75">
      <c r="B31" s="277" t="s">
        <v>139</v>
      </c>
      <c r="C31" s="265">
        <f>IF(C32*0.1&lt;C30,"Exceed 10% Rule","")</f>
      </c>
      <c r="D31" s="265">
        <f>IF(D32*0.1&lt;D30,"Exceed 10% Rule","")</f>
      </c>
      <c r="E31" s="305">
        <f>IF(E32*0.1&lt;E30,"Exceed 10% Rule","")</f>
      </c>
      <c r="G31" s="296"/>
    </row>
    <row r="32" spans="2:5" ht="15.75">
      <c r="B32" s="267" t="s">
        <v>824</v>
      </c>
      <c r="C32" s="269">
        <f>SUM(C24:C30)</f>
        <v>0</v>
      </c>
      <c r="D32" s="269">
        <f>SUM(D24:D30)</f>
        <v>0</v>
      </c>
      <c r="E32" s="270">
        <f>SUM(E24:E30)</f>
        <v>0</v>
      </c>
    </row>
    <row r="33" spans="2:5" ht="15.75">
      <c r="B33" s="153" t="s">
        <v>933</v>
      </c>
      <c r="C33" s="273">
        <f>C22-C32</f>
        <v>0</v>
      </c>
      <c r="D33" s="273">
        <f>D22-D32</f>
        <v>0</v>
      </c>
      <c r="E33" s="290" t="s">
        <v>800</v>
      </c>
    </row>
    <row r="34" spans="2:6" ht="15.75">
      <c r="B34" s="139" t="str">
        <f>CONCATENATE("",E1-2,"/",E1-1," Budget Authority Amount:")</f>
        <v>2010/2011 Budget Authority Amount:</v>
      </c>
      <c r="C34" s="244">
        <f>inputOth!B66</f>
        <v>0</v>
      </c>
      <c r="D34" s="244">
        <f>inputPrYr!D23</f>
        <v>0</v>
      </c>
      <c r="E34" s="290" t="s">
        <v>800</v>
      </c>
      <c r="F34" s="279"/>
    </row>
    <row r="35" spans="2:6" ht="15.75">
      <c r="B35" s="139"/>
      <c r="C35" s="731" t="s">
        <v>664</v>
      </c>
      <c r="D35" s="732"/>
      <c r="E35" s="68"/>
      <c r="F35" s="279">
        <f>IF(E32/0.95-E32&lt;E35,"Exceeds 5%","")</f>
      </c>
    </row>
    <row r="36" spans="2:7" ht="15.75">
      <c r="B36" s="549" t="str">
        <f>CONCATENATE(C90,"     ",D90)</f>
        <v>     </v>
      </c>
      <c r="C36" s="733" t="s">
        <v>665</v>
      </c>
      <c r="D36" s="734"/>
      <c r="E36" s="231">
        <f>E32+E35</f>
        <v>0</v>
      </c>
      <c r="G36" s="296"/>
    </row>
    <row r="37" spans="2:5" ht="15.75">
      <c r="B37" s="549" t="str">
        <f>CONCATENATE(C91,"     ",D91)</f>
        <v>     </v>
      </c>
      <c r="C37" s="280"/>
      <c r="D37" s="172" t="s">
        <v>825</v>
      </c>
      <c r="E37" s="83">
        <f>IF(E36-E22&gt;0,E36-E22,0)</f>
        <v>0</v>
      </c>
    </row>
    <row r="38" spans="2:5" ht="15.75">
      <c r="B38" s="172"/>
      <c r="C38" s="397" t="s">
        <v>663</v>
      </c>
      <c r="D38" s="398">
        <f>inputOth!$E$48</f>
        <v>0.06</v>
      </c>
      <c r="E38" s="231">
        <f>ROUND(IF(D38&gt;0,(E37*D38),0),0)</f>
        <v>0</v>
      </c>
    </row>
    <row r="39" spans="2:5" ht="15.75">
      <c r="B39" s="172"/>
      <c r="C39" s="735" t="str">
        <f>CONCATENATE("Amount of  ",$E$1-1," Ad Valorem Tax")</f>
        <v>Amount of  2011 Ad Valorem Tax</v>
      </c>
      <c r="D39" s="736"/>
      <c r="E39" s="295">
        <f>E37+E38</f>
        <v>0</v>
      </c>
    </row>
    <row r="40" spans="2:5" ht="15.75">
      <c r="B40" s="48"/>
      <c r="C40" s="735"/>
      <c r="D40" s="742"/>
      <c r="E40" s="77"/>
    </row>
    <row r="41" spans="2:5" ht="15.75">
      <c r="B41" s="53" t="s">
        <v>811</v>
      </c>
      <c r="C41" s="294"/>
      <c r="D41" s="294"/>
      <c r="E41" s="294"/>
    </row>
    <row r="42" spans="2:5" ht="15.75">
      <c r="B42" s="48"/>
      <c r="C42" s="594" t="s">
        <v>830</v>
      </c>
      <c r="D42" s="595" t="s">
        <v>959</v>
      </c>
      <c r="E42" s="596" t="s">
        <v>960</v>
      </c>
    </row>
    <row r="43" spans="2:5" ht="15.75">
      <c r="B43" s="555">
        <f>inputPrYr!B24</f>
        <v>0</v>
      </c>
      <c r="C43" s="389">
        <f>E1-2</f>
        <v>2010</v>
      </c>
      <c r="D43" s="389">
        <f>E1-1</f>
        <v>2011</v>
      </c>
      <c r="E43" s="254">
        <f>E1</f>
        <v>2012</v>
      </c>
    </row>
    <row r="44" spans="2:5" ht="15.75">
      <c r="B44" s="255" t="s">
        <v>932</v>
      </c>
      <c r="C44" s="260"/>
      <c r="D44" s="258">
        <f>C70</f>
        <v>0</v>
      </c>
      <c r="E44" s="231">
        <f>D70</f>
        <v>0</v>
      </c>
    </row>
    <row r="45" spans="2:5" ht="15.75">
      <c r="B45" s="259" t="s">
        <v>934</v>
      </c>
      <c r="C45" s="162"/>
      <c r="D45" s="162"/>
      <c r="E45" s="88"/>
    </row>
    <row r="46" spans="2:5" ht="15.75">
      <c r="B46" s="153" t="s">
        <v>812</v>
      </c>
      <c r="C46" s="260"/>
      <c r="D46" s="258">
        <f>inputPrYr!E23</f>
        <v>0</v>
      </c>
      <c r="E46" s="290" t="s">
        <v>800</v>
      </c>
    </row>
    <row r="47" spans="2:5" ht="15.75">
      <c r="B47" s="153" t="s">
        <v>813</v>
      </c>
      <c r="C47" s="260"/>
      <c r="D47" s="260"/>
      <c r="E47" s="68"/>
    </row>
    <row r="48" spans="2:5" ht="15.75">
      <c r="B48" s="153" t="s">
        <v>814</v>
      </c>
      <c r="C48" s="260"/>
      <c r="D48" s="260"/>
      <c r="E48" s="231" t="str">
        <f>mvalloc!C13</f>
        <v>  </v>
      </c>
    </row>
    <row r="49" spans="2:5" ht="15.75">
      <c r="B49" s="153" t="s">
        <v>815</v>
      </c>
      <c r="C49" s="260"/>
      <c r="D49" s="260"/>
      <c r="E49" s="231" t="str">
        <f>mvalloc!D13</f>
        <v> </v>
      </c>
    </row>
    <row r="50" spans="2:5" ht="15.75">
      <c r="B50" s="162" t="s">
        <v>910</v>
      </c>
      <c r="C50" s="260"/>
      <c r="D50" s="260"/>
      <c r="E50" s="231" t="str">
        <f>mvalloc!E13</f>
        <v> </v>
      </c>
    </row>
    <row r="51" spans="2:5" ht="15.75">
      <c r="B51" s="291" t="s">
        <v>977</v>
      </c>
      <c r="C51" s="260"/>
      <c r="D51" s="260"/>
      <c r="E51" s="231" t="str">
        <f>mvalloc!F13</f>
        <v> </v>
      </c>
    </row>
    <row r="52" spans="2:5" ht="15.75">
      <c r="B52" s="276"/>
      <c r="C52" s="260"/>
      <c r="D52" s="260"/>
      <c r="E52" s="68"/>
    </row>
    <row r="53" spans="2:5" ht="15.75">
      <c r="B53" s="276"/>
      <c r="C53" s="260"/>
      <c r="D53" s="260"/>
      <c r="E53" s="68"/>
    </row>
    <row r="54" spans="2:5" ht="15.75">
      <c r="B54" s="276"/>
      <c r="C54" s="260"/>
      <c r="D54" s="260"/>
      <c r="E54" s="68"/>
    </row>
    <row r="55" spans="2:5" ht="15.75">
      <c r="B55" s="264" t="s">
        <v>816</v>
      </c>
      <c r="C55" s="260"/>
      <c r="D55" s="260"/>
      <c r="E55" s="68"/>
    </row>
    <row r="56" spans="2:5" ht="15.75">
      <c r="B56" s="162" t="s">
        <v>49</v>
      </c>
      <c r="C56" s="260"/>
      <c r="D56" s="260"/>
      <c r="E56" s="68"/>
    </row>
    <row r="57" spans="2:5" ht="15.75">
      <c r="B57" s="255" t="s">
        <v>138</v>
      </c>
      <c r="C57" s="265">
        <f>IF(C58*0.1&lt;C56,"Exceed 10% Rule","")</f>
      </c>
      <c r="D57" s="265">
        <f>IF(D58*0.1&lt;D56,"Exceed 10% Rule","")</f>
      </c>
      <c r="E57" s="305">
        <f>IF(E58*0.1+E76&lt;E56,"Exceed 10% Rule","")</f>
      </c>
    </row>
    <row r="58" spans="2:5" ht="15.75">
      <c r="B58" s="267" t="s">
        <v>817</v>
      </c>
      <c r="C58" s="269">
        <f>SUM(C46:C56)</f>
        <v>0</v>
      </c>
      <c r="D58" s="269">
        <f>SUM(D46:D56)</f>
        <v>0</v>
      </c>
      <c r="E58" s="270">
        <f>SUM(E47:E56)</f>
        <v>0</v>
      </c>
    </row>
    <row r="59" spans="2:5" ht="15.75">
      <c r="B59" s="267" t="s">
        <v>818</v>
      </c>
      <c r="C59" s="269">
        <f>C44+C58</f>
        <v>0</v>
      </c>
      <c r="D59" s="269">
        <f>D44+D58</f>
        <v>0</v>
      </c>
      <c r="E59" s="270">
        <f>E44+E58</f>
        <v>0</v>
      </c>
    </row>
    <row r="60" spans="2:5" ht="15.75">
      <c r="B60" s="153" t="s">
        <v>820</v>
      </c>
      <c r="C60" s="277"/>
      <c r="D60" s="277"/>
      <c r="E60" s="66"/>
    </row>
    <row r="61" spans="2:5" ht="15.75">
      <c r="B61" s="276"/>
      <c r="C61" s="260"/>
      <c r="D61" s="260"/>
      <c r="E61" s="68"/>
    </row>
    <row r="62" spans="2:5" ht="15.75">
      <c r="B62" s="276"/>
      <c r="C62" s="260"/>
      <c r="D62" s="260"/>
      <c r="E62" s="68"/>
    </row>
    <row r="63" spans="2:5" ht="15.75">
      <c r="B63" s="276"/>
      <c r="C63" s="260"/>
      <c r="D63" s="260"/>
      <c r="E63" s="68"/>
    </row>
    <row r="64" spans="2:5" ht="15.75">
      <c r="B64" s="276"/>
      <c r="C64" s="260"/>
      <c r="D64" s="260"/>
      <c r="E64" s="68"/>
    </row>
    <row r="65" spans="2:5" ht="15.75">
      <c r="B65" s="276"/>
      <c r="C65" s="260"/>
      <c r="D65" s="260"/>
      <c r="E65" s="68"/>
    </row>
    <row r="66" spans="2:5" ht="15.75">
      <c r="B66" s="277" t="s">
        <v>48</v>
      </c>
      <c r="C66" s="260"/>
      <c r="D66" s="260"/>
      <c r="E66" s="83">
        <f>nhood!E12</f>
      </c>
    </row>
    <row r="67" spans="2:5" ht="15.75">
      <c r="B67" s="277" t="s">
        <v>49</v>
      </c>
      <c r="C67" s="260"/>
      <c r="D67" s="260"/>
      <c r="E67" s="68"/>
    </row>
    <row r="68" spans="2:5" ht="15.75">
      <c r="B68" s="277" t="s">
        <v>139</v>
      </c>
      <c r="C68" s="265">
        <f>IF(C69*0.1&lt;C67,"Exceed 10% Rule","")</f>
      </c>
      <c r="D68" s="265">
        <f>IF(D69*0.1&lt;D67,"Exceed 10% Rule","")</f>
      </c>
      <c r="E68" s="305">
        <f>IF(E69*0.1&lt;E67,"Exceed 10% Rule","")</f>
      </c>
    </row>
    <row r="69" spans="2:5" ht="15.75">
      <c r="B69" s="267" t="s">
        <v>824</v>
      </c>
      <c r="C69" s="269">
        <f>SUM(C61:C67)</f>
        <v>0</v>
      </c>
      <c r="D69" s="269">
        <f>SUM(D61:D67)</f>
        <v>0</v>
      </c>
      <c r="E69" s="270">
        <f>SUM(E61:E67)</f>
        <v>0</v>
      </c>
    </row>
    <row r="70" spans="2:5" ht="15.75">
      <c r="B70" s="153" t="s">
        <v>933</v>
      </c>
      <c r="C70" s="273">
        <f>C59-C69</f>
        <v>0</v>
      </c>
      <c r="D70" s="273">
        <f>D59-D69</f>
        <v>0</v>
      </c>
      <c r="E70" s="290" t="s">
        <v>800</v>
      </c>
    </row>
    <row r="71" spans="2:6" ht="15.75">
      <c r="B71" s="139" t="str">
        <f>CONCATENATE("",E1-2,"/",E1-1," Budget Authority Amount:")</f>
        <v>2010/2011 Budget Authority Amount:</v>
      </c>
      <c r="C71" s="244">
        <f>inputOth!B67</f>
        <v>0</v>
      </c>
      <c r="D71" s="244">
        <f>inputPrYr!D24</f>
        <v>0</v>
      </c>
      <c r="E71" s="290" t="s">
        <v>800</v>
      </c>
      <c r="F71" s="279"/>
    </row>
    <row r="72" spans="2:6" ht="15.75">
      <c r="B72" s="139"/>
      <c r="C72" s="731" t="s">
        <v>664</v>
      </c>
      <c r="D72" s="732"/>
      <c r="E72" s="68"/>
      <c r="F72" s="279">
        <f>IF(E69/0.95-E69&lt;E72,"Exceeds 5%","")</f>
      </c>
    </row>
    <row r="73" spans="2:5" ht="15.75">
      <c r="B73" s="549" t="str">
        <f>CONCATENATE(C92,"     ",D92)</f>
        <v>     </v>
      </c>
      <c r="C73" s="733" t="s">
        <v>665</v>
      </c>
      <c r="D73" s="734"/>
      <c r="E73" s="231">
        <f>E69+E72</f>
        <v>0</v>
      </c>
    </row>
    <row r="74" spans="2:5" ht="15.75">
      <c r="B74" s="549" t="str">
        <f>CONCATENATE(C93,"     ",D93)</f>
        <v>     </v>
      </c>
      <c r="C74" s="280"/>
      <c r="D74" s="172" t="s">
        <v>825</v>
      </c>
      <c r="E74" s="83">
        <f>IF(E73-E59&gt;0,E73-E59,0)</f>
        <v>0</v>
      </c>
    </row>
    <row r="75" spans="2:5" ht="15.75">
      <c r="B75" s="172"/>
      <c r="C75" s="397" t="s">
        <v>663</v>
      </c>
      <c r="D75" s="398">
        <f>inputOth!$E$48</f>
        <v>0.06</v>
      </c>
      <c r="E75" s="231">
        <f>ROUND(IF(D75&gt;0,(E74*D75),0),0)</f>
        <v>0</v>
      </c>
    </row>
    <row r="76" spans="2:5" ht="15.75">
      <c r="B76" s="48"/>
      <c r="C76" s="735" t="str">
        <f>CONCATENATE("Amount of  ",$E$1-1," Ad Valorem Tax")</f>
        <v>Amount of  2011 Ad Valorem Tax</v>
      </c>
      <c r="D76" s="736"/>
      <c r="E76" s="295">
        <f>E74+E75</f>
        <v>0</v>
      </c>
    </row>
    <row r="77" spans="2:5" ht="15.75">
      <c r="B77" s="48"/>
      <c r="C77" s="48"/>
      <c r="D77" s="48"/>
      <c r="E77" s="48"/>
    </row>
    <row r="78" spans="2:5" ht="15.75">
      <c r="B78" s="416" t="s">
        <v>827</v>
      </c>
      <c r="C78" s="285"/>
      <c r="D78" s="48"/>
      <c r="E78" s="48"/>
    </row>
    <row r="90" spans="3:4" ht="15.75" hidden="1">
      <c r="C90" s="548">
        <f>IF(C32&gt;C34,"See Tab A","")</f>
      </c>
      <c r="D90" s="548">
        <f>IF(D30&gt;D34,"See Tab C","")</f>
      </c>
    </row>
    <row r="91" spans="3:4" ht="15.75" hidden="1">
      <c r="C91" s="548">
        <f>IF(C33&lt;0,"See Tab B","")</f>
      </c>
      <c r="D91" s="548">
        <f>IF(D33&lt;0,"See Tab D","")</f>
      </c>
    </row>
    <row r="92" spans="3:4" ht="15.75" hidden="1">
      <c r="C92" s="548">
        <f>IF(C67&gt;C71,"See Tab A","")</f>
      </c>
      <c r="D92" s="548">
        <f>IF(D67&gt;D71,"See Tab C","")</f>
      </c>
    </row>
    <row r="93" spans="3:4" ht="15.75" hidden="1">
      <c r="C93" s="548">
        <f>IF(C70&lt;0,"See Tab B","")</f>
      </c>
      <c r="D93" s="548">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7" operator="greaterThan" stopIfTrue="1">
      <formula>$E$69*0.1</formula>
    </cfRule>
  </conditionalFormatting>
  <conditionalFormatting sqref="E72">
    <cfRule type="cellIs" priority="4" dxfId="7" operator="greaterThan" stopIfTrue="1">
      <formula>$E$69/0.95-$E$69</formula>
    </cfRule>
  </conditionalFormatting>
  <conditionalFormatting sqref="E30">
    <cfRule type="cellIs" priority="5" dxfId="7" operator="greaterThan" stopIfTrue="1">
      <formula>$E$32*0.1</formula>
    </cfRule>
  </conditionalFormatting>
  <conditionalFormatting sqref="E35">
    <cfRule type="cellIs" priority="6" dxfId="7" operator="greaterThan" stopIfTrue="1">
      <formula>$E$32/0.95-$E$32</formula>
    </cfRule>
  </conditionalFormatting>
  <conditionalFormatting sqref="C30">
    <cfRule type="cellIs" priority="7" dxfId="0" operator="greaterThan" stopIfTrue="1">
      <formula>$C$32*0.1</formula>
    </cfRule>
  </conditionalFormatting>
  <conditionalFormatting sqref="D30">
    <cfRule type="cellIs" priority="8" dxfId="0" operator="greaterThan" stopIfTrue="1">
      <formula>$D$32*0.1</formula>
    </cfRule>
  </conditionalFormatting>
  <conditionalFormatting sqref="D32">
    <cfRule type="cellIs" priority="9" dxfId="0" operator="greaterThan" stopIfTrue="1">
      <formula>$D$34</formula>
    </cfRule>
  </conditionalFormatting>
  <conditionalFormatting sqref="C32">
    <cfRule type="cellIs" priority="10" dxfId="0" operator="greaterThan" stopIfTrue="1">
      <formula>$C$34</formula>
    </cfRule>
  </conditionalFormatting>
  <conditionalFormatting sqref="C33 C70">
    <cfRule type="cellIs" priority="11" dxfId="0" operator="lessThan" stopIfTrue="1">
      <formula>0</formula>
    </cfRule>
  </conditionalFormatting>
  <conditionalFormatting sqref="C67">
    <cfRule type="cellIs" priority="12" dxfId="0" operator="greaterThan" stopIfTrue="1">
      <formula>$C$69*0.1</formula>
    </cfRule>
  </conditionalFormatting>
  <conditionalFormatting sqref="D67">
    <cfRule type="cellIs" priority="13" dxfId="0" operator="greaterThan" stopIfTrue="1">
      <formula>$D$69*0.1</formula>
    </cfRule>
  </conditionalFormatting>
  <conditionalFormatting sqref="D69">
    <cfRule type="cellIs" priority="14" dxfId="0" operator="greaterThan" stopIfTrue="1">
      <formula>$D$71</formula>
    </cfRule>
  </conditionalFormatting>
  <conditionalFormatting sqref="C69">
    <cfRule type="cellIs" priority="15" dxfId="0" operator="greaterThan" stopIfTrue="1">
      <formula>$C$71</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6">
    <cfRule type="cellIs" priority="18" dxfId="0" operator="greaterThan" stopIfTrue="1">
      <formula>$D$58*0.1</formula>
    </cfRule>
  </conditionalFormatting>
  <conditionalFormatting sqref="C56">
    <cfRule type="cellIs" priority="19" dxfId="0" operator="greaterThan" stopIfTrue="1">
      <formula>$C$58*0.1</formula>
    </cfRule>
  </conditionalFormatting>
  <conditionalFormatting sqref="E56">
    <cfRule type="cellIs" priority="20" dxfId="7" operator="greaterThan" stopIfTrue="1">
      <formula>$E$58*0.1+E76</formula>
    </cfRule>
  </conditionalFormatting>
  <conditionalFormatting sqref="E19">
    <cfRule type="cellIs" priority="21" dxfId="7" operator="greaterThan" stopIfTrue="1">
      <formula>$E$21*0.1+E39</formula>
    </cfRule>
  </conditionalFormatting>
  <conditionalFormatting sqref="D70 D33">
    <cfRule type="cellIs" priority="2" dxfId="1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1">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878</v>
      </c>
      <c r="C3" s="208"/>
      <c r="D3" s="208"/>
      <c r="E3" s="293"/>
    </row>
    <row r="4" spans="2:5" ht="15.75">
      <c r="B4" s="48"/>
      <c r="C4" s="294"/>
      <c r="D4" s="294"/>
      <c r="E4" s="294"/>
    </row>
    <row r="5" spans="2:5" ht="15.75">
      <c r="B5" s="53" t="s">
        <v>811</v>
      </c>
      <c r="C5" s="594" t="s">
        <v>830</v>
      </c>
      <c r="D5" s="595" t="s">
        <v>959</v>
      </c>
      <c r="E5" s="596" t="s">
        <v>960</v>
      </c>
    </row>
    <row r="6" spans="2:5" ht="15.75">
      <c r="B6" s="555">
        <f>inputPrYr!B25</f>
        <v>0</v>
      </c>
      <c r="C6" s="389">
        <f>E1-2</f>
        <v>2010</v>
      </c>
      <c r="D6" s="389">
        <f>E1-1</f>
        <v>2011</v>
      </c>
      <c r="E6" s="254">
        <f>E1</f>
        <v>2012</v>
      </c>
    </row>
    <row r="7" spans="2:5" ht="15.75">
      <c r="B7" s="255" t="s">
        <v>932</v>
      </c>
      <c r="C7" s="260"/>
      <c r="D7" s="258">
        <f>C33</f>
        <v>0</v>
      </c>
      <c r="E7" s="231">
        <f>D33</f>
        <v>0</v>
      </c>
    </row>
    <row r="8" spans="2:5" ht="15.75">
      <c r="B8" s="259" t="s">
        <v>934</v>
      </c>
      <c r="C8" s="162"/>
      <c r="D8" s="162"/>
      <c r="E8" s="88"/>
    </row>
    <row r="9" spans="2:5" ht="15.75">
      <c r="B9" s="153" t="s">
        <v>812</v>
      </c>
      <c r="C9" s="260"/>
      <c r="D9" s="258">
        <f>inputPrYr!E24</f>
        <v>0</v>
      </c>
      <c r="E9" s="290" t="s">
        <v>800</v>
      </c>
    </row>
    <row r="10" spans="2:5" ht="15.75">
      <c r="B10" s="153" t="s">
        <v>813</v>
      </c>
      <c r="C10" s="260"/>
      <c r="D10" s="260"/>
      <c r="E10" s="68"/>
    </row>
    <row r="11" spans="2:5" ht="15.75">
      <c r="B11" s="153" t="s">
        <v>814</v>
      </c>
      <c r="C11" s="260"/>
      <c r="D11" s="260"/>
      <c r="E11" s="231" t="str">
        <f>mvalloc!C14</f>
        <v>  </v>
      </c>
    </row>
    <row r="12" spans="2:5" ht="15.75">
      <c r="B12" s="153" t="s">
        <v>815</v>
      </c>
      <c r="C12" s="260"/>
      <c r="D12" s="260"/>
      <c r="E12" s="231" t="str">
        <f>mvalloc!D14</f>
        <v> </v>
      </c>
    </row>
    <row r="13" spans="2:5" ht="15.75">
      <c r="B13" s="162" t="s">
        <v>910</v>
      </c>
      <c r="C13" s="260"/>
      <c r="D13" s="260"/>
      <c r="E13" s="231" t="str">
        <f>mvalloc!E14</f>
        <v> </v>
      </c>
    </row>
    <row r="14" spans="2:5" ht="15.75">
      <c r="B14" s="291" t="s">
        <v>977</v>
      </c>
      <c r="C14" s="260"/>
      <c r="D14" s="260"/>
      <c r="E14" s="231" t="str">
        <f>mvalloc!F14</f>
        <v> </v>
      </c>
    </row>
    <row r="15" spans="2:5" ht="15.75">
      <c r="B15" s="276"/>
      <c r="C15" s="260"/>
      <c r="D15" s="260"/>
      <c r="E15" s="68"/>
    </row>
    <row r="16" spans="2:5" ht="15.75">
      <c r="B16" s="276"/>
      <c r="C16" s="260"/>
      <c r="D16" s="260"/>
      <c r="E16" s="68"/>
    </row>
    <row r="17" spans="2:5" ht="15.75">
      <c r="B17" s="276"/>
      <c r="C17" s="260"/>
      <c r="D17" s="260"/>
      <c r="E17" s="68"/>
    </row>
    <row r="18" spans="2:5" ht="15.75">
      <c r="B18" s="264" t="s">
        <v>816</v>
      </c>
      <c r="C18" s="260"/>
      <c r="D18" s="260"/>
      <c r="E18" s="68"/>
    </row>
    <row r="19" spans="2:5" ht="15.75">
      <c r="B19" s="162" t="s">
        <v>49</v>
      </c>
      <c r="C19" s="260"/>
      <c r="D19" s="260"/>
      <c r="E19" s="68"/>
    </row>
    <row r="20" spans="2:5" ht="15.75">
      <c r="B20" s="255" t="s">
        <v>138</v>
      </c>
      <c r="C20" s="265">
        <f>IF(C21*0.1&lt;C19,"Exceed 10% Rule","")</f>
      </c>
      <c r="D20" s="265">
        <f>IF(D21*0.1&lt;D19,"Exceed 10% Rule","")</f>
      </c>
      <c r="E20" s="305">
        <f>IF(E21*0.1+E39&lt;E19,"Exceed 10% Rule","")</f>
      </c>
    </row>
    <row r="21" spans="2:5" ht="15.75">
      <c r="B21" s="267" t="s">
        <v>817</v>
      </c>
      <c r="C21" s="269">
        <f>SUM(C9:C19)</f>
        <v>0</v>
      </c>
      <c r="D21" s="269">
        <f>SUM(D9:D19)</f>
        <v>0</v>
      </c>
      <c r="E21" s="270">
        <f>SUM(E9:E19)</f>
        <v>0</v>
      </c>
    </row>
    <row r="22" spans="2:5" ht="15.75">
      <c r="B22" s="267" t="s">
        <v>818</v>
      </c>
      <c r="C22" s="269">
        <f>C7+C21</f>
        <v>0</v>
      </c>
      <c r="D22" s="269">
        <f>D7+D21</f>
        <v>0</v>
      </c>
      <c r="E22" s="270">
        <f>E7+E21</f>
        <v>0</v>
      </c>
    </row>
    <row r="23" spans="2:5" ht="15.75">
      <c r="B23" s="153" t="s">
        <v>820</v>
      </c>
      <c r="C23" s="277"/>
      <c r="D23" s="277"/>
      <c r="E23" s="66"/>
    </row>
    <row r="24" spans="2:5" ht="15.75">
      <c r="B24" s="276"/>
      <c r="C24" s="260"/>
      <c r="D24" s="260"/>
      <c r="E24" s="68"/>
    </row>
    <row r="25" spans="2:5" ht="15.75">
      <c r="B25" s="276"/>
      <c r="C25" s="260"/>
      <c r="D25" s="260"/>
      <c r="E25" s="68"/>
    </row>
    <row r="26" spans="2:5" ht="15.75">
      <c r="B26" s="276"/>
      <c r="C26" s="260"/>
      <c r="D26" s="260"/>
      <c r="E26" s="68"/>
    </row>
    <row r="27" spans="2:5" ht="15.75">
      <c r="B27" s="276"/>
      <c r="C27" s="260"/>
      <c r="D27" s="260"/>
      <c r="E27" s="68"/>
    </row>
    <row r="28" spans="2:5" ht="15.75">
      <c r="B28" s="276"/>
      <c r="C28" s="260"/>
      <c r="D28" s="260"/>
      <c r="E28" s="68"/>
    </row>
    <row r="29" spans="2:5" ht="15.75">
      <c r="B29" s="277" t="s">
        <v>48</v>
      </c>
      <c r="C29" s="260"/>
      <c r="D29" s="260"/>
      <c r="E29" s="83">
        <f>nhood!E13</f>
      </c>
    </row>
    <row r="30" spans="2:5" ht="15.75">
      <c r="B30" s="277" t="s">
        <v>49</v>
      </c>
      <c r="C30" s="260"/>
      <c r="D30" s="260"/>
      <c r="E30" s="68"/>
    </row>
    <row r="31" spans="2:5" ht="15.75">
      <c r="B31" s="277" t="s">
        <v>139</v>
      </c>
      <c r="C31" s="265">
        <f>IF(C32*0.1&lt;C30,"Exceed 10% Rule","")</f>
      </c>
      <c r="D31" s="265">
        <f>IF(D32*0.1&lt;D30,"Exceed 10% Rule","")</f>
      </c>
      <c r="E31" s="305">
        <f>IF(E32*0.1&lt;E30,"Exceed 10% Rule","")</f>
      </c>
    </row>
    <row r="32" spans="2:5" ht="15.75">
      <c r="B32" s="267" t="s">
        <v>824</v>
      </c>
      <c r="C32" s="269">
        <f>SUM(C24:C30)</f>
        <v>0</v>
      </c>
      <c r="D32" s="269">
        <f>SUM(D24:D30)</f>
        <v>0</v>
      </c>
      <c r="E32" s="270">
        <f>SUM(E24:E30)</f>
        <v>0</v>
      </c>
    </row>
    <row r="33" spans="2:5" ht="15.75">
      <c r="B33" s="153" t="s">
        <v>933</v>
      </c>
      <c r="C33" s="273">
        <f>C22-C32</f>
        <v>0</v>
      </c>
      <c r="D33" s="273">
        <f>D22-D32</f>
        <v>0</v>
      </c>
      <c r="E33" s="290" t="s">
        <v>800</v>
      </c>
    </row>
    <row r="34" spans="2:6" ht="15.75">
      <c r="B34" s="139" t="str">
        <f>CONCATENATE("",E1-2,"/",E1-1," Budget Authority Amount:")</f>
        <v>2010/2011 Budget Authority Amount:</v>
      </c>
      <c r="C34" s="244">
        <f>inputOth!B68</f>
        <v>0</v>
      </c>
      <c r="D34" s="244">
        <f>inputPrYr!D25</f>
        <v>0</v>
      </c>
      <c r="E34" s="290" t="s">
        <v>800</v>
      </c>
      <c r="F34" s="279"/>
    </row>
    <row r="35" spans="2:6" ht="15.75">
      <c r="B35" s="139"/>
      <c r="C35" s="731" t="s">
        <v>664</v>
      </c>
      <c r="D35" s="732"/>
      <c r="E35" s="68"/>
      <c r="F35" s="279">
        <f>IF(E32/0.95-E32&lt;E35,"Exceeds 5%","")</f>
      </c>
    </row>
    <row r="36" spans="2:5" ht="15.75">
      <c r="B36" s="549" t="str">
        <f>CONCATENATE(C90,"     ",D90)</f>
        <v>     </v>
      </c>
      <c r="C36" s="733" t="s">
        <v>665</v>
      </c>
      <c r="D36" s="734"/>
      <c r="E36" s="231">
        <f>E32+E35</f>
        <v>0</v>
      </c>
    </row>
    <row r="37" spans="2:5" ht="15.75">
      <c r="B37" s="549" t="str">
        <f>CONCATENATE(C91,"     ",D91)</f>
        <v>     </v>
      </c>
      <c r="C37" s="280"/>
      <c r="D37" s="172" t="s">
        <v>825</v>
      </c>
      <c r="E37" s="83">
        <f>IF(E36-E22&gt;0,E36-E22,0)</f>
        <v>0</v>
      </c>
    </row>
    <row r="38" spans="2:5" ht="15.75">
      <c r="B38" s="172"/>
      <c r="C38" s="397" t="s">
        <v>663</v>
      </c>
      <c r="D38" s="398">
        <f>inputOth!$E$48</f>
        <v>0.06</v>
      </c>
      <c r="E38" s="231">
        <f>ROUND(IF(D38&gt;0,(E37*D38),0),0)</f>
        <v>0</v>
      </c>
    </row>
    <row r="39" spans="2:5" ht="15.75">
      <c r="B39" s="99"/>
      <c r="C39" s="735" t="str">
        <f>CONCATENATE("Amount of  ",$E$1-1," Ad Valorem Tax")</f>
        <v>Amount of  2011 Ad Valorem Tax</v>
      </c>
      <c r="D39" s="736"/>
      <c r="E39" s="295">
        <f>E37+E38</f>
        <v>0</v>
      </c>
    </row>
    <row r="40" spans="2:5" ht="15.75">
      <c r="B40" s="48"/>
      <c r="C40" s="99"/>
      <c r="D40" s="99"/>
      <c r="E40" s="48"/>
    </row>
    <row r="41" spans="2:5" ht="15.75">
      <c r="B41" s="53" t="s">
        <v>811</v>
      </c>
      <c r="C41" s="294"/>
      <c r="D41" s="294"/>
      <c r="E41" s="294"/>
    </row>
    <row r="42" spans="2:5" ht="15.75">
      <c r="B42" s="48"/>
      <c r="C42" s="594" t="s">
        <v>830</v>
      </c>
      <c r="D42" s="595" t="s">
        <v>959</v>
      </c>
      <c r="E42" s="596" t="s">
        <v>960</v>
      </c>
    </row>
    <row r="43" spans="2:5" ht="15.75">
      <c r="B43" s="555">
        <f>inputPrYr!B26</f>
        <v>0</v>
      </c>
      <c r="C43" s="389">
        <f>E1-2</f>
        <v>2010</v>
      </c>
      <c r="D43" s="389">
        <f>E1-1</f>
        <v>2011</v>
      </c>
      <c r="E43" s="254">
        <f>E1</f>
        <v>2012</v>
      </c>
    </row>
    <row r="44" spans="2:5" ht="15.75">
      <c r="B44" s="255" t="s">
        <v>932</v>
      </c>
      <c r="C44" s="260"/>
      <c r="D44" s="258">
        <f>C70</f>
        <v>0</v>
      </c>
      <c r="E44" s="231">
        <f>D70</f>
        <v>0</v>
      </c>
    </row>
    <row r="45" spans="2:5" ht="15.75">
      <c r="B45" s="259" t="s">
        <v>934</v>
      </c>
      <c r="C45" s="162"/>
      <c r="D45" s="162"/>
      <c r="E45" s="88"/>
    </row>
    <row r="46" spans="2:5" ht="15.75">
      <c r="B46" s="153" t="s">
        <v>812</v>
      </c>
      <c r="C46" s="260"/>
      <c r="D46" s="258">
        <f>inputPrYr!E25</f>
        <v>0</v>
      </c>
      <c r="E46" s="290" t="s">
        <v>800</v>
      </c>
    </row>
    <row r="47" spans="2:5" ht="15.75">
      <c r="B47" s="153" t="s">
        <v>813</v>
      </c>
      <c r="C47" s="260"/>
      <c r="D47" s="260"/>
      <c r="E47" s="68"/>
    </row>
    <row r="48" spans="2:5" ht="15.75">
      <c r="B48" s="153" t="s">
        <v>814</v>
      </c>
      <c r="C48" s="260"/>
      <c r="D48" s="260"/>
      <c r="E48" s="231" t="str">
        <f>mvalloc!C15</f>
        <v>  </v>
      </c>
    </row>
    <row r="49" spans="2:5" ht="15.75">
      <c r="B49" s="153" t="s">
        <v>815</v>
      </c>
      <c r="C49" s="260"/>
      <c r="D49" s="260"/>
      <c r="E49" s="231" t="str">
        <f>mvalloc!D15</f>
        <v> </v>
      </c>
    </row>
    <row r="50" spans="2:5" ht="15.75">
      <c r="B50" s="162" t="s">
        <v>910</v>
      </c>
      <c r="C50" s="260"/>
      <c r="D50" s="260"/>
      <c r="E50" s="231" t="str">
        <f>mvalloc!E15</f>
        <v> </v>
      </c>
    </row>
    <row r="51" spans="2:5" ht="15.75">
      <c r="B51" s="291" t="s">
        <v>977</v>
      </c>
      <c r="C51" s="260"/>
      <c r="D51" s="260"/>
      <c r="E51" s="231" t="str">
        <f>mvalloc!F15</f>
        <v> </v>
      </c>
    </row>
    <row r="52" spans="2:5" ht="15.75">
      <c r="B52" s="276"/>
      <c r="C52" s="260"/>
      <c r="D52" s="260"/>
      <c r="E52" s="68"/>
    </row>
    <row r="53" spans="2:5" ht="15.75">
      <c r="B53" s="276"/>
      <c r="C53" s="260"/>
      <c r="D53" s="260"/>
      <c r="E53" s="68"/>
    </row>
    <row r="54" spans="2:5" ht="15.75">
      <c r="B54" s="276"/>
      <c r="C54" s="260"/>
      <c r="D54" s="260"/>
      <c r="E54" s="68"/>
    </row>
    <row r="55" spans="2:5" ht="15.75">
      <c r="B55" s="264" t="s">
        <v>816</v>
      </c>
      <c r="C55" s="260"/>
      <c r="D55" s="260"/>
      <c r="E55" s="68"/>
    </row>
    <row r="56" spans="2:5" ht="15.75">
      <c r="B56" s="162" t="s">
        <v>49</v>
      </c>
      <c r="C56" s="260"/>
      <c r="D56" s="260"/>
      <c r="E56" s="68"/>
    </row>
    <row r="57" spans="2:5" ht="15.75">
      <c r="B57" s="255" t="s">
        <v>138</v>
      </c>
      <c r="C57" s="265">
        <f>IF(C58*0.1&lt;C56,"Exceed 10% Rule","")</f>
      </c>
      <c r="D57" s="265">
        <f>IF(D58*0.1&lt;D56,"Exceed 10% Rule","")</f>
      </c>
      <c r="E57" s="305">
        <f>IF(E58*0.1+E76&lt;E56,"Exceed 10% Rule","")</f>
      </c>
    </row>
    <row r="58" spans="2:5" ht="15.75">
      <c r="B58" s="267" t="s">
        <v>817</v>
      </c>
      <c r="C58" s="269">
        <f>SUM(C46:C56)</f>
        <v>0</v>
      </c>
      <c r="D58" s="269">
        <f>SUM(D46:D56)</f>
        <v>0</v>
      </c>
      <c r="E58" s="270">
        <f>SUM(E46:E56)</f>
        <v>0</v>
      </c>
    </row>
    <row r="59" spans="2:5" ht="15.75">
      <c r="B59" s="267" t="s">
        <v>818</v>
      </c>
      <c r="C59" s="269">
        <f>C44+C58</f>
        <v>0</v>
      </c>
      <c r="D59" s="269">
        <f>D44+D58</f>
        <v>0</v>
      </c>
      <c r="E59" s="270">
        <f>E44+E58</f>
        <v>0</v>
      </c>
    </row>
    <row r="60" spans="2:5" ht="15.75">
      <c r="B60" s="153" t="s">
        <v>820</v>
      </c>
      <c r="C60" s="277"/>
      <c r="D60" s="277"/>
      <c r="E60" s="66"/>
    </row>
    <row r="61" spans="2:5" ht="15.75">
      <c r="B61" s="276"/>
      <c r="C61" s="260"/>
      <c r="D61" s="260"/>
      <c r="E61" s="68"/>
    </row>
    <row r="62" spans="2:5" ht="15.75">
      <c r="B62" s="276"/>
      <c r="C62" s="260"/>
      <c r="D62" s="260"/>
      <c r="E62" s="68"/>
    </row>
    <row r="63" spans="2:5" ht="15.75">
      <c r="B63" s="276"/>
      <c r="C63" s="260"/>
      <c r="D63" s="260"/>
      <c r="E63" s="68"/>
    </row>
    <row r="64" spans="2:5" ht="15.75">
      <c r="B64" s="276"/>
      <c r="C64" s="260"/>
      <c r="D64" s="260"/>
      <c r="E64" s="68"/>
    </row>
    <row r="65" spans="2:5" ht="15.75">
      <c r="B65" s="276"/>
      <c r="C65" s="260"/>
      <c r="D65" s="260"/>
      <c r="E65" s="395"/>
    </row>
    <row r="66" spans="2:5" ht="15.75">
      <c r="B66" s="277" t="s">
        <v>48</v>
      </c>
      <c r="C66" s="260"/>
      <c r="D66" s="260"/>
      <c r="E66" s="83">
        <f>nhood!E14</f>
      </c>
    </row>
    <row r="67" spans="2:5" ht="15.75">
      <c r="B67" s="277" t="s">
        <v>49</v>
      </c>
      <c r="C67" s="260"/>
      <c r="D67" s="260"/>
      <c r="E67" s="68"/>
    </row>
    <row r="68" spans="2:5" ht="15.75">
      <c r="B68" s="277" t="s">
        <v>139</v>
      </c>
      <c r="C68" s="265">
        <f>IF(C69*0.1&lt;C67,"Exceed 10% Rule","")</f>
      </c>
      <c r="D68" s="265">
        <f>IF(D69*0.1&lt;D67,"Exceed 10% Rule","")</f>
      </c>
      <c r="E68" s="305">
        <f>IF(E69*0.1&lt;E67,"Exceed 10% Rule","")</f>
      </c>
    </row>
    <row r="69" spans="2:5" ht="15.75">
      <c r="B69" s="267" t="s">
        <v>824</v>
      </c>
      <c r="C69" s="269">
        <f>SUM(C61:C67)</f>
        <v>0</v>
      </c>
      <c r="D69" s="269">
        <f>SUM(D61:D67)</f>
        <v>0</v>
      </c>
      <c r="E69" s="270">
        <f>SUM(E61:E67)</f>
        <v>0</v>
      </c>
    </row>
    <row r="70" spans="2:5" ht="15.75">
      <c r="B70" s="153" t="s">
        <v>933</v>
      </c>
      <c r="C70" s="273">
        <f>C59-C69</f>
        <v>0</v>
      </c>
      <c r="D70" s="273">
        <f>D59-D69</f>
        <v>0</v>
      </c>
      <c r="E70" s="290" t="s">
        <v>800</v>
      </c>
    </row>
    <row r="71" spans="2:6" ht="15.75">
      <c r="B71" s="139" t="str">
        <f>CONCATENATE("",E1-2,"/",E1-1," Budget Authority Amount:")</f>
        <v>2010/2011 Budget Authority Amount:</v>
      </c>
      <c r="C71" s="244">
        <f>inputOth!B69</f>
        <v>0</v>
      </c>
      <c r="D71" s="244">
        <f>inputPrYr!E26</f>
        <v>0</v>
      </c>
      <c r="E71" s="290" t="s">
        <v>800</v>
      </c>
      <c r="F71" s="279"/>
    </row>
    <row r="72" spans="2:6" ht="15.75">
      <c r="B72" s="139"/>
      <c r="C72" s="731" t="s">
        <v>664</v>
      </c>
      <c r="D72" s="732"/>
      <c r="E72" s="68"/>
      <c r="F72" s="279">
        <f>IF(E69/0.95-E69&lt;E72,"Exceeds 5%","")</f>
      </c>
    </row>
    <row r="73" spans="2:5" ht="15.75">
      <c r="B73" s="549" t="str">
        <f>CONCATENATE(C92,"     ",D92)</f>
        <v>     </v>
      </c>
      <c r="C73" s="733" t="s">
        <v>665</v>
      </c>
      <c r="D73" s="734"/>
      <c r="E73" s="231">
        <f>E69+E72</f>
        <v>0</v>
      </c>
    </row>
    <row r="74" spans="2:5" ht="15.75">
      <c r="B74" s="549" t="str">
        <f>CONCATENATE(C93,"     ",D93)</f>
        <v>     </v>
      </c>
      <c r="C74" s="280"/>
      <c r="D74" s="172" t="s">
        <v>825</v>
      </c>
      <c r="E74" s="83">
        <f>IF(E73-E59&gt;0,E73-E59,0)</f>
        <v>0</v>
      </c>
    </row>
    <row r="75" spans="2:5" ht="15.75">
      <c r="B75" s="139"/>
      <c r="C75" s="397" t="s">
        <v>663</v>
      </c>
      <c r="D75" s="398">
        <f>inputOth!$E$48</f>
        <v>0.06</v>
      </c>
      <c r="E75" s="231">
        <f>ROUND(IF(D75&gt;0,(E74*D75),0),0)</f>
        <v>0</v>
      </c>
    </row>
    <row r="76" spans="2:5" ht="15.75">
      <c r="B76" s="172"/>
      <c r="C76" s="735" t="str">
        <f>CONCATENATE("Amount of  ",$E$1-1," Ad Valorem Tax")</f>
        <v>Amount of  2011 Ad Valorem Tax</v>
      </c>
      <c r="D76" s="736"/>
      <c r="E76" s="295">
        <f>E74+E75</f>
        <v>0</v>
      </c>
    </row>
    <row r="77" spans="2:5" ht="15.75">
      <c r="B77" s="48"/>
      <c r="C77" s="48"/>
      <c r="D77" s="48"/>
      <c r="E77" s="48"/>
    </row>
    <row r="78" spans="2:5" ht="15.75">
      <c r="B78" s="416" t="s">
        <v>827</v>
      </c>
      <c r="C78" s="285"/>
      <c r="D78" s="48"/>
      <c r="E78" s="48"/>
    </row>
    <row r="79" ht="15.75">
      <c r="B79" s="172"/>
    </row>
    <row r="90" spans="3:4" ht="15.75" hidden="1">
      <c r="C90" s="548">
        <f>IF(C32&gt;C34,"See Tab A","")</f>
      </c>
      <c r="D90" s="548">
        <f>IF(D30&gt;D34,"See Tab C","")</f>
      </c>
    </row>
    <row r="91" spans="3:4" ht="15.75" hidden="1">
      <c r="C91" s="548">
        <f>IF(C33&lt;0,"See Tab B","")</f>
      </c>
      <c r="D91" s="548">
        <f>IF(D33&lt;0,"See Tab D","")</f>
      </c>
    </row>
    <row r="92" spans="3:4" ht="15.75" hidden="1">
      <c r="C92" s="548">
        <f>IF(C67&gt;C71,"See Tab A","")</f>
      </c>
      <c r="D92" s="548">
        <f>IF(D67&gt;D71,"See Tab C","")</f>
      </c>
    </row>
    <row r="93" spans="3:4" ht="15.75" hidden="1">
      <c r="C93" s="548">
        <f>IF(C70&lt;0,"See Tab B","")</f>
      </c>
      <c r="D93" s="548">
        <f>IF(D70&lt;0,"See Tab D","")</f>
      </c>
    </row>
  </sheetData>
  <sheetProtection sheet="1"/>
  <mergeCells count="6">
    <mergeCell ref="C76:D76"/>
    <mergeCell ref="C39:D39"/>
    <mergeCell ref="C35:D35"/>
    <mergeCell ref="C36:D36"/>
    <mergeCell ref="C72:D72"/>
    <mergeCell ref="C73:D73"/>
  </mergeCells>
  <conditionalFormatting sqref="E30">
    <cfRule type="cellIs" priority="4" dxfId="7" operator="greaterThan" stopIfTrue="1">
      <formula>$E$32*0.1</formula>
    </cfRule>
  </conditionalFormatting>
  <conditionalFormatting sqref="E35">
    <cfRule type="cellIs" priority="5" dxfId="7" operator="greaterThan" stopIfTrue="1">
      <formula>$E$32/0.95-$E$32</formula>
    </cfRule>
  </conditionalFormatting>
  <conditionalFormatting sqref="E67">
    <cfRule type="cellIs" priority="6" dxfId="7" operator="greaterThan" stopIfTrue="1">
      <formula>$E$69*0.1</formula>
    </cfRule>
  </conditionalFormatting>
  <conditionalFormatting sqref="E72">
    <cfRule type="cellIs" priority="7" dxfId="7" operator="greaterThan" stopIfTrue="1">
      <formula>$E$69/0.95-$E$69</formula>
    </cfRule>
  </conditionalFormatting>
  <conditionalFormatting sqref="C30">
    <cfRule type="cellIs" priority="8" dxfId="0" operator="greaterThan" stopIfTrue="1">
      <formula>$C$32*0.1</formula>
    </cfRule>
  </conditionalFormatting>
  <conditionalFormatting sqref="D30">
    <cfRule type="cellIs" priority="9" dxfId="0" operator="greaterThan" stopIfTrue="1">
      <formula>$D$32*0.1</formula>
    </cfRule>
  </conditionalFormatting>
  <conditionalFormatting sqref="D32">
    <cfRule type="cellIs" priority="10" dxfId="0" operator="greaterThan" stopIfTrue="1">
      <formula>$D$34</formula>
    </cfRule>
  </conditionalFormatting>
  <conditionalFormatting sqref="C32">
    <cfRule type="cellIs" priority="11" dxfId="0" operator="greaterThan" stopIfTrue="1">
      <formula>$C$34</formula>
    </cfRule>
  </conditionalFormatting>
  <conditionalFormatting sqref="C33 C70">
    <cfRule type="cellIs" priority="12" dxfId="0" operator="lessThan" stopIfTrue="1">
      <formula>0</formula>
    </cfRule>
  </conditionalFormatting>
  <conditionalFormatting sqref="C67">
    <cfRule type="cellIs" priority="13" dxfId="0" operator="greaterThan" stopIfTrue="1">
      <formula>$C$69*0.1</formula>
    </cfRule>
  </conditionalFormatting>
  <conditionalFormatting sqref="D67">
    <cfRule type="cellIs" priority="14" dxfId="0" operator="greaterThan" stopIfTrue="1">
      <formula>$D$69*0.1</formula>
    </cfRule>
  </conditionalFormatting>
  <conditionalFormatting sqref="D69">
    <cfRule type="cellIs" priority="15" dxfId="0" operator="greaterThan" stopIfTrue="1">
      <formula>$D$71</formula>
    </cfRule>
  </conditionalFormatting>
  <conditionalFormatting sqref="C69">
    <cfRule type="cellIs" priority="16" dxfId="0" operator="greaterThan" stopIfTrue="1">
      <formula>$C$71</formula>
    </cfRule>
  </conditionalFormatting>
  <conditionalFormatting sqref="D19">
    <cfRule type="cellIs" priority="17" dxfId="0" operator="greaterThan" stopIfTrue="1">
      <formula>$D$21*0.1</formula>
    </cfRule>
  </conditionalFormatting>
  <conditionalFormatting sqref="C19">
    <cfRule type="cellIs" priority="18" dxfId="0" operator="greaterThan" stopIfTrue="1">
      <formula>$C$21*0.1</formula>
    </cfRule>
  </conditionalFormatting>
  <conditionalFormatting sqref="D56">
    <cfRule type="cellIs" priority="19" dxfId="0" operator="greaterThan" stopIfTrue="1">
      <formula>$D$58*0.1</formula>
    </cfRule>
  </conditionalFormatting>
  <conditionalFormatting sqref="C56">
    <cfRule type="cellIs" priority="20" dxfId="0" operator="greaterThan" stopIfTrue="1">
      <formula>$C$58*0.1</formula>
    </cfRule>
  </conditionalFormatting>
  <conditionalFormatting sqref="E19">
    <cfRule type="cellIs" priority="21" dxfId="7" operator="greaterThan" stopIfTrue="1">
      <formula>$E$21*0.1+E39</formula>
    </cfRule>
  </conditionalFormatting>
  <conditionalFormatting sqref="D70 D33">
    <cfRule type="cellIs" priority="3" dxfId="10" operator="lessThan" stopIfTrue="1">
      <formula>0</formula>
    </cfRule>
  </conditionalFormatting>
  <conditionalFormatting sqref="E56">
    <cfRule type="cellIs" priority="1" dxfId="10" operator="greaterThan" stopIfTrue="1">
      <formula>$E$58*0.1+$E$76</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58">
      <selection activeCell="C63" sqref="C63"/>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878</v>
      </c>
      <c r="C3" s="208"/>
      <c r="D3" s="208"/>
      <c r="E3" s="293"/>
    </row>
    <row r="4" spans="2:5" ht="15.75">
      <c r="B4" s="48"/>
      <c r="C4" s="294"/>
      <c r="D4" s="294"/>
      <c r="E4" s="294"/>
    </row>
    <row r="5" spans="2:5" ht="15.75">
      <c r="B5" s="53" t="s">
        <v>811</v>
      </c>
      <c r="C5" s="594" t="s">
        <v>830</v>
      </c>
      <c r="D5" s="595" t="s">
        <v>959</v>
      </c>
      <c r="E5" s="596" t="s">
        <v>960</v>
      </c>
    </row>
    <row r="6" spans="2:5" ht="15.75">
      <c r="B6" s="555">
        <f>inputPrYr!B27</f>
        <v>0</v>
      </c>
      <c r="C6" s="389">
        <f>E1-2</f>
        <v>2010</v>
      </c>
      <c r="D6" s="389">
        <f>E1-1</f>
        <v>2011</v>
      </c>
      <c r="E6" s="254">
        <f>E1</f>
        <v>2012</v>
      </c>
    </row>
    <row r="7" spans="2:5" ht="15.75">
      <c r="B7" s="255" t="s">
        <v>932</v>
      </c>
      <c r="C7" s="260"/>
      <c r="D7" s="258">
        <f>C33</f>
        <v>0</v>
      </c>
      <c r="E7" s="231">
        <f>D33</f>
        <v>0</v>
      </c>
    </row>
    <row r="8" spans="2:5" ht="15.75">
      <c r="B8" s="259" t="s">
        <v>934</v>
      </c>
      <c r="C8" s="162"/>
      <c r="D8" s="162"/>
      <c r="E8" s="88"/>
    </row>
    <row r="9" spans="2:5" ht="15.75">
      <c r="B9" s="153" t="s">
        <v>812</v>
      </c>
      <c r="C9" s="260"/>
      <c r="D9" s="258">
        <f>inputPrYr!E26</f>
        <v>0</v>
      </c>
      <c r="E9" s="290" t="s">
        <v>800</v>
      </c>
    </row>
    <row r="10" spans="2:5" ht="15.75">
      <c r="B10" s="153" t="s">
        <v>813</v>
      </c>
      <c r="C10" s="260"/>
      <c r="D10" s="260"/>
      <c r="E10" s="68"/>
    </row>
    <row r="11" spans="2:5" ht="15.75">
      <c r="B11" s="153" t="s">
        <v>814</v>
      </c>
      <c r="C11" s="260"/>
      <c r="D11" s="260"/>
      <c r="E11" s="231" t="str">
        <f>mvalloc!C16</f>
        <v>  </v>
      </c>
    </row>
    <row r="12" spans="2:5" ht="15.75">
      <c r="B12" s="153" t="s">
        <v>815</v>
      </c>
      <c r="C12" s="260"/>
      <c r="D12" s="260"/>
      <c r="E12" s="231" t="str">
        <f>mvalloc!D16</f>
        <v> </v>
      </c>
    </row>
    <row r="13" spans="2:5" ht="15.75">
      <c r="B13" s="162" t="s">
        <v>910</v>
      </c>
      <c r="C13" s="260"/>
      <c r="D13" s="260"/>
      <c r="E13" s="231" t="str">
        <f>mvalloc!E16</f>
        <v> </v>
      </c>
    </row>
    <row r="14" spans="2:5" ht="15.75">
      <c r="B14" s="291" t="s">
        <v>977</v>
      </c>
      <c r="C14" s="260"/>
      <c r="D14" s="260"/>
      <c r="E14" s="231" t="str">
        <f>mvalloc!F16</f>
        <v> </v>
      </c>
    </row>
    <row r="15" spans="2:5" ht="15.75">
      <c r="B15" s="276"/>
      <c r="C15" s="260"/>
      <c r="D15" s="260"/>
      <c r="E15" s="68"/>
    </row>
    <row r="16" spans="2:5" ht="15.75">
      <c r="B16" s="276"/>
      <c r="C16" s="260"/>
      <c r="D16" s="260"/>
      <c r="E16" s="68"/>
    </row>
    <row r="17" spans="2:5" ht="15.75">
      <c r="B17" s="276"/>
      <c r="C17" s="260"/>
      <c r="D17" s="260"/>
      <c r="E17" s="68"/>
    </row>
    <row r="18" spans="2:5" ht="15.75">
      <c r="B18" s="264" t="s">
        <v>816</v>
      </c>
      <c r="C18" s="260"/>
      <c r="D18" s="260"/>
      <c r="E18" s="68"/>
    </row>
    <row r="19" spans="2:5" ht="15.75">
      <c r="B19" s="162" t="s">
        <v>49</v>
      </c>
      <c r="C19" s="260"/>
      <c r="D19" s="260"/>
      <c r="E19" s="68"/>
    </row>
    <row r="20" spans="2:5" ht="15.75">
      <c r="B20" s="255" t="s">
        <v>138</v>
      </c>
      <c r="C20" s="265">
        <f>IF(C21*0.1&lt;C19,"Exceed 10% Rule","")</f>
      </c>
      <c r="D20" s="265">
        <f>IF(D21*0.1&lt;D19,"Exceed 10% Rule","")</f>
      </c>
      <c r="E20" s="305">
        <f>IF(E21*0.1+E39&lt;E19,"Exceed 10% Rule","")</f>
      </c>
    </row>
    <row r="21" spans="2:5" ht="15.75">
      <c r="B21" s="267" t="s">
        <v>817</v>
      </c>
      <c r="C21" s="269">
        <f>SUM(C9:C19)</f>
        <v>0</v>
      </c>
      <c r="D21" s="269">
        <f>SUM(D9:D19)</f>
        <v>0</v>
      </c>
      <c r="E21" s="270">
        <f>SUM(E9:E19)</f>
        <v>0</v>
      </c>
    </row>
    <row r="22" spans="2:5" ht="15.75">
      <c r="B22" s="267" t="s">
        <v>818</v>
      </c>
      <c r="C22" s="269">
        <f>C7+C21</f>
        <v>0</v>
      </c>
      <c r="D22" s="269">
        <f>D7+D21</f>
        <v>0</v>
      </c>
      <c r="E22" s="270">
        <f>E7+E21</f>
        <v>0</v>
      </c>
    </row>
    <row r="23" spans="2:5" ht="15.75">
      <c r="B23" s="153" t="s">
        <v>820</v>
      </c>
      <c r="C23" s="277"/>
      <c r="D23" s="277"/>
      <c r="E23" s="66"/>
    </row>
    <row r="24" spans="2:5" ht="15.75">
      <c r="B24" s="276"/>
      <c r="C24" s="260"/>
      <c r="D24" s="260"/>
      <c r="E24" s="68"/>
    </row>
    <row r="25" spans="2:5" ht="15.75">
      <c r="B25" s="276"/>
      <c r="C25" s="260"/>
      <c r="D25" s="260"/>
      <c r="E25" s="68"/>
    </row>
    <row r="26" spans="2:5" ht="15.75">
      <c r="B26" s="276"/>
      <c r="C26" s="260"/>
      <c r="D26" s="260"/>
      <c r="E26" s="68"/>
    </row>
    <row r="27" spans="2:5" ht="15.75">
      <c r="B27" s="276"/>
      <c r="C27" s="260"/>
      <c r="D27" s="260"/>
      <c r="E27" s="68"/>
    </row>
    <row r="28" spans="2:5" ht="15.75">
      <c r="B28" s="276"/>
      <c r="C28" s="260"/>
      <c r="D28" s="260"/>
      <c r="E28" s="68"/>
    </row>
    <row r="29" spans="2:5" ht="15.75">
      <c r="B29" s="277" t="s">
        <v>48</v>
      </c>
      <c r="C29" s="260"/>
      <c r="D29" s="260"/>
      <c r="E29" s="83">
        <f>nhood!E15</f>
      </c>
    </row>
    <row r="30" spans="2:5" ht="15.75">
      <c r="B30" s="277" t="s">
        <v>49</v>
      </c>
      <c r="C30" s="260"/>
      <c r="D30" s="260"/>
      <c r="E30" s="68"/>
    </row>
    <row r="31" spans="2:5" ht="15.75">
      <c r="B31" s="277" t="s">
        <v>139</v>
      </c>
      <c r="C31" s="265">
        <f>IF(C32*0.1&lt;C30,"Exceed 10% Rule","")</f>
      </c>
      <c r="D31" s="265">
        <f>IF(D32*0.1&lt;D30,"Exceed 10% Rule","")</f>
      </c>
      <c r="E31" s="305">
        <f>IF(E32*0.1&lt;E30,"Exceed 10% Rule","")</f>
      </c>
    </row>
    <row r="32" spans="2:5" ht="15.75">
      <c r="B32" s="267" t="s">
        <v>824</v>
      </c>
      <c r="C32" s="269">
        <f>SUM(C24:C30)</f>
        <v>0</v>
      </c>
      <c r="D32" s="269">
        <f>SUM(D24:D30)</f>
        <v>0</v>
      </c>
      <c r="E32" s="270">
        <f>SUM(E24:E30)</f>
        <v>0</v>
      </c>
    </row>
    <row r="33" spans="2:5" ht="15.75">
      <c r="B33" s="153" t="s">
        <v>933</v>
      </c>
      <c r="C33" s="273">
        <f>C22-C32</f>
        <v>0</v>
      </c>
      <c r="D33" s="273">
        <f>D22-D32</f>
        <v>0</v>
      </c>
      <c r="E33" s="290" t="s">
        <v>800</v>
      </c>
    </row>
    <row r="34" spans="2:6" ht="15.75">
      <c r="B34" s="139" t="str">
        <f>CONCATENATE("",E1-2,"/",E1-1," Budget Authority Amount:")</f>
        <v>2010/2011 Budget Authority Amount:</v>
      </c>
      <c r="C34" s="244">
        <f>inputOth!B70</f>
        <v>0</v>
      </c>
      <c r="D34" s="244">
        <f>inputPrYr!D27</f>
        <v>0</v>
      </c>
      <c r="E34" s="290" t="s">
        <v>800</v>
      </c>
      <c r="F34" s="279"/>
    </row>
    <row r="35" spans="2:6" ht="15.75">
      <c r="B35" s="139"/>
      <c r="C35" s="731" t="s">
        <v>664</v>
      </c>
      <c r="D35" s="732"/>
      <c r="E35" s="68"/>
      <c r="F35" s="279">
        <f>IF(E32/0.95-E32&lt;E35,"Exceeds 5%","")</f>
      </c>
    </row>
    <row r="36" spans="2:5" ht="15.75">
      <c r="B36" s="549" t="str">
        <f>CONCATENATE(C90,"     ",D90)</f>
        <v>     </v>
      </c>
      <c r="C36" s="733" t="s">
        <v>665</v>
      </c>
      <c r="D36" s="734"/>
      <c r="E36" s="231">
        <f>E32+E35</f>
        <v>0</v>
      </c>
    </row>
    <row r="37" spans="2:5" ht="15.75">
      <c r="B37" s="549" t="str">
        <f>CONCATENATE(C91,"     ",D91)</f>
        <v>     </v>
      </c>
      <c r="C37" s="280"/>
      <c r="D37" s="172" t="s">
        <v>825</v>
      </c>
      <c r="E37" s="83">
        <f>IF(E36-E22&gt;0,E36-E22,0)</f>
        <v>0</v>
      </c>
    </row>
    <row r="38" spans="2:5" ht="15.75">
      <c r="B38" s="172"/>
      <c r="C38" s="397" t="s">
        <v>663</v>
      </c>
      <c r="D38" s="398">
        <f>inputOth!$E$48</f>
        <v>0.06</v>
      </c>
      <c r="E38" s="231">
        <f>ROUND(IF(D38&gt;0,(E37*D38),0),0)</f>
        <v>0</v>
      </c>
    </row>
    <row r="39" spans="2:5" ht="15.75">
      <c r="B39" s="48"/>
      <c r="C39" s="735" t="str">
        <f>CONCATENATE("Amount of  ",$E$1-1," Ad Valorem Tax")</f>
        <v>Amount of  2011 Ad Valorem Tax</v>
      </c>
      <c r="D39" s="736"/>
      <c r="E39" s="295">
        <f>E37+E38</f>
        <v>0</v>
      </c>
    </row>
    <row r="40" spans="2:5" ht="15.75">
      <c r="B40" s="48"/>
      <c r="C40" s="48"/>
      <c r="D40" s="48"/>
      <c r="E40" s="48"/>
    </row>
    <row r="41" spans="2:5" ht="15.75">
      <c r="B41" s="53" t="s">
        <v>811</v>
      </c>
      <c r="C41" s="145"/>
      <c r="D41" s="145"/>
      <c r="E41" s="145"/>
    </row>
    <row r="42" spans="2:5" ht="15.75">
      <c r="B42" s="48"/>
      <c r="C42" s="594" t="s">
        <v>830</v>
      </c>
      <c r="D42" s="595" t="s">
        <v>959</v>
      </c>
      <c r="E42" s="596" t="s">
        <v>960</v>
      </c>
    </row>
    <row r="43" spans="2:5" ht="15.75">
      <c r="B43" s="555">
        <f>inputPrYr!B28</f>
        <v>0</v>
      </c>
      <c r="C43" s="389">
        <f>E1-2</f>
        <v>2010</v>
      </c>
      <c r="D43" s="389">
        <f>E1-1</f>
        <v>2011</v>
      </c>
      <c r="E43" s="254">
        <f>E1</f>
        <v>2012</v>
      </c>
    </row>
    <row r="44" spans="2:5" ht="15.75">
      <c r="B44" s="255" t="s">
        <v>932</v>
      </c>
      <c r="C44" s="260"/>
      <c r="D44" s="258">
        <f>C70</f>
        <v>0</v>
      </c>
      <c r="E44" s="231">
        <f>D70</f>
        <v>0</v>
      </c>
    </row>
    <row r="45" spans="2:5" ht="15.75">
      <c r="B45" s="259" t="s">
        <v>934</v>
      </c>
      <c r="C45" s="162"/>
      <c r="D45" s="162"/>
      <c r="E45" s="88"/>
    </row>
    <row r="46" spans="2:5" ht="15.75">
      <c r="B46" s="153" t="s">
        <v>812</v>
      </c>
      <c r="C46" s="260"/>
      <c r="D46" s="258">
        <f>inputPrYr!E27</f>
        <v>0</v>
      </c>
      <c r="E46" s="290" t="s">
        <v>800</v>
      </c>
    </row>
    <row r="47" spans="2:5" ht="15.75">
      <c r="B47" s="153" t="s">
        <v>813</v>
      </c>
      <c r="C47" s="260"/>
      <c r="D47" s="260"/>
      <c r="E47" s="68"/>
    </row>
    <row r="48" spans="2:5" ht="15.75">
      <c r="B48" s="153" t="s">
        <v>814</v>
      </c>
      <c r="C48" s="260"/>
      <c r="D48" s="260"/>
      <c r="E48" s="231" t="str">
        <f>mvalloc!C17</f>
        <v>  </v>
      </c>
    </row>
    <row r="49" spans="2:5" ht="15.75">
      <c r="B49" s="153" t="s">
        <v>815</v>
      </c>
      <c r="C49" s="260"/>
      <c r="D49" s="260"/>
      <c r="E49" s="231" t="str">
        <f>mvalloc!D17</f>
        <v> </v>
      </c>
    </row>
    <row r="50" spans="2:5" ht="15.75">
      <c r="B50" s="162" t="s">
        <v>910</v>
      </c>
      <c r="C50" s="260"/>
      <c r="D50" s="260"/>
      <c r="E50" s="231" t="str">
        <f>mvalloc!E17</f>
        <v> </v>
      </c>
    </row>
    <row r="51" spans="2:5" ht="15.75">
      <c r="B51" s="291" t="s">
        <v>977</v>
      </c>
      <c r="C51" s="260"/>
      <c r="D51" s="260"/>
      <c r="E51" s="231" t="str">
        <f>mvalloc!F17</f>
        <v> </v>
      </c>
    </row>
    <row r="52" spans="2:5" ht="15.75">
      <c r="B52" s="276"/>
      <c r="C52" s="260"/>
      <c r="D52" s="260"/>
      <c r="E52" s="68"/>
    </row>
    <row r="53" spans="2:5" ht="15.75">
      <c r="B53" s="276"/>
      <c r="C53" s="260"/>
      <c r="D53" s="260"/>
      <c r="E53" s="68"/>
    </row>
    <row r="54" spans="2:5" ht="15.75">
      <c r="B54" s="276"/>
      <c r="C54" s="260"/>
      <c r="D54" s="260"/>
      <c r="E54" s="68"/>
    </row>
    <row r="55" spans="2:5" ht="15.75">
      <c r="B55" s="264" t="s">
        <v>816</v>
      </c>
      <c r="C55" s="260"/>
      <c r="D55" s="260"/>
      <c r="E55" s="68"/>
    </row>
    <row r="56" spans="2:5" ht="15.75">
      <c r="B56" s="162" t="s">
        <v>49</v>
      </c>
      <c r="C56" s="260"/>
      <c r="D56" s="260"/>
      <c r="E56" s="68"/>
    </row>
    <row r="57" spans="2:5" ht="15.75">
      <c r="B57" s="255" t="s">
        <v>138</v>
      </c>
      <c r="C57" s="265">
        <f>IF(C58*0.1&lt;C56,"Exceed 10% Rule","")</f>
      </c>
      <c r="D57" s="265">
        <f>IF(D58*0.1&lt;D56,"Exceed 10% Rule","")</f>
      </c>
      <c r="E57" s="305">
        <f>IF(E58*0.1+E76&lt;E56,"Exceed 10% Rule","")</f>
      </c>
    </row>
    <row r="58" spans="2:5" ht="15.75">
      <c r="B58" s="267" t="s">
        <v>817</v>
      </c>
      <c r="C58" s="269">
        <f>SUM(C46:C56)</f>
        <v>0</v>
      </c>
      <c r="D58" s="269">
        <f>SUM(D46:D56)</f>
        <v>0</v>
      </c>
      <c r="E58" s="270">
        <f>SUM(E46:E56)</f>
        <v>0</v>
      </c>
    </row>
    <row r="59" spans="2:5" ht="15.75">
      <c r="B59" s="267" t="s">
        <v>818</v>
      </c>
      <c r="C59" s="269">
        <f>C44+C58</f>
        <v>0</v>
      </c>
      <c r="D59" s="269">
        <f>D44+D58</f>
        <v>0</v>
      </c>
      <c r="E59" s="270">
        <f>E44+E58</f>
        <v>0</v>
      </c>
    </row>
    <row r="60" spans="2:5" ht="15.75">
      <c r="B60" s="153" t="s">
        <v>820</v>
      </c>
      <c r="C60" s="277"/>
      <c r="D60" s="277"/>
      <c r="E60" s="66"/>
    </row>
    <row r="61" spans="2:5" ht="15.75">
      <c r="B61" s="276"/>
      <c r="C61" s="260"/>
      <c r="D61" s="260"/>
      <c r="E61" s="68"/>
    </row>
    <row r="62" spans="2:5" ht="15.75">
      <c r="B62" s="276"/>
      <c r="C62" s="260"/>
      <c r="D62" s="260"/>
      <c r="E62" s="68"/>
    </row>
    <row r="63" spans="2:5" ht="15.75">
      <c r="B63" s="276"/>
      <c r="C63" s="260"/>
      <c r="D63" s="260"/>
      <c r="E63" s="68"/>
    </row>
    <row r="64" spans="2:5" ht="15.75">
      <c r="B64" s="276"/>
      <c r="C64" s="260"/>
      <c r="D64" s="260"/>
      <c r="E64" s="68"/>
    </row>
    <row r="65" spans="2:5" ht="15.75">
      <c r="B65" s="276"/>
      <c r="C65" s="260"/>
      <c r="D65" s="260"/>
      <c r="E65" s="68"/>
    </row>
    <row r="66" spans="2:5" ht="15.75">
      <c r="B66" s="277" t="s">
        <v>48</v>
      </c>
      <c r="C66" s="260"/>
      <c r="D66" s="260"/>
      <c r="E66" s="83">
        <f>nhood!E16</f>
      </c>
    </row>
    <row r="67" spans="2:5" ht="15.75">
      <c r="B67" s="277" t="s">
        <v>49</v>
      </c>
      <c r="C67" s="260"/>
      <c r="D67" s="260"/>
      <c r="E67" s="68"/>
    </row>
    <row r="68" spans="2:5" ht="15.75">
      <c r="B68" s="277" t="s">
        <v>139</v>
      </c>
      <c r="C68" s="265">
        <f>IF(C69*0.1&lt;C67,"Exceed 10% Rule","")</f>
      </c>
      <c r="D68" s="265">
        <f>IF(D69*0.1&lt;D67,"Exceed 10% Rule","")</f>
      </c>
      <c r="E68" s="305">
        <f>IF(E69*0.1&lt;E67,"Exceed 10% Rule","")</f>
      </c>
    </row>
    <row r="69" spans="2:5" ht="15.75">
      <c r="B69" s="267" t="s">
        <v>824</v>
      </c>
      <c r="C69" s="269">
        <f>SUM(C61:C67)</f>
        <v>0</v>
      </c>
      <c r="D69" s="269">
        <f>SUM(D61:D67)</f>
        <v>0</v>
      </c>
      <c r="E69" s="270">
        <f>SUM(E61:E67)</f>
        <v>0</v>
      </c>
    </row>
    <row r="70" spans="2:5" ht="15.75">
      <c r="B70" s="153" t="s">
        <v>933</v>
      </c>
      <c r="C70" s="273">
        <f>C59-C69</f>
        <v>0</v>
      </c>
      <c r="D70" s="273">
        <f>D59-D69</f>
        <v>0</v>
      </c>
      <c r="E70" s="290" t="s">
        <v>800</v>
      </c>
    </row>
    <row r="71" spans="2:6" ht="15.75">
      <c r="B71" s="139" t="str">
        <f>CONCATENATE("",E1-2,"/",E1-1," Budget Authority Amount:")</f>
        <v>2010/2011 Budget Authority Amount:</v>
      </c>
      <c r="C71" s="244">
        <f>inputOth!B71</f>
        <v>0</v>
      </c>
      <c r="D71" s="244">
        <f>inputPrYr!D28</f>
        <v>0</v>
      </c>
      <c r="E71" s="290" t="s">
        <v>800</v>
      </c>
      <c r="F71" s="279"/>
    </row>
    <row r="72" spans="2:6" ht="15.75">
      <c r="B72" s="139"/>
      <c r="C72" s="731" t="s">
        <v>664</v>
      </c>
      <c r="D72" s="732"/>
      <c r="E72" s="104"/>
      <c r="F72" s="279">
        <f>IF(E69/0.95-E69&lt;E72,"Exceeds 5%","")</f>
      </c>
    </row>
    <row r="73" spans="2:5" ht="15.75">
      <c r="B73" s="549" t="str">
        <f>CONCATENATE(C92,"     ",D92)</f>
        <v>     </v>
      </c>
      <c r="C73" s="733" t="s">
        <v>665</v>
      </c>
      <c r="D73" s="734"/>
      <c r="E73" s="231">
        <f>E69+E72</f>
        <v>0</v>
      </c>
    </row>
    <row r="74" spans="2:5" ht="15.75">
      <c r="B74" s="549" t="str">
        <f>CONCATENATE(C93,"     ",D93)</f>
        <v>     </v>
      </c>
      <c r="C74" s="280"/>
      <c r="D74" s="172" t="s">
        <v>825</v>
      </c>
      <c r="E74" s="83">
        <f>IF(E73-E59&gt;0,E73-E59,0)</f>
        <v>0</v>
      </c>
    </row>
    <row r="75" spans="2:5" ht="15.75">
      <c r="B75" s="139"/>
      <c r="C75" s="397" t="s">
        <v>663</v>
      </c>
      <c r="D75" s="398">
        <f>inputOth!$E$48</f>
        <v>0.06</v>
      </c>
      <c r="E75" s="231">
        <f>ROUND(IF(D75&gt;0,(E74*D75),0),0)</f>
        <v>0</v>
      </c>
    </row>
    <row r="76" spans="2:5" ht="15.75">
      <c r="B76" s="172"/>
      <c r="C76" s="735" t="str">
        <f>CONCATENATE("Amount of  ",$E$1-1," Ad Valorem Tax")</f>
        <v>Amount of  2011 Ad Valorem Tax</v>
      </c>
      <c r="D76" s="736"/>
      <c r="E76" s="295">
        <f>E74+E75</f>
        <v>0</v>
      </c>
    </row>
    <row r="77" spans="2:5" ht="15.75">
      <c r="B77" s="48"/>
      <c r="C77" s="48"/>
      <c r="D77" s="48"/>
      <c r="E77" s="48"/>
    </row>
    <row r="78" spans="2:5" ht="15.75">
      <c r="B78" s="416" t="s">
        <v>827</v>
      </c>
      <c r="C78" s="285"/>
      <c r="D78" s="48"/>
      <c r="E78" s="48"/>
    </row>
    <row r="79" ht="15.75">
      <c r="B79" s="172"/>
    </row>
    <row r="90" spans="3:4" ht="15.75" hidden="1">
      <c r="C90" s="548">
        <f>IF(C32&gt;C34,"See Tab A","")</f>
      </c>
      <c r="D90" s="548">
        <f>IF(D30&gt;D34,"See Tab C","")</f>
      </c>
    </row>
    <row r="91" spans="3:4" ht="15.75" hidden="1">
      <c r="C91" s="548">
        <f>IF(C33&lt;0,"See Tab B","")</f>
      </c>
      <c r="D91" s="548">
        <f>IF(D33&lt;0,"See Tab D","")</f>
      </c>
    </row>
    <row r="92" spans="3:4" ht="15.75" hidden="1">
      <c r="C92" s="548">
        <f>IF(C67&gt;C71,"See Tab A","")</f>
      </c>
      <c r="D92" s="548">
        <f>IF(D67&gt;D71,"See Tab C","")</f>
      </c>
    </row>
    <row r="93" spans="3:4" ht="15.75" hidden="1">
      <c r="C93" s="548">
        <f>IF(C70&lt;0,"See Tab B","")</f>
      </c>
      <c r="D93" s="548">
        <f>IF(D70&lt;0,"See Tab D","")</f>
      </c>
    </row>
  </sheetData>
  <sheetProtection sheet="1"/>
  <mergeCells count="6">
    <mergeCell ref="C35:D35"/>
    <mergeCell ref="C36:D36"/>
    <mergeCell ref="C76:D76"/>
    <mergeCell ref="C39:D39"/>
    <mergeCell ref="C72:D72"/>
    <mergeCell ref="C73:D73"/>
  </mergeCells>
  <conditionalFormatting sqref="E30">
    <cfRule type="cellIs" priority="3" dxfId="7" operator="greaterThan" stopIfTrue="1">
      <formula>$E$32*0.1</formula>
    </cfRule>
  </conditionalFormatting>
  <conditionalFormatting sqref="E35">
    <cfRule type="cellIs" priority="4" dxfId="7" operator="greaterThan" stopIfTrue="1">
      <formula>$E$32/0.95-$E$32</formula>
    </cfRule>
  </conditionalFormatting>
  <conditionalFormatting sqref="E67">
    <cfRule type="cellIs" priority="5" dxfId="7" operator="greaterThan" stopIfTrue="1">
      <formula>$E$69*0.1</formula>
    </cfRule>
  </conditionalFormatting>
  <conditionalFormatting sqref="E72">
    <cfRule type="cellIs" priority="6" dxfId="7" operator="greaterThan" stopIfTrue="1">
      <formula>$E$69/0.95-$E$69</formula>
    </cfRule>
  </conditionalFormatting>
  <conditionalFormatting sqref="C30">
    <cfRule type="cellIs" priority="7" dxfId="0" operator="greaterThan" stopIfTrue="1">
      <formula>$C$32*0.1</formula>
    </cfRule>
  </conditionalFormatting>
  <conditionalFormatting sqref="D30">
    <cfRule type="cellIs" priority="8" dxfId="0" operator="greaterThan" stopIfTrue="1">
      <formula>$D$32*0.1</formula>
    </cfRule>
  </conditionalFormatting>
  <conditionalFormatting sqref="D32">
    <cfRule type="cellIs" priority="9" dxfId="0" operator="greaterThan" stopIfTrue="1">
      <formula>$D$34</formula>
    </cfRule>
  </conditionalFormatting>
  <conditionalFormatting sqref="C32">
    <cfRule type="cellIs" priority="10" dxfId="0" operator="greaterThan" stopIfTrue="1">
      <formula>$C$34</formula>
    </cfRule>
  </conditionalFormatting>
  <conditionalFormatting sqref="C33 C70">
    <cfRule type="cellIs" priority="11" dxfId="0" operator="lessThan" stopIfTrue="1">
      <formula>0</formula>
    </cfRule>
  </conditionalFormatting>
  <conditionalFormatting sqref="C67">
    <cfRule type="cellIs" priority="12" dxfId="0" operator="greaterThan" stopIfTrue="1">
      <formula>$C$69*0.1</formula>
    </cfRule>
  </conditionalFormatting>
  <conditionalFormatting sqref="D69">
    <cfRule type="cellIs" priority="13" dxfId="0" operator="greaterThan" stopIfTrue="1">
      <formula>$D$71</formula>
    </cfRule>
  </conditionalFormatting>
  <conditionalFormatting sqref="C69">
    <cfRule type="cellIs" priority="14" dxfId="0" operator="greaterThan" stopIfTrue="1">
      <formula>$C$71</formula>
    </cfRule>
  </conditionalFormatting>
  <conditionalFormatting sqref="D67">
    <cfRule type="cellIs" priority="15" dxfId="0" operator="greaterThan" stopIfTrue="1">
      <formula>$D$69*0.1</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6">
    <cfRule type="cellIs" priority="18" dxfId="0" operator="greaterThan" stopIfTrue="1">
      <formula>$D$58*0.1</formula>
    </cfRule>
  </conditionalFormatting>
  <conditionalFormatting sqref="C56">
    <cfRule type="cellIs" priority="19" dxfId="0" operator="greaterThan" stopIfTrue="1">
      <formula>$C$58*0.1</formula>
    </cfRule>
  </conditionalFormatting>
  <conditionalFormatting sqref="E56">
    <cfRule type="cellIs" priority="20" dxfId="7" operator="greaterThan" stopIfTrue="1">
      <formula>$E$58*0.1+E76</formula>
    </cfRule>
  </conditionalFormatting>
  <conditionalFormatting sqref="E19">
    <cfRule type="cellIs" priority="21" dxfId="7" operator="greaterThan" stopIfTrue="1">
      <formula>$E$21*0.1+E39</formula>
    </cfRule>
  </conditionalFormatting>
  <conditionalFormatting sqref="D70 D33">
    <cfRule type="cellIs" priority="2" dxfId="1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74" sqref="C74"/>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878</v>
      </c>
      <c r="C3" s="208"/>
      <c r="D3" s="208"/>
      <c r="E3" s="293"/>
    </row>
    <row r="4" spans="2:5" ht="15.75">
      <c r="B4" s="48"/>
      <c r="C4" s="294"/>
      <c r="D4" s="294"/>
      <c r="E4" s="294"/>
    </row>
    <row r="5" spans="2:5" ht="15.75">
      <c r="B5" s="53" t="s">
        <v>811</v>
      </c>
      <c r="C5" s="594" t="s">
        <v>830</v>
      </c>
      <c r="D5" s="595" t="s">
        <v>959</v>
      </c>
      <c r="E5" s="596" t="s">
        <v>960</v>
      </c>
    </row>
    <row r="6" spans="2:5" ht="15.75">
      <c r="B6" s="555">
        <f>inputPrYr!B29</f>
        <v>0</v>
      </c>
      <c r="C6" s="389">
        <f>E1-2</f>
        <v>2010</v>
      </c>
      <c r="D6" s="389">
        <f>E1-1</f>
        <v>2011</v>
      </c>
      <c r="E6" s="254">
        <f>E1</f>
        <v>2012</v>
      </c>
    </row>
    <row r="7" spans="2:5" ht="15.75">
      <c r="B7" s="255" t="s">
        <v>932</v>
      </c>
      <c r="C7" s="260"/>
      <c r="D7" s="258">
        <f>C33</f>
        <v>0</v>
      </c>
      <c r="E7" s="231">
        <f>D33</f>
        <v>0</v>
      </c>
    </row>
    <row r="8" spans="2:5" ht="15.75">
      <c r="B8" s="259" t="s">
        <v>934</v>
      </c>
      <c r="C8" s="162"/>
      <c r="D8" s="162"/>
      <c r="E8" s="88"/>
    </row>
    <row r="9" spans="2:5" ht="15.75">
      <c r="B9" s="153" t="s">
        <v>812</v>
      </c>
      <c r="C9" s="260"/>
      <c r="D9" s="258">
        <f>inputPrYr!E28</f>
        <v>0</v>
      </c>
      <c r="E9" s="290" t="s">
        <v>800</v>
      </c>
    </row>
    <row r="10" spans="2:5" ht="15.75">
      <c r="B10" s="153" t="s">
        <v>813</v>
      </c>
      <c r="C10" s="260"/>
      <c r="D10" s="260"/>
      <c r="E10" s="68"/>
    </row>
    <row r="11" spans="2:5" ht="15.75">
      <c r="B11" s="153" t="s">
        <v>814</v>
      </c>
      <c r="C11" s="260"/>
      <c r="D11" s="260"/>
      <c r="E11" s="231" t="str">
        <f>mvalloc!C18</f>
        <v>  </v>
      </c>
    </row>
    <row r="12" spans="2:5" ht="15.75">
      <c r="B12" s="153" t="s">
        <v>815</v>
      </c>
      <c r="C12" s="260"/>
      <c r="D12" s="260"/>
      <c r="E12" s="231" t="str">
        <f>mvalloc!D18</f>
        <v> </v>
      </c>
    </row>
    <row r="13" spans="2:5" ht="15.75">
      <c r="B13" s="162" t="s">
        <v>910</v>
      </c>
      <c r="C13" s="260"/>
      <c r="D13" s="260"/>
      <c r="E13" s="231" t="str">
        <f>mvalloc!E18</f>
        <v> </v>
      </c>
    </row>
    <row r="14" spans="2:5" ht="15.75">
      <c r="B14" s="291" t="s">
        <v>977</v>
      </c>
      <c r="C14" s="260"/>
      <c r="D14" s="260"/>
      <c r="E14" s="231" t="str">
        <f>mvalloc!F18</f>
        <v> </v>
      </c>
    </row>
    <row r="15" spans="2:5" ht="15.75">
      <c r="B15" s="276"/>
      <c r="C15" s="260"/>
      <c r="D15" s="260"/>
      <c r="E15" s="68"/>
    </row>
    <row r="16" spans="2:5" ht="15.75">
      <c r="B16" s="276"/>
      <c r="C16" s="260"/>
      <c r="D16" s="260"/>
      <c r="E16" s="68"/>
    </row>
    <row r="17" spans="2:5" ht="15.75">
      <c r="B17" s="276"/>
      <c r="C17" s="260"/>
      <c r="D17" s="260"/>
      <c r="E17" s="68"/>
    </row>
    <row r="18" spans="2:5" ht="15.75">
      <c r="B18" s="264" t="s">
        <v>816</v>
      </c>
      <c r="C18" s="260"/>
      <c r="D18" s="260"/>
      <c r="E18" s="68"/>
    </row>
    <row r="19" spans="2:5" ht="15.75">
      <c r="B19" s="162" t="s">
        <v>49</v>
      </c>
      <c r="C19" s="260"/>
      <c r="D19" s="260"/>
      <c r="E19" s="68"/>
    </row>
    <row r="20" spans="2:5" ht="15.75">
      <c r="B20" s="255" t="s">
        <v>138</v>
      </c>
      <c r="C20" s="265">
        <f>IF(C21*0.1&lt;C19,"Exceed 10% Rule","")</f>
      </c>
      <c r="D20" s="265">
        <f>IF(D21*0.1&lt;D19,"Exceed 10% Rule","")</f>
      </c>
      <c r="E20" s="305">
        <f>IF(E21*0.1+E39&lt;E19,"Exceed 10% Rule","")</f>
      </c>
    </row>
    <row r="21" spans="2:5" ht="15.75">
      <c r="B21" s="267" t="s">
        <v>817</v>
      </c>
      <c r="C21" s="269">
        <f>SUM(C9:C19)</f>
        <v>0</v>
      </c>
      <c r="D21" s="269">
        <f>SUM(D9:D19)</f>
        <v>0</v>
      </c>
      <c r="E21" s="270">
        <f>SUM(E9:E19)</f>
        <v>0</v>
      </c>
    </row>
    <row r="22" spans="2:5" ht="15.75">
      <c r="B22" s="267" t="s">
        <v>818</v>
      </c>
      <c r="C22" s="269">
        <f>C7+C21</f>
        <v>0</v>
      </c>
      <c r="D22" s="269">
        <f>D7+D21</f>
        <v>0</v>
      </c>
      <c r="E22" s="270">
        <f>E7+E21</f>
        <v>0</v>
      </c>
    </row>
    <row r="23" spans="2:5" ht="15.75">
      <c r="B23" s="153" t="s">
        <v>820</v>
      </c>
      <c r="C23" s="277"/>
      <c r="D23" s="277"/>
      <c r="E23" s="66"/>
    </row>
    <row r="24" spans="2:5" ht="15.75">
      <c r="B24" s="276"/>
      <c r="C24" s="260"/>
      <c r="D24" s="260"/>
      <c r="E24" s="68"/>
    </row>
    <row r="25" spans="2:5" ht="15.75">
      <c r="B25" s="276"/>
      <c r="C25" s="260"/>
      <c r="D25" s="260"/>
      <c r="E25" s="68"/>
    </row>
    <row r="26" spans="2:5" ht="15.75">
      <c r="B26" s="276"/>
      <c r="C26" s="260"/>
      <c r="D26" s="260"/>
      <c r="E26" s="68"/>
    </row>
    <row r="27" spans="2:5" ht="15.75">
      <c r="B27" s="276"/>
      <c r="C27" s="260"/>
      <c r="D27" s="260"/>
      <c r="E27" s="68"/>
    </row>
    <row r="28" spans="2:5" ht="15.75">
      <c r="B28" s="276"/>
      <c r="C28" s="260"/>
      <c r="D28" s="260"/>
      <c r="E28" s="68"/>
    </row>
    <row r="29" spans="2:5" ht="15.75">
      <c r="B29" s="277" t="s">
        <v>48</v>
      </c>
      <c r="C29" s="260"/>
      <c r="D29" s="260"/>
      <c r="E29" s="83">
        <f>nhood!E17</f>
      </c>
    </row>
    <row r="30" spans="2:5" ht="15.75">
      <c r="B30" s="277" t="s">
        <v>49</v>
      </c>
      <c r="C30" s="260"/>
      <c r="D30" s="260"/>
      <c r="E30" s="68"/>
    </row>
    <row r="31" spans="2:5" ht="15.75">
      <c r="B31" s="277" t="s">
        <v>139</v>
      </c>
      <c r="C31" s="265">
        <f>IF(C32*0.1&lt;C30,"Exceed 10% Rule","")</f>
      </c>
      <c r="D31" s="265">
        <f>IF(D32*0.1&lt;D30,"Exceed 10% Rule","")</f>
      </c>
      <c r="E31" s="305">
        <f>IF(E32*0.1&lt;E30,"Exceed 10% Rule","")</f>
      </c>
    </row>
    <row r="32" spans="2:5" ht="15.75">
      <c r="B32" s="267" t="s">
        <v>824</v>
      </c>
      <c r="C32" s="269">
        <f>SUM(C24:C30)</f>
        <v>0</v>
      </c>
      <c r="D32" s="269">
        <f>SUM(D24:D30)</f>
        <v>0</v>
      </c>
      <c r="E32" s="270">
        <f>SUM(E24:E30)</f>
        <v>0</v>
      </c>
    </row>
    <row r="33" spans="2:5" ht="15.75">
      <c r="B33" s="153" t="s">
        <v>933</v>
      </c>
      <c r="C33" s="273">
        <f>C22-C32</f>
        <v>0</v>
      </c>
      <c r="D33" s="273">
        <f>D22-D32</f>
        <v>0</v>
      </c>
      <c r="E33" s="290" t="s">
        <v>800</v>
      </c>
    </row>
    <row r="34" spans="2:6" ht="15.75">
      <c r="B34" s="139" t="str">
        <f>CONCATENATE("",E1-2,"/",E1-1," Budget Authority Amount:")</f>
        <v>2010/2011 Budget Authority Amount:</v>
      </c>
      <c r="C34" s="244">
        <f>inputOth!B72</f>
        <v>0</v>
      </c>
      <c r="D34" s="244">
        <f>inputPrYr!D29</f>
        <v>0</v>
      </c>
      <c r="E34" s="290" t="s">
        <v>800</v>
      </c>
      <c r="F34" s="279"/>
    </row>
    <row r="35" spans="2:6" ht="15.75">
      <c r="B35" s="139"/>
      <c r="C35" s="731" t="s">
        <v>664</v>
      </c>
      <c r="D35" s="732"/>
      <c r="E35" s="68"/>
      <c r="F35" s="279">
        <f>IF(E32/0.95-E32&lt;E35,"Exceeds 5%","")</f>
      </c>
    </row>
    <row r="36" spans="2:5" ht="15.75">
      <c r="B36" s="549" t="str">
        <f>CONCATENATE(C90,"     ",D90)</f>
        <v>     </v>
      </c>
      <c r="C36" s="733" t="s">
        <v>665</v>
      </c>
      <c r="D36" s="734"/>
      <c r="E36" s="231">
        <f>E32+E35</f>
        <v>0</v>
      </c>
    </row>
    <row r="37" spans="2:5" ht="15.75">
      <c r="B37" s="549" t="str">
        <f>CONCATENATE(C91,"     ",D91)</f>
        <v>     </v>
      </c>
      <c r="C37" s="280"/>
      <c r="D37" s="172" t="s">
        <v>825</v>
      </c>
      <c r="E37" s="83">
        <f>IF(E36-E22&gt;0,E36-E22,0)</f>
        <v>0</v>
      </c>
    </row>
    <row r="38" spans="2:5" ht="15.75">
      <c r="B38" s="172"/>
      <c r="C38" s="397" t="s">
        <v>663</v>
      </c>
      <c r="D38" s="398">
        <f>inputOth!$E$48</f>
        <v>0.06</v>
      </c>
      <c r="E38" s="231">
        <f>ROUND(IF(D38&gt;0,(E37*D38),0),0)</f>
        <v>0</v>
      </c>
    </row>
    <row r="39" spans="2:5" ht="15.75">
      <c r="B39" s="48"/>
      <c r="C39" s="735" t="str">
        <f>CONCATENATE("Amount of  ",$E$1-1," Ad Valorem Tax")</f>
        <v>Amount of  2011 Ad Valorem Tax</v>
      </c>
      <c r="D39" s="736"/>
      <c r="E39" s="295">
        <f>E37+E38</f>
        <v>0</v>
      </c>
    </row>
    <row r="40" spans="2:5" ht="15.75">
      <c r="B40" s="48"/>
      <c r="C40" s="48"/>
      <c r="D40" s="48"/>
      <c r="E40" s="48"/>
    </row>
    <row r="41" spans="2:5" ht="15.75">
      <c r="B41" s="53" t="s">
        <v>811</v>
      </c>
      <c r="C41" s="145"/>
      <c r="D41" s="145"/>
      <c r="E41" s="145"/>
    </row>
    <row r="42" spans="2:5" ht="15.75">
      <c r="B42" s="48"/>
      <c r="C42" s="594" t="s">
        <v>830</v>
      </c>
      <c r="D42" s="595" t="s">
        <v>959</v>
      </c>
      <c r="E42" s="596" t="s">
        <v>960</v>
      </c>
    </row>
    <row r="43" spans="2:5" ht="15.75">
      <c r="B43" s="555">
        <f>inputPrYr!B30</f>
        <v>0</v>
      </c>
      <c r="C43" s="389">
        <f>E1-2</f>
        <v>2010</v>
      </c>
      <c r="D43" s="389">
        <f>E1-1</f>
        <v>2011</v>
      </c>
      <c r="E43" s="254">
        <f>E1</f>
        <v>2012</v>
      </c>
    </row>
    <row r="44" spans="2:5" ht="15.75">
      <c r="B44" s="255" t="s">
        <v>932</v>
      </c>
      <c r="C44" s="260"/>
      <c r="D44" s="258">
        <f>C70</f>
        <v>0</v>
      </c>
      <c r="E44" s="231">
        <f>D70</f>
        <v>0</v>
      </c>
    </row>
    <row r="45" spans="2:5" ht="15.75">
      <c r="B45" s="259" t="s">
        <v>934</v>
      </c>
      <c r="C45" s="162"/>
      <c r="D45" s="162"/>
      <c r="E45" s="88"/>
    </row>
    <row r="46" spans="2:5" ht="15.75">
      <c r="B46" s="153" t="s">
        <v>812</v>
      </c>
      <c r="C46" s="260"/>
      <c r="D46" s="258">
        <f>inputPrYr!E29</f>
        <v>0</v>
      </c>
      <c r="E46" s="290" t="s">
        <v>800</v>
      </c>
    </row>
    <row r="47" spans="2:5" ht="15.75">
      <c r="B47" s="153" t="s">
        <v>813</v>
      </c>
      <c r="C47" s="260"/>
      <c r="D47" s="260"/>
      <c r="E47" s="68"/>
    </row>
    <row r="48" spans="2:5" ht="15.75">
      <c r="B48" s="153" t="s">
        <v>814</v>
      </c>
      <c r="C48" s="260"/>
      <c r="D48" s="260"/>
      <c r="E48" s="231" t="str">
        <f>mvalloc!C19</f>
        <v>  </v>
      </c>
    </row>
    <row r="49" spans="2:5" ht="15.75">
      <c r="B49" s="153" t="s">
        <v>815</v>
      </c>
      <c r="C49" s="260"/>
      <c r="D49" s="260"/>
      <c r="E49" s="231" t="str">
        <f>mvalloc!D19</f>
        <v> </v>
      </c>
    </row>
    <row r="50" spans="2:5" ht="15.75">
      <c r="B50" s="162" t="s">
        <v>910</v>
      </c>
      <c r="C50" s="260"/>
      <c r="D50" s="260"/>
      <c r="E50" s="231" t="str">
        <f>mvalloc!E19</f>
        <v> </v>
      </c>
    </row>
    <row r="51" spans="2:5" ht="15.75">
      <c r="B51" s="291" t="s">
        <v>977</v>
      </c>
      <c r="C51" s="260"/>
      <c r="D51" s="260"/>
      <c r="E51" s="231" t="str">
        <f>mvalloc!F19</f>
        <v> </v>
      </c>
    </row>
    <row r="52" spans="2:5" ht="15.75">
      <c r="B52" s="276"/>
      <c r="C52" s="260"/>
      <c r="D52" s="260"/>
      <c r="E52" s="68"/>
    </row>
    <row r="53" spans="2:5" ht="15.75">
      <c r="B53" s="276"/>
      <c r="C53" s="260"/>
      <c r="D53" s="260"/>
      <c r="E53" s="68"/>
    </row>
    <row r="54" spans="2:5" ht="15.75">
      <c r="B54" s="276"/>
      <c r="C54" s="260"/>
      <c r="D54" s="260"/>
      <c r="E54" s="68"/>
    </row>
    <row r="55" spans="2:5" ht="15.75">
      <c r="B55" s="264" t="s">
        <v>816</v>
      </c>
      <c r="C55" s="260"/>
      <c r="D55" s="260"/>
      <c r="E55" s="68"/>
    </row>
    <row r="56" spans="2:5" ht="15.75">
      <c r="B56" s="162" t="s">
        <v>49</v>
      </c>
      <c r="C56" s="260"/>
      <c r="D56" s="260"/>
      <c r="E56" s="68"/>
    </row>
    <row r="57" spans="2:5" ht="15.75">
      <c r="B57" s="255" t="s">
        <v>141</v>
      </c>
      <c r="C57" s="265">
        <f>IF(C58*0.1&lt;C56,"Exceed 10% Rule","")</f>
      </c>
      <c r="D57" s="265">
        <f>IF(D58*0.1&lt;D56,"Exceed 10% Rule","")</f>
      </c>
      <c r="E57" s="305">
        <f>IF(E58*0.1+E76&lt;E56,"Exceed 10% Rule","")</f>
      </c>
    </row>
    <row r="58" spans="2:5" ht="15.75">
      <c r="B58" s="267" t="s">
        <v>817</v>
      </c>
      <c r="C58" s="269">
        <f>SUM(C46:C56)</f>
        <v>0</v>
      </c>
      <c r="D58" s="269">
        <f>SUM(D46:D56)</f>
        <v>0</v>
      </c>
      <c r="E58" s="270">
        <f>SUM(E46:E56)</f>
        <v>0</v>
      </c>
    </row>
    <row r="59" spans="2:5" ht="15.75">
      <c r="B59" s="267" t="s">
        <v>818</v>
      </c>
      <c r="C59" s="269">
        <f>C44+C58</f>
        <v>0</v>
      </c>
      <c r="D59" s="269">
        <f>D44+D58</f>
        <v>0</v>
      </c>
      <c r="E59" s="270">
        <f>E44+E58</f>
        <v>0</v>
      </c>
    </row>
    <row r="60" spans="2:5" ht="15.75">
      <c r="B60" s="153" t="s">
        <v>820</v>
      </c>
      <c r="C60" s="277"/>
      <c r="D60" s="277"/>
      <c r="E60" s="66"/>
    </row>
    <row r="61" spans="2:5" ht="15.75">
      <c r="B61" s="276"/>
      <c r="C61" s="260"/>
      <c r="D61" s="260"/>
      <c r="E61" s="68"/>
    </row>
    <row r="62" spans="2:5" ht="15.75">
      <c r="B62" s="276"/>
      <c r="C62" s="260"/>
      <c r="D62" s="260"/>
      <c r="E62" s="68"/>
    </row>
    <row r="63" spans="2:5" ht="15.75">
      <c r="B63" s="276"/>
      <c r="C63" s="260"/>
      <c r="D63" s="260"/>
      <c r="E63" s="68"/>
    </row>
    <row r="64" spans="2:5" ht="15.75">
      <c r="B64" s="276"/>
      <c r="C64" s="260"/>
      <c r="D64" s="260"/>
      <c r="E64" s="68"/>
    </row>
    <row r="65" spans="2:5" ht="15.75">
      <c r="B65" s="276"/>
      <c r="C65" s="260"/>
      <c r="D65" s="260"/>
      <c r="E65" s="68"/>
    </row>
    <row r="66" spans="2:5" ht="15.75">
      <c r="B66" s="277" t="s">
        <v>48</v>
      </c>
      <c r="C66" s="260"/>
      <c r="D66" s="260"/>
      <c r="E66" s="83">
        <f>nhood!E18</f>
      </c>
    </row>
    <row r="67" spans="2:5" ht="15.75">
      <c r="B67" s="277" t="s">
        <v>49</v>
      </c>
      <c r="C67" s="260"/>
      <c r="D67" s="260"/>
      <c r="E67" s="68"/>
    </row>
    <row r="68" spans="2:5" ht="15.75">
      <c r="B68" s="277" t="s">
        <v>142</v>
      </c>
      <c r="C68" s="265">
        <f>IF(C69*0.1&lt;C67,"Exceed 10% Rule","")</f>
      </c>
      <c r="D68" s="265">
        <f>IF(D69*0.1&lt;D67,"Exceed 10% Rule","")</f>
      </c>
      <c r="E68" s="305">
        <f>IF(E69*0.1&lt;E67,"Exceed 10% Rule","")</f>
      </c>
    </row>
    <row r="69" spans="2:5" ht="15.75">
      <c r="B69" s="267" t="s">
        <v>824</v>
      </c>
      <c r="C69" s="269">
        <f>SUM(C61:C67)</f>
        <v>0</v>
      </c>
      <c r="D69" s="269">
        <f>SUM(D61:D67)</f>
        <v>0</v>
      </c>
      <c r="E69" s="270">
        <f>SUM(E61:E67)</f>
        <v>0</v>
      </c>
    </row>
    <row r="70" spans="2:5" ht="15.75">
      <c r="B70" s="153" t="s">
        <v>933</v>
      </c>
      <c r="C70" s="273">
        <f>C59-C69</f>
        <v>0</v>
      </c>
      <c r="D70" s="273">
        <f>D59-D69</f>
        <v>0</v>
      </c>
      <c r="E70" s="290" t="s">
        <v>800</v>
      </c>
    </row>
    <row r="71" spans="2:6" ht="15.75">
      <c r="B71" s="139" t="str">
        <f>CONCATENATE("",E1-2,"/",E1-1," Budget Authority Amount:")</f>
        <v>2010/2011 Budget Authority Amount:</v>
      </c>
      <c r="C71" s="244">
        <f>inputOth!B73</f>
        <v>0</v>
      </c>
      <c r="D71" s="244">
        <f>inputPrYr!D30</f>
        <v>0</v>
      </c>
      <c r="E71" s="290" t="s">
        <v>800</v>
      </c>
      <c r="F71" s="279"/>
    </row>
    <row r="72" spans="2:6" ht="15.75">
      <c r="B72" s="139"/>
      <c r="C72" s="731" t="s">
        <v>664</v>
      </c>
      <c r="D72" s="732"/>
      <c r="E72" s="68"/>
      <c r="F72" s="279">
        <f>IF(E69/0.95-E69&lt;E72,"Exceeds 5%","")</f>
      </c>
    </row>
    <row r="73" spans="2:5" ht="15.75">
      <c r="B73" s="549" t="str">
        <f>CONCATENATE(C92,"     ",D92)</f>
        <v>     </v>
      </c>
      <c r="C73" s="733" t="s">
        <v>665</v>
      </c>
      <c r="D73" s="734"/>
      <c r="E73" s="231">
        <f>E69+E72</f>
        <v>0</v>
      </c>
    </row>
    <row r="74" spans="2:5" ht="15.75">
      <c r="B74" s="549" t="str">
        <f>CONCATENATE(C93,"     ",D93)</f>
        <v>     </v>
      </c>
      <c r="C74" s="280"/>
      <c r="D74" s="172" t="s">
        <v>825</v>
      </c>
      <c r="E74" s="83">
        <f>IF(E73-E59&gt;0,E73-E59,0)</f>
        <v>0</v>
      </c>
    </row>
    <row r="75" spans="2:5" ht="15.75">
      <c r="B75" s="139"/>
      <c r="C75" s="397" t="s">
        <v>663</v>
      </c>
      <c r="D75" s="398">
        <f>inputOth!$E$48</f>
        <v>0.06</v>
      </c>
      <c r="E75" s="231">
        <f>ROUND(IF(D75&gt;0,(E74*D75),0),0)</f>
        <v>0</v>
      </c>
    </row>
    <row r="76" spans="2:5" ht="15.75">
      <c r="B76" s="172"/>
      <c r="C76" s="735" t="str">
        <f>CONCATENATE("Amount of  ",$E$1-1," Ad Valorem Tax")</f>
        <v>Amount of  2011 Ad Valorem Tax</v>
      </c>
      <c r="D76" s="736"/>
      <c r="E76" s="295">
        <f>E74+E75</f>
        <v>0</v>
      </c>
    </row>
    <row r="77" spans="2:5" ht="15.75">
      <c r="B77" s="48"/>
      <c r="C77" s="48"/>
      <c r="D77" s="48"/>
      <c r="E77" s="48"/>
    </row>
    <row r="78" spans="2:5" ht="15.75">
      <c r="B78" s="416" t="s">
        <v>827</v>
      </c>
      <c r="C78" s="285"/>
      <c r="D78" s="48"/>
      <c r="E78" s="48"/>
    </row>
    <row r="79" ht="15.75">
      <c r="B79" s="99"/>
    </row>
    <row r="90" spans="3:4" ht="15.75" hidden="1">
      <c r="C90" s="548">
        <f>IF(C32&gt;C34,"See Tab A","")</f>
      </c>
      <c r="D90" s="548">
        <f>IF(D30&gt;D34,"See Tab C","")</f>
      </c>
    </row>
    <row r="91" spans="3:4" ht="15.75" hidden="1">
      <c r="C91" s="548">
        <f>IF(C33&lt;0,"See Tab B","")</f>
      </c>
      <c r="D91" s="548">
        <f>IF(D33&lt;0,"See Tab D","")</f>
      </c>
    </row>
    <row r="92" spans="3:4" ht="15.75" hidden="1">
      <c r="C92" s="548">
        <f>IF(C67&gt;C71,"See Tab A","")</f>
      </c>
      <c r="D92" s="548">
        <f>IF(D67&gt;D71,"See Tab C","")</f>
      </c>
    </row>
    <row r="93" spans="3:4" ht="15.75" hidden="1">
      <c r="C93" s="548">
        <f>IF(C70&lt;0,"See Tab B","")</f>
      </c>
      <c r="D93" s="548">
        <f>IF(D70&lt;0,"See Tab D","")</f>
      </c>
    </row>
  </sheetData>
  <sheetProtection sheet="1"/>
  <mergeCells count="6">
    <mergeCell ref="C35:D35"/>
    <mergeCell ref="C36:D36"/>
    <mergeCell ref="C76:D76"/>
    <mergeCell ref="C39:D39"/>
    <mergeCell ref="C72:D72"/>
    <mergeCell ref="C73:D73"/>
  </mergeCells>
  <conditionalFormatting sqref="E30">
    <cfRule type="cellIs" priority="3" dxfId="7" operator="greaterThan" stopIfTrue="1">
      <formula>$E$32*0.1</formula>
    </cfRule>
  </conditionalFormatting>
  <conditionalFormatting sqref="E35">
    <cfRule type="cellIs" priority="4" dxfId="7" operator="greaterThan" stopIfTrue="1">
      <formula>$E$32/0.95-$E$32</formula>
    </cfRule>
  </conditionalFormatting>
  <conditionalFormatting sqref="E67">
    <cfRule type="cellIs" priority="5" dxfId="7" operator="greaterThan" stopIfTrue="1">
      <formula>$E$69*0.1</formula>
    </cfRule>
  </conditionalFormatting>
  <conditionalFormatting sqref="E72">
    <cfRule type="cellIs" priority="6" dxfId="7" operator="greaterThan" stopIfTrue="1">
      <formula>$E$69/0.95-$E$69</formula>
    </cfRule>
  </conditionalFormatting>
  <conditionalFormatting sqref="C30">
    <cfRule type="cellIs" priority="7" dxfId="0" operator="greaterThan" stopIfTrue="1">
      <formula>$C$32*0.1</formula>
    </cfRule>
  </conditionalFormatting>
  <conditionalFormatting sqref="D30">
    <cfRule type="cellIs" priority="8" dxfId="0" operator="greaterThan" stopIfTrue="1">
      <formula>$D$32*0.1</formula>
    </cfRule>
  </conditionalFormatting>
  <conditionalFormatting sqref="D32">
    <cfRule type="cellIs" priority="9" dxfId="0" operator="greaterThan" stopIfTrue="1">
      <formula>$D$34</formula>
    </cfRule>
  </conditionalFormatting>
  <conditionalFormatting sqref="C32">
    <cfRule type="cellIs" priority="10" dxfId="0" operator="greaterThan" stopIfTrue="1">
      <formula>$C$34</formula>
    </cfRule>
  </conditionalFormatting>
  <conditionalFormatting sqref="C33 C70">
    <cfRule type="cellIs" priority="11" dxfId="0" operator="lessThan" stopIfTrue="1">
      <formula>0</formula>
    </cfRule>
  </conditionalFormatting>
  <conditionalFormatting sqref="C67">
    <cfRule type="cellIs" priority="12" dxfId="0" operator="greaterThan" stopIfTrue="1">
      <formula>$C$69*0.1</formula>
    </cfRule>
  </conditionalFormatting>
  <conditionalFormatting sqref="D67">
    <cfRule type="cellIs" priority="13" dxfId="0" operator="greaterThan" stopIfTrue="1">
      <formula>$D$69*0.1</formula>
    </cfRule>
  </conditionalFormatting>
  <conditionalFormatting sqref="D69">
    <cfRule type="cellIs" priority="14" dxfId="0" operator="greaterThan" stopIfTrue="1">
      <formula>$D$71</formula>
    </cfRule>
  </conditionalFormatting>
  <conditionalFormatting sqref="C69">
    <cfRule type="cellIs" priority="15" dxfId="0" operator="greaterThan" stopIfTrue="1">
      <formula>$C$71</formula>
    </cfRule>
  </conditionalFormatting>
  <conditionalFormatting sqref="D19">
    <cfRule type="cellIs" priority="16" dxfId="0" operator="greaterThan" stopIfTrue="1">
      <formula>$D$21*0.1</formula>
    </cfRule>
  </conditionalFormatting>
  <conditionalFormatting sqref="C19">
    <cfRule type="cellIs" priority="17" dxfId="0" operator="greaterThan" stopIfTrue="1">
      <formula>$C$21*0.1</formula>
    </cfRule>
  </conditionalFormatting>
  <conditionalFormatting sqref="D56">
    <cfRule type="cellIs" priority="18" dxfId="0" operator="greaterThan" stopIfTrue="1">
      <formula>$D$58*0.1</formula>
    </cfRule>
  </conditionalFormatting>
  <conditionalFormatting sqref="C56">
    <cfRule type="cellIs" priority="19" dxfId="0" operator="greaterThan" stopIfTrue="1">
      <formula>$C$58*0.1</formula>
    </cfRule>
  </conditionalFormatting>
  <conditionalFormatting sqref="E56">
    <cfRule type="cellIs" priority="20" dxfId="7" operator="greaterThan" stopIfTrue="1">
      <formula>$E$58*0.1+E76</formula>
    </cfRule>
  </conditionalFormatting>
  <conditionalFormatting sqref="E19">
    <cfRule type="cellIs" priority="21" dxfId="7" operator="greaterThan" stopIfTrue="1">
      <formula>$E$21*0.1+E39</formula>
    </cfRule>
  </conditionalFormatting>
  <conditionalFormatting sqref="D70 D33">
    <cfRule type="cellIs" priority="2" dxfId="10" operator="lessThan" stopIfTrue="1">
      <formula>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28">
      <selection activeCell="D39" sqref="D39"/>
    </sheetView>
  </sheetViews>
  <sheetFormatPr defaultColWidth="8.796875" defaultRowHeight="15"/>
  <cols>
    <col min="1" max="1" width="15.796875" style="46" customWidth="1"/>
    <col min="2" max="2" width="23.796875" style="46" customWidth="1"/>
    <col min="3" max="3" width="9.796875" style="46" customWidth="1"/>
    <col min="4" max="4" width="15.09765625" style="46" customWidth="1"/>
    <col min="5" max="5" width="15.796875" style="46" customWidth="1"/>
    <col min="6" max="16384" width="8.8984375" style="46" customWidth="1"/>
  </cols>
  <sheetData>
    <row r="1" spans="1:5" ht="15.75">
      <c r="A1" s="702" t="s">
        <v>778</v>
      </c>
      <c r="B1" s="703"/>
      <c r="C1" s="703"/>
      <c r="D1" s="703"/>
      <c r="E1" s="703"/>
    </row>
    <row r="2" spans="1:5" ht="15.75">
      <c r="A2" s="47" t="s">
        <v>54</v>
      </c>
      <c r="B2" s="48"/>
      <c r="C2" s="48"/>
      <c r="D2" s="49" t="s">
        <v>173</v>
      </c>
      <c r="E2" s="50"/>
    </row>
    <row r="3" spans="1:5" ht="15.75">
      <c r="A3" s="47" t="s">
        <v>55</v>
      </c>
      <c r="B3" s="48"/>
      <c r="C3" s="48"/>
      <c r="D3" s="51" t="s">
        <v>174</v>
      </c>
      <c r="E3" s="52"/>
    </row>
    <row r="4" spans="1:5" ht="15.75">
      <c r="A4" s="53"/>
      <c r="B4" s="48"/>
      <c r="C4" s="48"/>
      <c r="D4" s="54"/>
      <c r="E4" s="48"/>
    </row>
    <row r="5" spans="1:5" ht="15.75">
      <c r="A5" s="47" t="s">
        <v>980</v>
      </c>
      <c r="B5" s="48"/>
      <c r="C5" s="55">
        <v>2012</v>
      </c>
      <c r="D5" s="54"/>
      <c r="E5" s="48"/>
    </row>
    <row r="6" spans="1:5" ht="15.75">
      <c r="A6" s="48"/>
      <c r="B6" s="48"/>
      <c r="C6" s="48"/>
      <c r="D6" s="48"/>
      <c r="E6" s="48"/>
    </row>
    <row r="7" spans="1:5" ht="15.75">
      <c r="A7" s="56" t="s">
        <v>371</v>
      </c>
      <c r="B7" s="57"/>
      <c r="C7" s="57"/>
      <c r="D7" s="57"/>
      <c r="E7" s="57"/>
    </row>
    <row r="8" spans="1:5" ht="15.75">
      <c r="A8" s="56" t="s">
        <v>370</v>
      </c>
      <c r="B8" s="57"/>
      <c r="C8" s="57"/>
      <c r="D8" s="57"/>
      <c r="E8" s="57"/>
    </row>
    <row r="9" spans="1:5" ht="15.75">
      <c r="A9" s="56"/>
      <c r="B9" s="57"/>
      <c r="C9" s="57"/>
      <c r="D9" s="57"/>
      <c r="E9" s="57"/>
    </row>
    <row r="10" spans="1:5" ht="15.75">
      <c r="A10" s="700" t="s">
        <v>1046</v>
      </c>
      <c r="B10" s="701"/>
      <c r="C10" s="701"/>
      <c r="D10" s="701"/>
      <c r="E10" s="701"/>
    </row>
    <row r="11" spans="1:5" ht="15.75">
      <c r="A11" s="48"/>
      <c r="B11" s="48"/>
      <c r="C11" s="48"/>
      <c r="D11" s="48"/>
      <c r="E11" s="48"/>
    </row>
    <row r="12" spans="1:5" ht="15.75">
      <c r="A12" s="58" t="s">
        <v>1047</v>
      </c>
      <c r="B12" s="59"/>
      <c r="C12" s="48"/>
      <c r="D12" s="48"/>
      <c r="E12" s="48"/>
    </row>
    <row r="13" spans="1:5" ht="15.75">
      <c r="A13" s="60" t="str">
        <f>CONCATENATE("the ",C5-1," Budget, Certificate Page:")</f>
        <v>the 2011 Budget, Certificate Page:</v>
      </c>
      <c r="B13" s="61"/>
      <c r="C13" s="48"/>
      <c r="D13" s="48"/>
      <c r="E13" s="48"/>
    </row>
    <row r="14" spans="1:5" ht="15.75">
      <c r="A14" s="60" t="s">
        <v>373</v>
      </c>
      <c r="B14" s="61"/>
      <c r="C14" s="48"/>
      <c r="D14" s="48"/>
      <c r="E14" s="48"/>
    </row>
    <row r="15" spans="1:5" ht="15.75">
      <c r="A15" s="48"/>
      <c r="B15" s="48"/>
      <c r="C15" s="48"/>
      <c r="D15" s="62">
        <f>C5-1</f>
        <v>2011</v>
      </c>
      <c r="E15" s="62">
        <f>C5-2</f>
        <v>2010</v>
      </c>
    </row>
    <row r="16" spans="1:5" ht="15.75">
      <c r="A16" s="53" t="s">
        <v>779</v>
      </c>
      <c r="B16" s="48"/>
      <c r="C16" s="63" t="s">
        <v>780</v>
      </c>
      <c r="D16" s="64" t="s">
        <v>372</v>
      </c>
      <c r="E16" s="64" t="s">
        <v>100</v>
      </c>
    </row>
    <row r="17" spans="1:5" ht="15.75">
      <c r="A17" s="48"/>
      <c r="B17" s="629" t="s">
        <v>175</v>
      </c>
      <c r="C17" s="159" t="s">
        <v>936</v>
      </c>
      <c r="D17" s="67">
        <v>4017134</v>
      </c>
      <c r="E17" s="67">
        <v>1150689</v>
      </c>
    </row>
    <row r="18" spans="1:5" ht="15.75">
      <c r="A18" s="48"/>
      <c r="B18" s="629" t="s">
        <v>176</v>
      </c>
      <c r="C18" s="159" t="s">
        <v>981</v>
      </c>
      <c r="D18" s="68">
        <v>2108092</v>
      </c>
      <c r="E18" s="68">
        <v>223493</v>
      </c>
    </row>
    <row r="19" spans="1:5" ht="15.75">
      <c r="A19" s="53" t="s">
        <v>782</v>
      </c>
      <c r="B19" s="48"/>
      <c r="C19" s="48"/>
      <c r="D19" s="48"/>
      <c r="E19" s="69"/>
    </row>
    <row r="20" spans="1:5" ht="15.75">
      <c r="A20" s="48"/>
      <c r="B20" s="3" t="s">
        <v>177</v>
      </c>
      <c r="C20" s="3" t="s">
        <v>178</v>
      </c>
      <c r="D20" s="68">
        <v>297403</v>
      </c>
      <c r="E20" s="68">
        <v>217457</v>
      </c>
    </row>
    <row r="21" spans="1:5" ht="15.75">
      <c r="A21" s="48"/>
      <c r="B21" s="3" t="s">
        <v>179</v>
      </c>
      <c r="C21" s="3" t="s">
        <v>180</v>
      </c>
      <c r="D21" s="68">
        <v>1213890</v>
      </c>
      <c r="E21" s="68">
        <v>313929</v>
      </c>
    </row>
    <row r="22" spans="1:5" ht="15.75">
      <c r="A22" s="48"/>
      <c r="B22" s="70"/>
      <c r="C22" s="396"/>
      <c r="D22" s="68"/>
      <c r="E22" s="68"/>
    </row>
    <row r="23" spans="1:5" ht="15.75">
      <c r="A23" s="48"/>
      <c r="B23" s="70"/>
      <c r="C23" s="396"/>
      <c r="D23" s="68"/>
      <c r="E23" s="68"/>
    </row>
    <row r="24" spans="1:5" ht="15.75">
      <c r="A24" s="48"/>
      <c r="B24" s="70"/>
      <c r="C24" s="396"/>
      <c r="D24" s="68"/>
      <c r="E24" s="68"/>
    </row>
    <row r="25" spans="1:5" ht="15.75">
      <c r="A25" s="48"/>
      <c r="B25" s="70"/>
      <c r="C25" s="396"/>
      <c r="D25" s="68"/>
      <c r="E25" s="68"/>
    </row>
    <row r="26" spans="1:5" ht="15.75">
      <c r="A26" s="48"/>
      <c r="B26" s="70"/>
      <c r="C26" s="396"/>
      <c r="D26" s="68"/>
      <c r="E26" s="68"/>
    </row>
    <row r="27" spans="1:5" ht="15.75">
      <c r="A27" s="48"/>
      <c r="B27" s="70"/>
      <c r="C27" s="396"/>
      <c r="D27" s="68"/>
      <c r="E27" s="68"/>
    </row>
    <row r="28" spans="1:5" ht="15.75">
      <c r="A28" s="48"/>
      <c r="B28" s="70"/>
      <c r="C28" s="396"/>
      <c r="D28" s="68"/>
      <c r="E28" s="68"/>
    </row>
    <row r="29" spans="1:5" ht="15.75">
      <c r="A29" s="48"/>
      <c r="B29" s="70"/>
      <c r="C29" s="396"/>
      <c r="D29" s="68"/>
      <c r="E29" s="68"/>
    </row>
    <row r="30" spans="1:5" ht="15.75">
      <c r="A30" s="48"/>
      <c r="B30" s="70"/>
      <c r="C30" s="396"/>
      <c r="D30" s="261"/>
      <c r="E30" s="261"/>
    </row>
    <row r="31" spans="1:5" ht="15.75">
      <c r="A31" s="71" t="str">
        <f>CONCATENATE("Total Tax Levy Funds for ",C5-1," Budgeted Year")</f>
        <v>Total Tax Levy Funds for 2011 Budgeted Year</v>
      </c>
      <c r="B31" s="72"/>
      <c r="C31" s="73"/>
      <c r="D31" s="74"/>
      <c r="E31" s="75">
        <f>SUM(E17:E30)</f>
        <v>1905568</v>
      </c>
    </row>
    <row r="32" spans="1:5" ht="15.75">
      <c r="A32" s="76"/>
      <c r="B32" s="77"/>
      <c r="C32" s="77"/>
      <c r="D32" s="78"/>
      <c r="E32" s="69"/>
    </row>
    <row r="33" spans="1:5" ht="15.75">
      <c r="A33" s="53" t="s">
        <v>986</v>
      </c>
      <c r="B33" s="48"/>
      <c r="C33" s="48"/>
      <c r="D33" s="48"/>
      <c r="E33" s="48"/>
    </row>
    <row r="34" spans="1:5" ht="15.75">
      <c r="A34" s="48"/>
      <c r="B34" s="630" t="s">
        <v>181</v>
      </c>
      <c r="C34" s="48"/>
      <c r="D34" s="68">
        <v>211227</v>
      </c>
      <c r="E34" s="48"/>
    </row>
    <row r="35" spans="1:5" ht="15.75">
      <c r="A35" s="48"/>
      <c r="B35" s="631" t="s">
        <v>182</v>
      </c>
      <c r="C35" s="48"/>
      <c r="D35" s="68">
        <v>764643</v>
      </c>
      <c r="E35" s="48"/>
    </row>
    <row r="36" spans="1:5" ht="15.75">
      <c r="A36" s="48"/>
      <c r="B36" s="631" t="s">
        <v>183</v>
      </c>
      <c r="C36" s="48"/>
      <c r="D36" s="68">
        <v>360909</v>
      </c>
      <c r="E36" s="48"/>
    </row>
    <row r="37" spans="1:5" ht="15.75">
      <c r="A37" s="48"/>
      <c r="B37" s="631" t="s">
        <v>184</v>
      </c>
      <c r="C37" s="48"/>
      <c r="D37" s="68">
        <v>152766</v>
      </c>
      <c r="E37" s="48"/>
    </row>
    <row r="38" spans="1:5" ht="15.75">
      <c r="A38" s="48"/>
      <c r="B38" s="631" t="s">
        <v>185</v>
      </c>
      <c r="C38" s="48"/>
      <c r="D38" s="68">
        <v>1999749</v>
      </c>
      <c r="E38" s="48"/>
    </row>
    <row r="39" spans="1:5" ht="15.75">
      <c r="A39" s="48"/>
      <c r="B39" s="632" t="s">
        <v>189</v>
      </c>
      <c r="C39" s="48"/>
      <c r="D39" s="68">
        <v>144640</v>
      </c>
      <c r="E39" s="48"/>
    </row>
    <row r="40" spans="1:5" ht="15.75">
      <c r="A40" s="48"/>
      <c r="B40" s="631" t="s">
        <v>186</v>
      </c>
      <c r="C40" s="48"/>
      <c r="D40" s="68">
        <v>216373</v>
      </c>
      <c r="E40" s="48"/>
    </row>
    <row r="41" spans="1:5" ht="15.75">
      <c r="A41" s="48"/>
      <c r="B41" s="632" t="s">
        <v>187</v>
      </c>
      <c r="C41" s="48"/>
      <c r="D41" s="68">
        <v>349467</v>
      </c>
      <c r="E41" s="48"/>
    </row>
    <row r="42" spans="1:5" ht="15.75">
      <c r="A42" s="48"/>
      <c r="B42" s="632" t="s">
        <v>188</v>
      </c>
      <c r="C42" s="48"/>
      <c r="D42" s="68">
        <v>34448</v>
      </c>
      <c r="E42" s="48"/>
    </row>
    <row r="43" spans="1:5" ht="15.75">
      <c r="A43" s="48"/>
      <c r="B43" s="632" t="s">
        <v>191</v>
      </c>
      <c r="C43" s="48"/>
      <c r="D43" s="68">
        <v>266789</v>
      </c>
      <c r="E43" s="48"/>
    </row>
    <row r="44" spans="1:5" ht="15.75">
      <c r="A44" s="48"/>
      <c r="B44" s="632" t="s">
        <v>192</v>
      </c>
      <c r="C44" s="48"/>
      <c r="D44" s="68">
        <v>905440</v>
      </c>
      <c r="E44" s="48"/>
    </row>
    <row r="45" spans="1:5" ht="15.75">
      <c r="A45" s="48"/>
      <c r="B45" s="632" t="s">
        <v>190</v>
      </c>
      <c r="C45" s="48"/>
      <c r="D45" s="68">
        <v>112635</v>
      </c>
      <c r="E45" s="48"/>
    </row>
    <row r="46" spans="1:5" ht="15.75">
      <c r="A46" s="48"/>
      <c r="B46" s="632"/>
      <c r="C46" s="48"/>
      <c r="D46" s="68"/>
      <c r="E46" s="48"/>
    </row>
    <row r="47" spans="1:5" ht="15.75">
      <c r="A47" s="48"/>
      <c r="B47" s="632"/>
      <c r="C47" s="48"/>
      <c r="D47" s="68"/>
      <c r="E47" s="48"/>
    </row>
    <row r="48" spans="1:5" ht="15.75">
      <c r="A48" s="48"/>
      <c r="B48" s="632"/>
      <c r="C48" s="48"/>
      <c r="D48" s="68"/>
      <c r="E48" s="48"/>
    </row>
    <row r="49" spans="1:5" ht="15.75">
      <c r="A49" s="48"/>
      <c r="B49" s="632"/>
      <c r="C49" s="48"/>
      <c r="D49" s="68"/>
      <c r="E49" s="48"/>
    </row>
    <row r="50" spans="1:5" ht="15.75">
      <c r="A50" s="48" t="s">
        <v>1018</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13155605</v>
      </c>
      <c r="E55" s="48"/>
    </row>
    <row r="56" spans="1:5" ht="15.75">
      <c r="A56" s="48" t="s">
        <v>1019</v>
      </c>
      <c r="B56" s="84"/>
      <c r="C56" s="48"/>
      <c r="D56" s="48"/>
      <c r="E56" s="48"/>
    </row>
    <row r="57" spans="1:5" ht="15.75">
      <c r="A57" s="48">
        <v>1</v>
      </c>
      <c r="B57" s="632" t="s">
        <v>193</v>
      </c>
      <c r="C57" s="48"/>
      <c r="D57" s="48"/>
      <c r="E57" s="48"/>
    </row>
    <row r="58" spans="1:5" ht="15.75">
      <c r="A58" s="48">
        <v>2</v>
      </c>
      <c r="B58" s="632" t="s">
        <v>194</v>
      </c>
      <c r="C58" s="48"/>
      <c r="D58" s="48"/>
      <c r="E58" s="48"/>
    </row>
    <row r="59" spans="1:5" ht="15.75">
      <c r="A59" s="48">
        <v>3</v>
      </c>
      <c r="B59" s="632" t="s">
        <v>195</v>
      </c>
      <c r="C59" s="48"/>
      <c r="D59" s="48"/>
      <c r="E59" s="48"/>
    </row>
    <row r="60" spans="1:5" ht="15.75">
      <c r="A60" s="48">
        <v>4</v>
      </c>
      <c r="B60" s="632" t="s">
        <v>196</v>
      </c>
      <c r="C60" s="48"/>
      <c r="D60" s="48"/>
      <c r="E60" s="48"/>
    </row>
    <row r="61" spans="1:5" ht="15.75">
      <c r="A61" s="48">
        <v>5</v>
      </c>
      <c r="B61" s="632" t="s">
        <v>197</v>
      </c>
      <c r="C61" s="48"/>
      <c r="D61" s="48"/>
      <c r="E61" s="48"/>
    </row>
    <row r="62" spans="1:5" ht="15.75">
      <c r="A62" s="48" t="s">
        <v>1020</v>
      </c>
      <c r="B62" s="633"/>
      <c r="C62" s="48"/>
      <c r="D62" s="48"/>
      <c r="E62" s="48"/>
    </row>
    <row r="63" spans="1:5" ht="15.75">
      <c r="A63" s="48">
        <v>1</v>
      </c>
      <c r="B63" s="632" t="s">
        <v>198</v>
      </c>
      <c r="C63" s="48"/>
      <c r="D63" s="48"/>
      <c r="E63" s="48"/>
    </row>
    <row r="64" spans="1:5" ht="15.75">
      <c r="A64" s="48">
        <v>2</v>
      </c>
      <c r="B64" s="632" t="s">
        <v>199</v>
      </c>
      <c r="C64" s="48"/>
      <c r="D64" s="48"/>
      <c r="E64" s="48"/>
    </row>
    <row r="65" spans="1:5" ht="15.75">
      <c r="A65" s="48">
        <v>3</v>
      </c>
      <c r="B65" s="632" t="s">
        <v>200</v>
      </c>
      <c r="C65" s="48"/>
      <c r="D65" s="48"/>
      <c r="E65" s="48"/>
    </row>
    <row r="66" spans="1:5" ht="15.75">
      <c r="A66" s="48">
        <v>4</v>
      </c>
      <c r="B66" s="632" t="s">
        <v>201</v>
      </c>
      <c r="C66" s="48"/>
      <c r="D66" s="48"/>
      <c r="E66" s="48"/>
    </row>
    <row r="67" spans="1:5" ht="15.75">
      <c r="A67" s="48">
        <v>5</v>
      </c>
      <c r="B67" s="632" t="s">
        <v>202</v>
      </c>
      <c r="C67" s="48"/>
      <c r="D67" s="48"/>
      <c r="E67" s="48"/>
    </row>
    <row r="68" spans="1:5" ht="15.75">
      <c r="A68" s="48" t="s">
        <v>1021</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1022</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 - Fund 01</v>
      </c>
      <c r="C84" s="48"/>
      <c r="D84" s="79">
        <v>24.379</v>
      </c>
      <c r="E84" s="48"/>
    </row>
    <row r="85" spans="1:5" ht="15.75">
      <c r="A85" s="48"/>
      <c r="B85" s="88" t="str">
        <f>B18</f>
        <v>Bond &amp; Interest - Fund 06</v>
      </c>
      <c r="C85" s="48"/>
      <c r="D85" s="79">
        <v>4.735</v>
      </c>
      <c r="E85" s="48"/>
    </row>
    <row r="86" spans="1:5" ht="15.75">
      <c r="A86" s="48"/>
      <c r="B86" s="88" t="str">
        <f>B20</f>
        <v>Library - Fund 02</v>
      </c>
      <c r="C86" s="48"/>
      <c r="D86" s="79">
        <v>4.609</v>
      </c>
      <c r="E86" s="48"/>
    </row>
    <row r="87" spans="1:5" ht="15.75">
      <c r="A87" s="48"/>
      <c r="B87" s="88" t="str">
        <f aca="true" t="shared" si="0" ref="B87:B96">B21</f>
        <v>Employee Benefits - Fund 05</v>
      </c>
      <c r="C87" s="48"/>
      <c r="D87" s="79">
        <v>6.651</v>
      </c>
      <c r="E87" s="48"/>
    </row>
    <row r="88" spans="1:5" ht="15.75">
      <c r="A88" s="48"/>
      <c r="B88" s="88">
        <f t="shared" si="0"/>
        <v>0</v>
      </c>
      <c r="C88" s="48"/>
      <c r="D88" s="79"/>
      <c r="E88" s="48"/>
    </row>
    <row r="89" spans="1:5" ht="15.75">
      <c r="A89" s="48"/>
      <c r="B89" s="88">
        <f t="shared" si="0"/>
        <v>0</v>
      </c>
      <c r="C89" s="48"/>
      <c r="D89" s="79"/>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783</v>
      </c>
      <c r="B97" s="72"/>
      <c r="C97" s="82"/>
      <c r="D97" s="89">
        <f>SUM(D84:D96)</f>
        <v>40.373999999999995</v>
      </c>
      <c r="E97" s="48"/>
    </row>
    <row r="98" spans="1:5" ht="15.75">
      <c r="A98" s="48"/>
      <c r="B98" s="48"/>
      <c r="C98" s="48"/>
      <c r="D98" s="48"/>
      <c r="E98" s="48"/>
    </row>
    <row r="99" spans="1:5" ht="15.75">
      <c r="A99" s="90" t="str">
        <f>CONCATENATE("Total Tax Levied (",C5-2," budget column)")</f>
        <v>Total Tax Levied (2010 budget column)</v>
      </c>
      <c r="B99" s="91"/>
      <c r="C99" s="72"/>
      <c r="D99" s="82"/>
      <c r="E99" s="68">
        <v>1951535</v>
      </c>
    </row>
    <row r="100" spans="1:5" ht="15.75">
      <c r="A100" s="92" t="str">
        <f>CONCATENATE("Assessed Valuation  (",C5-2," budget column)")</f>
        <v>Assessed Valuation  (2010 budget column)</v>
      </c>
      <c r="B100" s="93"/>
      <c r="C100" s="73"/>
      <c r="D100" s="94"/>
      <c r="E100" s="68">
        <v>48337291</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35</v>
      </c>
      <c r="B103" s="59"/>
      <c r="C103" s="99"/>
      <c r="D103" s="100">
        <f>C5-3</f>
        <v>2009</v>
      </c>
      <c r="E103" s="101">
        <f>C5-2</f>
        <v>2010</v>
      </c>
    </row>
    <row r="104" spans="1:5" ht="15.75">
      <c r="A104" s="102" t="s">
        <v>982</v>
      </c>
      <c r="B104" s="102"/>
      <c r="C104" s="103"/>
      <c r="D104" s="104">
        <v>6310000</v>
      </c>
      <c r="E104" s="104">
        <v>5725000</v>
      </c>
    </row>
    <row r="105" spans="1:5" ht="15.75">
      <c r="A105" s="105" t="s">
        <v>983</v>
      </c>
      <c r="B105" s="105"/>
      <c r="C105" s="106"/>
      <c r="D105" s="104">
        <v>7255000</v>
      </c>
      <c r="E105" s="104">
        <v>6760000</v>
      </c>
    </row>
    <row r="106" spans="1:5" ht="15.75">
      <c r="A106" s="105" t="s">
        <v>984</v>
      </c>
      <c r="B106" s="105"/>
      <c r="C106" s="106"/>
      <c r="D106" s="104">
        <v>6733835</v>
      </c>
      <c r="E106" s="104">
        <v>6618901</v>
      </c>
    </row>
    <row r="107" spans="1:5" ht="15.75">
      <c r="A107" s="105" t="s">
        <v>985</v>
      </c>
      <c r="B107" s="105"/>
      <c r="C107" s="106"/>
      <c r="D107" s="104">
        <v>452627</v>
      </c>
      <c r="E107" s="104">
        <v>299849</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mergeCells count="2">
    <mergeCell ref="A10:E10"/>
    <mergeCell ref="A1:E1"/>
  </mergeCells>
  <printOptions horizontalCentered="1"/>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E62"/>
  <sheetViews>
    <sheetView zoomScalePageLayoutView="0" workbookViewId="0" topLeftCell="A33">
      <selection activeCell="E53" sqref="E53"/>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(inputPrYr!B34)</f>
        <v>Special Highway - Fund 17</v>
      </c>
      <c r="C5" s="254">
        <f>E1-2</f>
        <v>2010</v>
      </c>
      <c r="D5" s="254">
        <f>E1-1</f>
        <v>2011</v>
      </c>
      <c r="E5" s="254">
        <f>E1</f>
        <v>2012</v>
      </c>
    </row>
    <row r="6" spans="2:5" ht="15.75">
      <c r="B6" s="255" t="s">
        <v>932</v>
      </c>
      <c r="C6" s="68">
        <v>53103</v>
      </c>
      <c r="D6" s="231">
        <f>C26</f>
        <v>89678</v>
      </c>
      <c r="E6" s="231">
        <f>D26</f>
        <v>45342</v>
      </c>
    </row>
    <row r="7" spans="2:5" ht="15.75">
      <c r="B7" s="259" t="s">
        <v>934</v>
      </c>
      <c r="C7" s="88"/>
      <c r="D7" s="88"/>
      <c r="E7" s="88"/>
    </row>
    <row r="8" spans="2:5" ht="15.75">
      <c r="B8" s="277" t="s">
        <v>912</v>
      </c>
      <c r="C8" s="68">
        <v>143644</v>
      </c>
      <c r="D8" s="298">
        <v>141200</v>
      </c>
      <c r="E8" s="231">
        <f>inputOth!E51</f>
        <v>145490</v>
      </c>
    </row>
    <row r="9" spans="2:5" ht="15.75">
      <c r="B9" s="299" t="s">
        <v>990</v>
      </c>
      <c r="C9" s="68">
        <v>0</v>
      </c>
      <c r="D9" s="298">
        <f>inputOth!E54</f>
        <v>0</v>
      </c>
      <c r="E9" s="298">
        <f>inputOth!E52</f>
        <v>0</v>
      </c>
    </row>
    <row r="10" spans="2:5" ht="15.75">
      <c r="B10" s="264" t="s">
        <v>816</v>
      </c>
      <c r="C10" s="68">
        <v>727</v>
      </c>
      <c r="D10" s="68">
        <v>750</v>
      </c>
      <c r="E10" s="68">
        <v>750</v>
      </c>
    </row>
    <row r="11" spans="2:5" ht="15.75">
      <c r="B11" s="162" t="s">
        <v>49</v>
      </c>
      <c r="C11" s="68">
        <v>0</v>
      </c>
      <c r="D11" s="261">
        <v>0</v>
      </c>
      <c r="E11" s="261">
        <v>0</v>
      </c>
    </row>
    <row r="12" spans="2:5" ht="15.75">
      <c r="B12" s="255" t="s">
        <v>138</v>
      </c>
      <c r="C12" s="305">
        <f>IF(C13*0.1&lt;C11,"Exceed 10% Rule","")</f>
      </c>
      <c r="D12" s="266">
        <f>IF(D13*0.1&lt;D11,"Exceed 10% Rule","")</f>
      </c>
      <c r="E12" s="266">
        <f>IF(E13*0.1&lt;E11,"Exceed 10% Rule","")</f>
      </c>
    </row>
    <row r="13" spans="2:5" ht="15.75">
      <c r="B13" s="267" t="s">
        <v>817</v>
      </c>
      <c r="C13" s="270">
        <f>SUM(C8:C11)</f>
        <v>144371</v>
      </c>
      <c r="D13" s="270">
        <f>SUM(D8:D11)</f>
        <v>141950</v>
      </c>
      <c r="E13" s="270">
        <f>SUM(E8:E11)</f>
        <v>146240</v>
      </c>
    </row>
    <row r="14" spans="2:5" ht="15.75">
      <c r="B14" s="267" t="s">
        <v>818</v>
      </c>
      <c r="C14" s="270">
        <f>C6+C13</f>
        <v>197474</v>
      </c>
      <c r="D14" s="270">
        <f>D6+D13</f>
        <v>231628</v>
      </c>
      <c r="E14" s="270">
        <f>E6+E13</f>
        <v>191582</v>
      </c>
    </row>
    <row r="15" spans="2:5" ht="15.75">
      <c r="B15" s="153" t="s">
        <v>820</v>
      </c>
      <c r="C15" s="231"/>
      <c r="D15" s="231"/>
      <c r="E15" s="231"/>
    </row>
    <row r="16" spans="2:5" ht="15.75">
      <c r="B16" s="655" t="s">
        <v>516</v>
      </c>
      <c r="C16" s="68">
        <f>25075+403</f>
        <v>25478</v>
      </c>
      <c r="D16" s="68">
        <v>25086</v>
      </c>
      <c r="E16" s="68">
        <v>25000</v>
      </c>
    </row>
    <row r="17" spans="2:5" ht="15.75">
      <c r="B17" s="655" t="s">
        <v>717</v>
      </c>
      <c r="C17" s="68">
        <v>2085</v>
      </c>
      <c r="D17" s="68">
        <v>8000</v>
      </c>
      <c r="E17" s="68">
        <v>5000</v>
      </c>
    </row>
    <row r="18" spans="2:5" ht="15.75">
      <c r="B18" s="655" t="s">
        <v>718</v>
      </c>
      <c r="C18" s="68">
        <v>0</v>
      </c>
      <c r="D18" s="68">
        <v>0</v>
      </c>
      <c r="E18" s="68">
        <v>0</v>
      </c>
    </row>
    <row r="19" spans="2:5" ht="15.75">
      <c r="B19" s="655" t="s">
        <v>519</v>
      </c>
      <c r="C19" s="68">
        <v>80233</v>
      </c>
      <c r="D19" s="68">
        <v>153200</v>
      </c>
      <c r="E19" s="68">
        <v>125000</v>
      </c>
    </row>
    <row r="20" spans="2:5" ht="15.75">
      <c r="B20" s="655" t="s">
        <v>512</v>
      </c>
      <c r="C20" s="68">
        <v>0</v>
      </c>
      <c r="D20" s="68">
        <v>0</v>
      </c>
      <c r="E20" s="68">
        <v>36582</v>
      </c>
    </row>
    <row r="21" spans="2:5" ht="15.75">
      <c r="B21" s="655" t="s">
        <v>476</v>
      </c>
      <c r="C21" s="68">
        <v>0</v>
      </c>
      <c r="D21" s="68">
        <v>0</v>
      </c>
      <c r="E21" s="68">
        <v>0</v>
      </c>
    </row>
    <row r="22" spans="2:5" ht="15.75">
      <c r="B22" s="276" t="s">
        <v>719</v>
      </c>
      <c r="C22" s="68">
        <v>0</v>
      </c>
      <c r="D22" s="68">
        <v>0</v>
      </c>
      <c r="E22" s="68">
        <v>0</v>
      </c>
    </row>
    <row r="23" spans="2:5" ht="15.75">
      <c r="B23" s="277" t="s">
        <v>49</v>
      </c>
      <c r="C23" s="68">
        <v>0</v>
      </c>
      <c r="D23" s="261">
        <v>0</v>
      </c>
      <c r="E23" s="261">
        <v>0</v>
      </c>
    </row>
    <row r="24" spans="2:5" ht="15.75">
      <c r="B24" s="277" t="s">
        <v>139</v>
      </c>
      <c r="C24" s="305">
        <f>IF(C25*0.1&lt;C23,"Exceed 10% Rule","")</f>
      </c>
      <c r="D24" s="266">
        <f>IF(D25*0.1&lt;D23,"Exceed 10% Rule","")</f>
      </c>
      <c r="E24" s="266">
        <f>IF(E25*0.1&lt;E23,"Exceed 10% Rule","")</f>
      </c>
    </row>
    <row r="25" spans="2:5" ht="15.75">
      <c r="B25" s="267" t="s">
        <v>824</v>
      </c>
      <c r="C25" s="270">
        <f>SUM(C16:C23)</f>
        <v>107796</v>
      </c>
      <c r="D25" s="270">
        <f>SUM(D16:D23)</f>
        <v>186286</v>
      </c>
      <c r="E25" s="270">
        <f>SUM(E16:E23)</f>
        <v>191582</v>
      </c>
    </row>
    <row r="26" spans="2:5" ht="15.75">
      <c r="B26" s="153" t="s">
        <v>933</v>
      </c>
      <c r="C26" s="83">
        <f>C14-C25</f>
        <v>89678</v>
      </c>
      <c r="D26" s="83">
        <f>D14-D25</f>
        <v>45342</v>
      </c>
      <c r="E26" s="83">
        <f>E14-E25</f>
        <v>0</v>
      </c>
    </row>
    <row r="27" spans="2:5" ht="15.75">
      <c r="B27" s="139" t="str">
        <f>CONCATENATE("",E1-2,"/",E1-1," Budget Authority Amount:")</f>
        <v>2010/2011 Budget Authority Amount:</v>
      </c>
      <c r="C27" s="244">
        <f>inputOth!B74</f>
        <v>206436</v>
      </c>
      <c r="D27" s="244">
        <f>inputPrYr!D34</f>
        <v>211227</v>
      </c>
      <c r="E27" s="391">
        <f>IF(E26&lt;0,"See Tab E","")</f>
      </c>
    </row>
    <row r="28" spans="2:5" ht="15.75">
      <c r="B28" s="139"/>
      <c r="C28" s="280">
        <f>IF(C25&gt;C27,"See Tab A","")</f>
      </c>
      <c r="D28" s="280">
        <f>IF(D25&gt;D27,"See Tab C","")</f>
      </c>
      <c r="E28" s="98"/>
    </row>
    <row r="29" spans="2:5" ht="15.75">
      <c r="B29" s="139"/>
      <c r="C29" s="280">
        <f>IF(C26&lt;0,"See Tab B","")</f>
      </c>
      <c r="D29" s="280">
        <f>IF(D26&lt;0,"See Tab D","")</f>
      </c>
      <c r="E29" s="98"/>
    </row>
    <row r="30" spans="2:5" ht="15.75">
      <c r="B30" s="48"/>
      <c r="C30" s="98"/>
      <c r="D30" s="98"/>
      <c r="E30" s="98"/>
    </row>
    <row r="31" spans="2:5" ht="15.75">
      <c r="B31" s="53" t="s">
        <v>811</v>
      </c>
      <c r="C31" s="300"/>
      <c r="D31" s="300"/>
      <c r="E31" s="300"/>
    </row>
    <row r="32" spans="2:5" ht="15.75">
      <c r="B32" s="48"/>
      <c r="C32" s="597" t="s">
        <v>830</v>
      </c>
      <c r="D32" s="596" t="s">
        <v>959</v>
      </c>
      <c r="E32" s="596" t="s">
        <v>960</v>
      </c>
    </row>
    <row r="33" spans="2:5" ht="15.75">
      <c r="B33" s="555" t="str">
        <f>(inputPrYr!B35)</f>
        <v>Sewer Service - Fund 04</v>
      </c>
      <c r="C33" s="254">
        <f>C5</f>
        <v>2010</v>
      </c>
      <c r="D33" s="254">
        <f>D5</f>
        <v>2011</v>
      </c>
      <c r="E33" s="254">
        <f>E5</f>
        <v>2012</v>
      </c>
    </row>
    <row r="34" spans="2:5" ht="15.75">
      <c r="B34" s="255" t="s">
        <v>932</v>
      </c>
      <c r="C34" s="68">
        <v>51479</v>
      </c>
      <c r="D34" s="231">
        <f>C57</f>
        <v>89447</v>
      </c>
      <c r="E34" s="231">
        <f>D57</f>
        <v>92717</v>
      </c>
    </row>
    <row r="35" spans="2:5" ht="15.75">
      <c r="B35" s="259" t="s">
        <v>934</v>
      </c>
      <c r="C35" s="88"/>
      <c r="D35" s="88"/>
      <c r="E35" s="88"/>
    </row>
    <row r="36" spans="2:5" ht="15.75">
      <c r="B36" s="655" t="s">
        <v>720</v>
      </c>
      <c r="C36" s="68">
        <f>633657+252</f>
        <v>633909</v>
      </c>
      <c r="D36" s="68">
        <f>660200</f>
        <v>660200</v>
      </c>
      <c r="E36" s="68">
        <v>705200</v>
      </c>
    </row>
    <row r="37" spans="2:5" ht="15.75">
      <c r="B37" s="655" t="s">
        <v>721</v>
      </c>
      <c r="C37" s="68">
        <v>700</v>
      </c>
      <c r="D37" s="68">
        <v>1200</v>
      </c>
      <c r="E37" s="68">
        <v>600</v>
      </c>
    </row>
    <row r="38" spans="2:5" ht="15.75">
      <c r="B38" s="655" t="s">
        <v>722</v>
      </c>
      <c r="C38" s="68">
        <v>0</v>
      </c>
      <c r="D38" s="68">
        <v>0</v>
      </c>
      <c r="E38" s="68">
        <v>0</v>
      </c>
    </row>
    <row r="39" spans="2:5" ht="15.75">
      <c r="B39" s="655" t="s">
        <v>515</v>
      </c>
      <c r="C39" s="68">
        <v>2032</v>
      </c>
      <c r="D39" s="68">
        <v>1500</v>
      </c>
      <c r="E39" s="68">
        <v>2000</v>
      </c>
    </row>
    <row r="40" spans="2:5" ht="15.75">
      <c r="B40" s="264" t="s">
        <v>816</v>
      </c>
      <c r="C40" s="68">
        <v>434</v>
      </c>
      <c r="D40" s="68">
        <v>650</v>
      </c>
      <c r="E40" s="68">
        <v>700</v>
      </c>
    </row>
    <row r="41" spans="2:5" ht="15.75">
      <c r="B41" s="162" t="s">
        <v>49</v>
      </c>
      <c r="C41" s="68">
        <v>0</v>
      </c>
      <c r="D41" s="261">
        <v>0</v>
      </c>
      <c r="E41" s="261">
        <v>0</v>
      </c>
    </row>
    <row r="42" spans="2:5" ht="15.75">
      <c r="B42" s="255" t="s">
        <v>138</v>
      </c>
      <c r="C42" s="305">
        <f>IF(C43*0.1&lt;C41,"Exceed 10% Rule","")</f>
      </c>
      <c r="D42" s="266">
        <f>IF(D43*0.1&lt;D41,"Exceed 10% Rule","")</f>
      </c>
      <c r="E42" s="266">
        <f>IF(E43*0.1&lt;E41,"Exceed 10% Rule","")</f>
      </c>
    </row>
    <row r="43" spans="2:5" ht="15.75">
      <c r="B43" s="267" t="s">
        <v>817</v>
      </c>
      <c r="C43" s="270">
        <f>SUM(C36:C41)</f>
        <v>637075</v>
      </c>
      <c r="D43" s="270">
        <f>SUM(D36:D41)</f>
        <v>663550</v>
      </c>
      <c r="E43" s="270">
        <f>SUM(E36:E41)</f>
        <v>708500</v>
      </c>
    </row>
    <row r="44" spans="2:5" ht="15.75">
      <c r="B44" s="267" t="s">
        <v>818</v>
      </c>
      <c r="C44" s="270">
        <f>C34+C43</f>
        <v>688554</v>
      </c>
      <c r="D44" s="270">
        <f>D34+D43</f>
        <v>752997</v>
      </c>
      <c r="E44" s="270">
        <f>E34+E43</f>
        <v>801217</v>
      </c>
    </row>
    <row r="45" spans="2:5" ht="15.75">
      <c r="B45" s="153" t="s">
        <v>820</v>
      </c>
      <c r="C45" s="231"/>
      <c r="D45" s="231"/>
      <c r="E45" s="231"/>
    </row>
    <row r="46" spans="2:5" ht="15.75">
      <c r="B46" s="655" t="s">
        <v>516</v>
      </c>
      <c r="C46" s="68">
        <f>102602+73546+115789</f>
        <v>291937</v>
      </c>
      <c r="D46" s="68">
        <f>97500+76000+116000</f>
        <v>289500</v>
      </c>
      <c r="E46" s="68">
        <f>100500+76500+136000</f>
        <v>313000</v>
      </c>
    </row>
    <row r="47" spans="2:5" ht="15.75">
      <c r="B47" s="655" t="s">
        <v>717</v>
      </c>
      <c r="C47" s="68">
        <f>21771+92572+29703</f>
        <v>144046</v>
      </c>
      <c r="D47" s="68">
        <f>22000+97000+30779</f>
        <v>149779</v>
      </c>
      <c r="E47" s="68">
        <f>21500+88250+15250</f>
        <v>125000</v>
      </c>
    </row>
    <row r="48" spans="2:5" ht="15.75">
      <c r="B48" s="655" t="s">
        <v>518</v>
      </c>
      <c r="C48" s="68">
        <f>3795+18426+22941</f>
        <v>45162</v>
      </c>
      <c r="D48" s="68">
        <f>5500+26500+33750</f>
        <v>65750</v>
      </c>
      <c r="E48" s="68">
        <f>5500+27500+37000</f>
        <v>70000</v>
      </c>
    </row>
    <row r="49" spans="2:5" ht="15.75">
      <c r="B49" s="655" t="s">
        <v>519</v>
      </c>
      <c r="C49" s="68">
        <f>2444+1078</f>
        <v>3522</v>
      </c>
      <c r="D49" s="68">
        <f>2000+2000+31000</f>
        <v>35000</v>
      </c>
      <c r="E49" s="68">
        <f>1500+4000+31000</f>
        <v>36500</v>
      </c>
    </row>
    <row r="50" spans="2:5" ht="15.75">
      <c r="B50" s="655" t="s">
        <v>723</v>
      </c>
      <c r="C50" s="68">
        <v>7000</v>
      </c>
      <c r="D50" s="68">
        <v>7000</v>
      </c>
      <c r="E50" s="68">
        <v>7000</v>
      </c>
    </row>
    <row r="51" spans="2:5" ht="15.75">
      <c r="B51" s="655" t="s">
        <v>724</v>
      </c>
      <c r="C51" s="68">
        <v>0</v>
      </c>
      <c r="D51" s="68">
        <v>0</v>
      </c>
      <c r="E51" s="68">
        <v>0</v>
      </c>
    </row>
    <row r="52" spans="2:5" ht="15.75">
      <c r="B52" s="655" t="s">
        <v>725</v>
      </c>
      <c r="C52" s="68">
        <v>107440</v>
      </c>
      <c r="D52" s="68">
        <f>49440+22500+40600</f>
        <v>112540</v>
      </c>
      <c r="E52" s="68">
        <v>120000</v>
      </c>
    </row>
    <row r="53" spans="2:5" ht="15.75">
      <c r="B53" s="655" t="s">
        <v>512</v>
      </c>
      <c r="C53" s="68">
        <v>0</v>
      </c>
      <c r="D53" s="68">
        <v>0</v>
      </c>
      <c r="E53" s="68">
        <v>129717</v>
      </c>
    </row>
    <row r="54" spans="2:5" ht="15.75">
      <c r="B54" s="277" t="s">
        <v>49</v>
      </c>
      <c r="C54" s="68">
        <v>0</v>
      </c>
      <c r="D54" s="261">
        <f>671+40</f>
        <v>711</v>
      </c>
      <c r="E54" s="261">
        <v>0</v>
      </c>
    </row>
    <row r="55" spans="2:5" ht="15.75">
      <c r="B55" s="277" t="s">
        <v>139</v>
      </c>
      <c r="C55" s="305">
        <f>IF(C56*0.1&lt;C54,"Exceed 10% Rule","")</f>
      </c>
      <c r="D55" s="266">
        <f>IF(D56*0.1&lt;D54,"Exceed 10% Rule","")</f>
      </c>
      <c r="E55" s="266">
        <f>IF(E56*0.1&lt;E54,"Exceed 10% Rule","")</f>
      </c>
    </row>
    <row r="56" spans="2:5" ht="15.75">
      <c r="B56" s="267" t="s">
        <v>824</v>
      </c>
      <c r="C56" s="270">
        <f>SUM(C46:C54)</f>
        <v>599107</v>
      </c>
      <c r="D56" s="270">
        <f>SUM(D46:D54)</f>
        <v>660280</v>
      </c>
      <c r="E56" s="270">
        <f>SUM(E46:E54)</f>
        <v>801217</v>
      </c>
    </row>
    <row r="57" spans="2:5" ht="15.75">
      <c r="B57" s="153" t="s">
        <v>933</v>
      </c>
      <c r="C57" s="83">
        <f>C44-C56</f>
        <v>89447</v>
      </c>
      <c r="D57" s="83">
        <f>D44-D56</f>
        <v>92717</v>
      </c>
      <c r="E57" s="83">
        <f>E44-E56</f>
        <v>0</v>
      </c>
    </row>
    <row r="58" spans="2:5" ht="15.75">
      <c r="B58" s="139" t="str">
        <f>CONCATENATE("",E1-2,"/",E1-1," Budget Authority Amount:")</f>
        <v>2010/2011 Budget Authority Amount:</v>
      </c>
      <c r="C58" s="244">
        <f>inputOth!B75</f>
        <v>729323</v>
      </c>
      <c r="D58" s="244">
        <f>inputPrYr!D35</f>
        <v>764643</v>
      </c>
      <c r="E58" s="391">
        <f>IF(E57&lt;0,"See Tab E","")</f>
      </c>
    </row>
    <row r="59" spans="2:5" ht="15.75">
      <c r="B59" s="139"/>
      <c r="C59" s="280">
        <f>IF(C56&gt;C58,"See Tab A","")</f>
      </c>
      <c r="D59" s="280">
        <f>IF(D56&gt;D58,"See Tab C","")</f>
      </c>
      <c r="E59" s="48"/>
    </row>
    <row r="60" spans="2:5" ht="15.75">
      <c r="B60" s="139"/>
      <c r="C60" s="280">
        <f>IF(C57&lt;0,"See Tab B","")</f>
      </c>
      <c r="D60" s="280">
        <f>IF(D57&lt;0,"See Tab D","")</f>
      </c>
      <c r="E60" s="48"/>
    </row>
    <row r="61" spans="2:5" ht="15.75">
      <c r="B61" s="48"/>
      <c r="C61" s="48"/>
      <c r="D61" s="48"/>
      <c r="E61" s="48"/>
    </row>
    <row r="62" spans="2:5" ht="15.75">
      <c r="B62" s="416" t="s">
        <v>827</v>
      </c>
      <c r="C62" s="285">
        <v>10</v>
      </c>
      <c r="D62" s="48"/>
      <c r="E62" s="48"/>
    </row>
  </sheetData>
  <sheetProtection/>
  <conditionalFormatting sqref="C23">
    <cfRule type="cellIs" priority="6" dxfId="7" operator="greaterThan" stopIfTrue="1">
      <formula>$C$25*0.1</formula>
    </cfRule>
  </conditionalFormatting>
  <conditionalFormatting sqref="D23">
    <cfRule type="cellIs" priority="7" dxfId="7" operator="greaterThan" stopIfTrue="1">
      <formula>$D$25*0.1</formula>
    </cfRule>
  </conditionalFormatting>
  <conditionalFormatting sqref="E23">
    <cfRule type="cellIs" priority="8" dxfId="7" operator="greaterThan" stopIfTrue="1">
      <formula>$E$25*0.1</formula>
    </cfRule>
  </conditionalFormatting>
  <conditionalFormatting sqref="C41">
    <cfRule type="cellIs" priority="9" dxfId="7" operator="greaterThan" stopIfTrue="1">
      <formula>$C$43*0.1</formula>
    </cfRule>
  </conditionalFormatting>
  <conditionalFormatting sqref="D41">
    <cfRule type="cellIs" priority="10" dxfId="7" operator="greaterThan" stopIfTrue="1">
      <formula>$D$43*0.1</formula>
    </cfRule>
  </conditionalFormatting>
  <conditionalFormatting sqref="E41">
    <cfRule type="cellIs" priority="11" dxfId="7" operator="greaterThan" stopIfTrue="1">
      <formula>$E$43*0.1</formula>
    </cfRule>
  </conditionalFormatting>
  <conditionalFormatting sqref="C54">
    <cfRule type="cellIs" priority="12" dxfId="7" operator="greaterThan" stopIfTrue="1">
      <formula>$C$56*0.1</formula>
    </cfRule>
  </conditionalFormatting>
  <conditionalFormatting sqref="D54">
    <cfRule type="cellIs" priority="13" dxfId="7" operator="greaterThan" stopIfTrue="1">
      <formula>$D$56*0.1</formula>
    </cfRule>
  </conditionalFormatting>
  <conditionalFormatting sqref="E54">
    <cfRule type="cellIs" priority="14" dxfId="7" operator="greaterThan" stopIfTrue="1">
      <formula>$E$56*0.1</formula>
    </cfRule>
  </conditionalFormatting>
  <conditionalFormatting sqref="D56">
    <cfRule type="cellIs" priority="15" dxfId="0" operator="greaterThan" stopIfTrue="1">
      <formula>$D$58</formula>
    </cfRule>
  </conditionalFormatting>
  <conditionalFormatting sqref="C56">
    <cfRule type="cellIs" priority="16" dxfId="0" operator="greaterThan" stopIfTrue="1">
      <formula>$C$58</formula>
    </cfRule>
  </conditionalFormatting>
  <conditionalFormatting sqref="C26:E26 C57:E57">
    <cfRule type="cellIs" priority="17" dxfId="0" operator="lessThan" stopIfTrue="1">
      <formula>0</formula>
    </cfRule>
  </conditionalFormatting>
  <conditionalFormatting sqref="D25">
    <cfRule type="cellIs" priority="18" dxfId="0" operator="greaterThan" stopIfTrue="1">
      <formula>$D$27</formula>
    </cfRule>
  </conditionalFormatting>
  <conditionalFormatting sqref="C25">
    <cfRule type="cellIs" priority="19" dxfId="0" operator="greaterThan" stopIfTrue="1">
      <formula>$C$27</formula>
    </cfRule>
  </conditionalFormatting>
  <conditionalFormatting sqref="C11">
    <cfRule type="cellIs" priority="3" dxfId="7" operator="greaterThan" stopIfTrue="1">
      <formula>$C$13*0.1</formula>
    </cfRule>
  </conditionalFormatting>
  <conditionalFormatting sqref="D11">
    <cfRule type="cellIs" priority="4" dxfId="7" operator="greaterThan" stopIfTrue="1">
      <formula>$D$13*0.1</formula>
    </cfRule>
  </conditionalFormatting>
  <conditionalFormatting sqref="E11">
    <cfRule type="cellIs" priority="5" dxfId="7" operator="greaterThan" stopIfTrue="1">
      <formula>$E$13*0.1</formula>
    </cfRule>
  </conditionalFormatting>
  <printOptions horizontalCentered="1"/>
  <pageMargins left="0.5" right="0.5" top="0.82" bottom="0.5" header="0.5" footer="0.5"/>
  <pageSetup blackAndWhite="1" fitToHeight="1" fitToWidth="1" horizontalDpi="120" verticalDpi="120" orientation="portrait" scale="8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77"/>
  <sheetViews>
    <sheetView zoomScalePageLayoutView="0" workbookViewId="0" topLeftCell="A34">
      <selection activeCell="E35" sqref="E35"/>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989</v>
      </c>
      <c r="D4" s="596" t="s">
        <v>959</v>
      </c>
      <c r="E4" s="596" t="s">
        <v>960</v>
      </c>
    </row>
    <row r="5" spans="2:5" ht="15.75">
      <c r="B5" s="555" t="str">
        <f>(inputPrYr!B36)</f>
        <v>Aquatics Center - Fund 07</v>
      </c>
      <c r="C5" s="254">
        <f>E1-2</f>
        <v>2010</v>
      </c>
      <c r="D5" s="254">
        <f>E1-1</f>
        <v>2011</v>
      </c>
      <c r="E5" s="254">
        <f>E1</f>
        <v>2012</v>
      </c>
    </row>
    <row r="6" spans="2:5" ht="15.75">
      <c r="B6" s="255" t="s">
        <v>932</v>
      </c>
      <c r="C6" s="68">
        <v>128685</v>
      </c>
      <c r="D6" s="231">
        <f>C34</f>
        <v>147810</v>
      </c>
      <c r="E6" s="231">
        <f>D34</f>
        <v>137840</v>
      </c>
    </row>
    <row r="7" spans="2:5" ht="15.75">
      <c r="B7" s="259" t="s">
        <v>934</v>
      </c>
      <c r="C7" s="88"/>
      <c r="D7" s="88"/>
      <c r="E7" s="88"/>
    </row>
    <row r="8" spans="2:5" ht="15.75">
      <c r="B8" s="655" t="s">
        <v>726</v>
      </c>
      <c r="C8" s="68">
        <v>10170</v>
      </c>
      <c r="D8" s="68">
        <v>14270</v>
      </c>
      <c r="E8" s="68">
        <v>14000</v>
      </c>
    </row>
    <row r="9" spans="2:5" ht="15.75">
      <c r="B9" s="655" t="s">
        <v>727</v>
      </c>
      <c r="C9" s="68">
        <v>37401</v>
      </c>
      <c r="D9" s="68">
        <v>30000</v>
      </c>
      <c r="E9" s="68">
        <v>35000</v>
      </c>
    </row>
    <row r="10" spans="2:5" ht="15.75">
      <c r="B10" s="655" t="s">
        <v>728</v>
      </c>
      <c r="C10" s="68">
        <v>12680</v>
      </c>
      <c r="D10" s="68">
        <v>12000</v>
      </c>
      <c r="E10" s="68">
        <v>12000</v>
      </c>
    </row>
    <row r="11" spans="2:5" ht="15.75">
      <c r="B11" s="655" t="s">
        <v>729</v>
      </c>
      <c r="C11" s="68">
        <v>19157</v>
      </c>
      <c r="D11" s="68">
        <v>18000</v>
      </c>
      <c r="E11" s="68">
        <v>20000</v>
      </c>
    </row>
    <row r="12" spans="2:5" ht="15.75">
      <c r="B12" s="655" t="s">
        <v>477</v>
      </c>
      <c r="C12" s="68">
        <v>2800</v>
      </c>
      <c r="D12" s="68">
        <v>3200</v>
      </c>
      <c r="E12" s="68">
        <v>4000</v>
      </c>
    </row>
    <row r="13" spans="2:5" ht="15.75">
      <c r="B13" s="655" t="s">
        <v>730</v>
      </c>
      <c r="C13" s="68">
        <v>9813</v>
      </c>
      <c r="D13" s="68">
        <v>7900</v>
      </c>
      <c r="E13" s="68">
        <v>10000</v>
      </c>
    </row>
    <row r="14" spans="2:5" ht="15.75">
      <c r="B14" s="655" t="s">
        <v>515</v>
      </c>
      <c r="C14" s="68">
        <v>4023</v>
      </c>
      <c r="D14" s="68">
        <f>110+287</f>
        <v>397</v>
      </c>
      <c r="E14" s="68">
        <v>0</v>
      </c>
    </row>
    <row r="15" spans="2:5" ht="15.75">
      <c r="B15" s="655" t="s">
        <v>731</v>
      </c>
      <c r="C15" s="68">
        <v>1620</v>
      </c>
      <c r="D15" s="68">
        <v>1500</v>
      </c>
      <c r="E15" s="68">
        <v>1500</v>
      </c>
    </row>
    <row r="16" spans="2:5" ht="15.75">
      <c r="B16" s="655" t="s">
        <v>732</v>
      </c>
      <c r="C16" s="68">
        <v>150000</v>
      </c>
      <c r="D16" s="68">
        <v>150000</v>
      </c>
      <c r="E16" s="68">
        <v>150000</v>
      </c>
    </row>
    <row r="17" spans="2:5" ht="15.75">
      <c r="B17" s="649" t="s">
        <v>816</v>
      </c>
      <c r="C17" s="68">
        <v>812</v>
      </c>
      <c r="D17" s="68">
        <v>650</v>
      </c>
      <c r="E17" s="68">
        <v>500</v>
      </c>
    </row>
    <row r="18" spans="2:5" ht="15.75">
      <c r="B18" s="162" t="s">
        <v>49</v>
      </c>
      <c r="C18" s="68">
        <v>0</v>
      </c>
      <c r="D18" s="261">
        <v>0</v>
      </c>
      <c r="E18" s="261">
        <v>0</v>
      </c>
    </row>
    <row r="19" spans="2:5" ht="15.75">
      <c r="B19" s="255" t="s">
        <v>138</v>
      </c>
      <c r="C19" s="305">
        <f>IF(C20*0.1&lt;C18,"Exceed 10% Rule","")</f>
      </c>
      <c r="D19" s="266">
        <f>IF(D20*0.1&lt;D18,"Exceed 10% Rule","")</f>
      </c>
      <c r="E19" s="266">
        <f>IF(E20*0.1&lt;E18,"Exceed 10% Rule","")</f>
      </c>
    </row>
    <row r="20" spans="2:5" ht="15.75">
      <c r="B20" s="267" t="s">
        <v>817</v>
      </c>
      <c r="C20" s="270">
        <f>SUM(C8:C18)</f>
        <v>248476</v>
      </c>
      <c r="D20" s="270">
        <f>SUM(D8:D18)</f>
        <v>237917</v>
      </c>
      <c r="E20" s="270">
        <f>SUM(E8:E18)</f>
        <v>247000</v>
      </c>
    </row>
    <row r="21" spans="2:5" ht="15.75">
      <c r="B21" s="267" t="s">
        <v>818</v>
      </c>
      <c r="C21" s="270">
        <f>C6+C20</f>
        <v>377161</v>
      </c>
      <c r="D21" s="270">
        <f>D6+D20</f>
        <v>385727</v>
      </c>
      <c r="E21" s="270">
        <f>E6+E20</f>
        <v>384840</v>
      </c>
    </row>
    <row r="22" spans="2:5" ht="15.75">
      <c r="B22" s="153" t="s">
        <v>820</v>
      </c>
      <c r="C22" s="231"/>
      <c r="D22" s="231"/>
      <c r="E22" s="231"/>
    </row>
    <row r="23" spans="2:5" ht="15.75">
      <c r="B23" s="655" t="s">
        <v>516</v>
      </c>
      <c r="C23" s="68">
        <f>43172+83664+3000+870</f>
        <v>130706</v>
      </c>
      <c r="D23" s="68">
        <f>46000+85000+3850</f>
        <v>134850</v>
      </c>
      <c r="E23" s="68">
        <f>47940+88000+3000+900</f>
        <v>139840</v>
      </c>
    </row>
    <row r="24" spans="2:5" ht="15.75">
      <c r="B24" s="655" t="s">
        <v>717</v>
      </c>
      <c r="C24" s="68">
        <f>621+1431+3617+14630+2557</f>
        <v>22856</v>
      </c>
      <c r="D24" s="68">
        <f>675+600+1300+3577+16000+4000</f>
        <v>26152</v>
      </c>
      <c r="E24" s="68">
        <f>700+1000+1300+4600+18000+10000</f>
        <v>35600</v>
      </c>
    </row>
    <row r="25" spans="2:5" ht="15.75">
      <c r="B25" s="655" t="s">
        <v>518</v>
      </c>
      <c r="C25" s="68">
        <f>92+211+12845+5393+18+2991+9025+3</f>
        <v>30578</v>
      </c>
      <c r="D25" s="68">
        <f>200+15000+7500+250+2000+296+11000</f>
        <v>36246</v>
      </c>
      <c r="E25" s="68">
        <f>200+18000+2000+12000+300+2500+13000</f>
        <v>48000</v>
      </c>
    </row>
    <row r="26" spans="2:5" ht="15.75">
      <c r="B26" s="655" t="s">
        <v>519</v>
      </c>
      <c r="C26" s="68">
        <v>4136</v>
      </c>
      <c r="D26" s="68">
        <f>6000+3839</f>
        <v>9839</v>
      </c>
      <c r="E26" s="68">
        <v>13000</v>
      </c>
    </row>
    <row r="27" spans="2:5" ht="15.75">
      <c r="B27" s="655" t="s">
        <v>725</v>
      </c>
      <c r="C27" s="68">
        <v>39300</v>
      </c>
      <c r="D27" s="68">
        <v>39300</v>
      </c>
      <c r="E27" s="68">
        <v>39300</v>
      </c>
    </row>
    <row r="28" spans="2:5" ht="15.75">
      <c r="B28" s="655" t="s">
        <v>731</v>
      </c>
      <c r="C28" s="68">
        <v>1701</v>
      </c>
      <c r="D28" s="68">
        <v>1500</v>
      </c>
      <c r="E28" s="68">
        <v>1500</v>
      </c>
    </row>
    <row r="29" spans="2:5" ht="15.75">
      <c r="B29" s="655" t="s">
        <v>733</v>
      </c>
      <c r="C29" s="68">
        <v>74</v>
      </c>
      <c r="D29" s="68">
        <v>0</v>
      </c>
      <c r="E29" s="68">
        <v>0</v>
      </c>
    </row>
    <row r="30" spans="2:5" ht="15.75">
      <c r="B30" s="655" t="s">
        <v>512</v>
      </c>
      <c r="C30" s="68">
        <v>0</v>
      </c>
      <c r="D30" s="68">
        <v>0</v>
      </c>
      <c r="E30" s="68">
        <v>107600</v>
      </c>
    </row>
    <row r="31" spans="2:5" ht="15.75">
      <c r="B31" s="277" t="s">
        <v>49</v>
      </c>
      <c r="C31" s="68">
        <v>0</v>
      </c>
      <c r="D31" s="261">
        <v>0</v>
      </c>
      <c r="E31" s="261">
        <v>0</v>
      </c>
    </row>
    <row r="32" spans="2:5" ht="15.75">
      <c r="B32" s="277" t="s">
        <v>139</v>
      </c>
      <c r="C32" s="305">
        <f>IF(C33*0.1&lt;C31,"Exceed 10% Rule","")</f>
      </c>
      <c r="D32" s="266">
        <f>IF(D33*0.1&lt;D31,"Exceed 10% Rule","")</f>
      </c>
      <c r="E32" s="266">
        <f>IF(E33*0.1&lt;E31,"Exceed 10% Rule","")</f>
      </c>
    </row>
    <row r="33" spans="2:5" ht="15.75">
      <c r="B33" s="267" t="s">
        <v>824</v>
      </c>
      <c r="C33" s="270">
        <f>SUM(C23:C31)</f>
        <v>229351</v>
      </c>
      <c r="D33" s="270">
        <f>SUM(D23:D31)</f>
        <v>247887</v>
      </c>
      <c r="E33" s="270">
        <f>SUM(E23:E31)</f>
        <v>384840</v>
      </c>
    </row>
    <row r="34" spans="2:5" ht="15.75">
      <c r="B34" s="153" t="s">
        <v>933</v>
      </c>
      <c r="C34" s="83">
        <f>C21-C33</f>
        <v>147810</v>
      </c>
      <c r="D34" s="83">
        <f>D21-D33</f>
        <v>137840</v>
      </c>
      <c r="E34" s="83">
        <f>E21-E33</f>
        <v>0</v>
      </c>
    </row>
    <row r="35" spans="2:5" ht="15.75">
      <c r="B35" s="139" t="str">
        <f>CONCATENATE("",E1-2,"/",E1-1," Budget Authority Amount:")</f>
        <v>2010/2011 Budget Authority Amount:</v>
      </c>
      <c r="C35" s="244">
        <f>inputOth!B76</f>
        <v>383465</v>
      </c>
      <c r="D35" s="244">
        <f>inputPrYr!D36</f>
        <v>360909</v>
      </c>
      <c r="E35" s="391">
        <f>IF(E34&lt;0,"See Tab E","")</f>
      </c>
    </row>
    <row r="36" spans="2:5" ht="15.75">
      <c r="B36" s="139"/>
      <c r="C36" s="280">
        <f>IF(C33&gt;C35,"See Tab A","")</f>
      </c>
      <c r="D36" s="280">
        <f>IF(D33&gt;D35,"See Tab C","")</f>
      </c>
      <c r="E36" s="98"/>
    </row>
    <row r="37" spans="2:5" ht="15.75">
      <c r="B37" s="139"/>
      <c r="C37" s="280">
        <f>IF(C34&lt;0,"See Tab B","")</f>
      </c>
      <c r="D37" s="280">
        <f>IF(D34&lt;0,"See Tab D","")</f>
      </c>
      <c r="E37" s="98"/>
    </row>
    <row r="38" spans="2:5" ht="15.75">
      <c r="B38" s="48"/>
      <c r="C38" s="98"/>
      <c r="D38" s="98"/>
      <c r="E38" s="98"/>
    </row>
    <row r="39" spans="2:5" ht="15.75">
      <c r="B39" s="53" t="s">
        <v>811</v>
      </c>
      <c r="C39" s="300"/>
      <c r="D39" s="300"/>
      <c r="E39" s="300"/>
    </row>
    <row r="40" spans="2:5" ht="15.75">
      <c r="B40" s="48"/>
      <c r="C40" s="597" t="s">
        <v>830</v>
      </c>
      <c r="D40" s="596" t="s">
        <v>959</v>
      </c>
      <c r="E40" s="596" t="s">
        <v>960</v>
      </c>
    </row>
    <row r="41" spans="2:5" ht="15.75">
      <c r="B41" s="555" t="str">
        <f>(inputPrYr!B37)</f>
        <v>Community Center - Fund 08</v>
      </c>
      <c r="C41" s="254">
        <f>C5</f>
        <v>2010</v>
      </c>
      <c r="D41" s="254">
        <f>D5</f>
        <v>2011</v>
      </c>
      <c r="E41" s="254">
        <f>E5</f>
        <v>2012</v>
      </c>
    </row>
    <row r="42" spans="2:5" ht="15.75">
      <c r="B42" s="255" t="s">
        <v>932</v>
      </c>
      <c r="C42" s="68">
        <v>27832</v>
      </c>
      <c r="D42" s="231">
        <f>C72</f>
        <v>37063</v>
      </c>
      <c r="E42" s="231">
        <f>D72</f>
        <v>34921</v>
      </c>
    </row>
    <row r="43" spans="2:5" ht="15.75">
      <c r="B43" s="259" t="s">
        <v>934</v>
      </c>
      <c r="C43" s="88"/>
      <c r="D43" s="88"/>
      <c r="E43" s="88"/>
    </row>
    <row r="44" spans="2:5" ht="15.75">
      <c r="B44" s="655" t="s">
        <v>734</v>
      </c>
      <c r="C44" s="68">
        <v>3875</v>
      </c>
      <c r="D44" s="68">
        <v>4000</v>
      </c>
      <c r="E44" s="68">
        <v>4000</v>
      </c>
    </row>
    <row r="45" spans="2:5" ht="15.75">
      <c r="B45" s="655" t="s">
        <v>482</v>
      </c>
      <c r="C45" s="68">
        <v>14800</v>
      </c>
      <c r="D45" s="68">
        <v>10000</v>
      </c>
      <c r="E45" s="68">
        <v>12000</v>
      </c>
    </row>
    <row r="46" spans="2:5" ht="15.75">
      <c r="B46" s="655" t="s">
        <v>729</v>
      </c>
      <c r="C46" s="68">
        <v>785</v>
      </c>
      <c r="D46" s="68">
        <v>1000</v>
      </c>
      <c r="E46" s="68">
        <v>1000</v>
      </c>
    </row>
    <row r="47" spans="2:5" ht="15.75">
      <c r="B47" s="655" t="s">
        <v>477</v>
      </c>
      <c r="C47" s="68">
        <v>15610</v>
      </c>
      <c r="D47" s="68">
        <v>12000</v>
      </c>
      <c r="E47" s="68">
        <v>14000</v>
      </c>
    </row>
    <row r="48" spans="2:5" ht="15.75">
      <c r="B48" s="655" t="s">
        <v>515</v>
      </c>
      <c r="C48" s="68">
        <v>1596</v>
      </c>
      <c r="D48" s="68">
        <v>1075</v>
      </c>
      <c r="E48" s="68">
        <v>1000</v>
      </c>
    </row>
    <row r="49" spans="2:5" ht="15.75">
      <c r="B49" s="655" t="s">
        <v>480</v>
      </c>
      <c r="C49" s="68">
        <v>205</v>
      </c>
      <c r="D49" s="68">
        <v>3000</v>
      </c>
      <c r="E49" s="68">
        <v>3000</v>
      </c>
    </row>
    <row r="50" spans="2:5" ht="15.75">
      <c r="B50" s="655" t="s">
        <v>735</v>
      </c>
      <c r="C50" s="68">
        <f>7750+2006</f>
        <v>9756</v>
      </c>
      <c r="D50" s="68">
        <f>8000+3800</f>
        <v>11800</v>
      </c>
      <c r="E50" s="68">
        <v>12000</v>
      </c>
    </row>
    <row r="51" spans="2:5" ht="15.75">
      <c r="B51" s="655" t="s">
        <v>736</v>
      </c>
      <c r="C51" s="68">
        <v>0</v>
      </c>
      <c r="D51" s="68">
        <v>0</v>
      </c>
      <c r="E51" s="68">
        <v>0</v>
      </c>
    </row>
    <row r="52" spans="2:5" ht="15.75">
      <c r="B52" s="655" t="s">
        <v>731</v>
      </c>
      <c r="C52" s="68">
        <v>63</v>
      </c>
      <c r="D52" s="68">
        <v>47</v>
      </c>
      <c r="E52" s="68">
        <v>50</v>
      </c>
    </row>
    <row r="53" spans="2:5" ht="15.75">
      <c r="B53" s="655" t="s">
        <v>737</v>
      </c>
      <c r="C53" s="68">
        <v>78000</v>
      </c>
      <c r="D53" s="68">
        <v>78000</v>
      </c>
      <c r="E53" s="68">
        <v>78000</v>
      </c>
    </row>
    <row r="54" spans="2:5" ht="15.75">
      <c r="B54" s="649" t="s">
        <v>816</v>
      </c>
      <c r="C54" s="68">
        <v>215</v>
      </c>
      <c r="D54" s="68">
        <v>250</v>
      </c>
      <c r="E54" s="68">
        <v>100</v>
      </c>
    </row>
    <row r="55" spans="2:5" ht="15.75">
      <c r="B55" s="162" t="s">
        <v>49</v>
      </c>
      <c r="C55" s="68">
        <v>0</v>
      </c>
      <c r="D55" s="261">
        <v>0</v>
      </c>
      <c r="E55" s="261">
        <v>0</v>
      </c>
    </row>
    <row r="56" spans="2:5" ht="15.75">
      <c r="B56" s="255" t="s">
        <v>138</v>
      </c>
      <c r="C56" s="305">
        <f>IF(C57*0.1&lt;C55,"Exceed 10% Rule","")</f>
      </c>
      <c r="D56" s="266">
        <f>IF(D57*0.1&lt;D55,"Exceed 10% Rule","")</f>
      </c>
      <c r="E56" s="266">
        <f>IF(E57*0.1&lt;E55,"Exceed 10% Rule","")</f>
      </c>
    </row>
    <row r="57" spans="2:5" ht="15.75">
      <c r="B57" s="267" t="s">
        <v>817</v>
      </c>
      <c r="C57" s="270">
        <f>SUM(C44:C55)</f>
        <v>124905</v>
      </c>
      <c r="D57" s="270">
        <f>SUM(D44:D55)</f>
        <v>121172</v>
      </c>
      <c r="E57" s="270">
        <f>SUM(E44:E55)</f>
        <v>125150</v>
      </c>
    </row>
    <row r="58" spans="2:5" ht="15.75">
      <c r="B58" s="267" t="s">
        <v>818</v>
      </c>
      <c r="C58" s="270">
        <f>C42+C57</f>
        <v>152737</v>
      </c>
      <c r="D58" s="270">
        <f>D42+D57</f>
        <v>158235</v>
      </c>
      <c r="E58" s="270">
        <f>E42+E57</f>
        <v>160071</v>
      </c>
    </row>
    <row r="59" spans="2:5" ht="15.75">
      <c r="B59" s="153" t="s">
        <v>820</v>
      </c>
      <c r="C59" s="231"/>
      <c r="D59" s="231"/>
      <c r="E59" s="231"/>
    </row>
    <row r="60" spans="2:5" ht="15.75">
      <c r="B60" s="655" t="s">
        <v>516</v>
      </c>
      <c r="C60" s="68">
        <f>45146+7474+2794</f>
        <v>55414</v>
      </c>
      <c r="D60" s="68">
        <f>43750+12500+2000</f>
        <v>58250</v>
      </c>
      <c r="E60" s="68">
        <f>44650+10000+2000</f>
        <v>56650</v>
      </c>
    </row>
    <row r="61" spans="2:5" ht="15.75">
      <c r="B61" s="655" t="s">
        <v>512</v>
      </c>
      <c r="C61" s="68">
        <v>0</v>
      </c>
      <c r="D61" s="68">
        <v>0</v>
      </c>
      <c r="E61" s="68">
        <v>34121</v>
      </c>
    </row>
    <row r="62" spans="2:5" ht="15.75">
      <c r="B62" s="655" t="s">
        <v>717</v>
      </c>
      <c r="C62" s="68">
        <f>1746+449+1708+4493+11440+3509+13609</f>
        <v>36954</v>
      </c>
      <c r="D62" s="68">
        <f>1710+500+2000+4526+13000+2000+14000</f>
        <v>37736</v>
      </c>
      <c r="E62" s="68">
        <f>1750+500+3000+5000+15500+2000+14000</f>
        <v>41750</v>
      </c>
    </row>
    <row r="63" spans="2:5" ht="15.75">
      <c r="B63" s="655" t="s">
        <v>518</v>
      </c>
      <c r="C63" s="68">
        <f>447+2373+53+1627+1965+362+383</f>
        <v>7210</v>
      </c>
      <c r="D63" s="68">
        <f>400+2400+2000+3000+600+78+400</f>
        <v>8878</v>
      </c>
      <c r="E63" s="68">
        <f>400+2400+1200+3000+500+500</f>
        <v>8000</v>
      </c>
    </row>
    <row r="64" spans="2:5" ht="15.75">
      <c r="B64" s="655" t="s">
        <v>519</v>
      </c>
      <c r="C64" s="68">
        <v>0</v>
      </c>
      <c r="D64" s="68">
        <v>1000</v>
      </c>
      <c r="E64" s="68">
        <v>1600</v>
      </c>
    </row>
    <row r="65" spans="2:5" ht="15.75">
      <c r="B65" s="655" t="s">
        <v>738</v>
      </c>
      <c r="C65" s="68">
        <f>795+780</f>
        <v>1575</v>
      </c>
      <c r="D65" s="68">
        <v>2000</v>
      </c>
      <c r="E65" s="68">
        <v>2250</v>
      </c>
    </row>
    <row r="66" spans="2:5" ht="15.75">
      <c r="B66" s="655" t="s">
        <v>725</v>
      </c>
      <c r="C66" s="68">
        <v>13500</v>
      </c>
      <c r="D66" s="68">
        <v>15000</v>
      </c>
      <c r="E66" s="68">
        <v>15000</v>
      </c>
    </row>
    <row r="67" spans="2:5" ht="15.75">
      <c r="B67" s="655" t="s">
        <v>731</v>
      </c>
      <c r="C67" s="68">
        <v>61</v>
      </c>
      <c r="D67" s="68">
        <v>100</v>
      </c>
      <c r="E67" s="68">
        <v>100</v>
      </c>
    </row>
    <row r="68" spans="2:5" ht="15.75">
      <c r="B68" s="655" t="s">
        <v>733</v>
      </c>
      <c r="C68" s="68">
        <v>925</v>
      </c>
      <c r="D68" s="68">
        <v>250</v>
      </c>
      <c r="E68" s="68">
        <v>500</v>
      </c>
    </row>
    <row r="69" spans="2:5" ht="15.75">
      <c r="B69" s="277" t="s">
        <v>49</v>
      </c>
      <c r="C69" s="68">
        <v>35</v>
      </c>
      <c r="D69" s="261">
        <v>100</v>
      </c>
      <c r="E69" s="261">
        <v>100</v>
      </c>
    </row>
    <row r="70" spans="2:5" ht="15.75">
      <c r="B70" s="277" t="s">
        <v>139</v>
      </c>
      <c r="C70" s="305">
        <f>IF(C71*0.1&lt;C69,"Exceed 10% Rule","")</f>
      </c>
      <c r="D70" s="266">
        <f>IF(D71*0.1&lt;D69,"Exceed 10% Rule","")</f>
      </c>
      <c r="E70" s="266">
        <f>IF(E71*0.1&lt;E69,"Exceed 10% Rule","")</f>
      </c>
    </row>
    <row r="71" spans="2:5" ht="15.75">
      <c r="B71" s="267" t="s">
        <v>824</v>
      </c>
      <c r="C71" s="270">
        <f>SUM(C60:C69)</f>
        <v>115674</v>
      </c>
      <c r="D71" s="270">
        <f>SUM(D60:D69)</f>
        <v>123314</v>
      </c>
      <c r="E71" s="270">
        <f>SUM(E60:E69)</f>
        <v>160071</v>
      </c>
    </row>
    <row r="72" spans="2:5" ht="15.75">
      <c r="B72" s="153" t="s">
        <v>933</v>
      </c>
      <c r="C72" s="83">
        <f>C58-C71</f>
        <v>37063</v>
      </c>
      <c r="D72" s="83">
        <f>D58-D71</f>
        <v>34921</v>
      </c>
      <c r="E72" s="83">
        <f>E58-E71</f>
        <v>0</v>
      </c>
    </row>
    <row r="73" spans="2:5" ht="15.75">
      <c r="B73" s="139" t="str">
        <f>CONCATENATE("",E1-2,"/",E1-1," Budget Authority Amount:")</f>
        <v>2010/2011 Budget Authority Amount:</v>
      </c>
      <c r="C73" s="244">
        <f>inputOth!B77</f>
        <v>157499</v>
      </c>
      <c r="D73" s="244">
        <f>inputPrYr!D37</f>
        <v>152766</v>
      </c>
      <c r="E73" s="391">
        <f>IF(E72&lt;0,"See Tab E","")</f>
      </c>
    </row>
    <row r="74" spans="2:5" ht="15.75">
      <c r="B74" s="139"/>
      <c r="C74" s="280">
        <f>IF(C71&gt;C73,"See Tab A","")</f>
      </c>
      <c r="D74" s="280">
        <f>IF(D71&gt;D73,"See Tab C","")</f>
      </c>
      <c r="E74" s="48"/>
    </row>
    <row r="75" spans="2:5" ht="15.75">
      <c r="B75" s="139"/>
      <c r="C75" s="280">
        <f>IF(C72&lt;0,"See Tab B","")</f>
      </c>
      <c r="D75" s="280">
        <f>IF(D72&lt;0,"See Tab D","")</f>
      </c>
      <c r="E75" s="48"/>
    </row>
    <row r="76" spans="2:5" ht="15.75">
      <c r="B76" s="48"/>
      <c r="C76" s="48"/>
      <c r="D76" s="48"/>
      <c r="E76" s="48"/>
    </row>
    <row r="77" spans="2:5" ht="15.75">
      <c r="B77" s="416" t="s">
        <v>827</v>
      </c>
      <c r="C77" s="285">
        <v>11</v>
      </c>
      <c r="D77" s="48"/>
      <c r="E77" s="48"/>
    </row>
  </sheetData>
  <sheetProtection/>
  <conditionalFormatting sqref="C18">
    <cfRule type="cellIs" priority="3" dxfId="7" operator="greaterThan" stopIfTrue="1">
      <formula>$C$20*0.1</formula>
    </cfRule>
  </conditionalFormatting>
  <conditionalFormatting sqref="D18">
    <cfRule type="cellIs" priority="4" dxfId="7" operator="greaterThan" stopIfTrue="1">
      <formula>$D$20*0.1</formula>
    </cfRule>
  </conditionalFormatting>
  <conditionalFormatting sqref="E18">
    <cfRule type="cellIs" priority="5" dxfId="7" operator="greaterThan" stopIfTrue="1">
      <formula>$E$20*0.1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E31">
    <cfRule type="cellIs" priority="8" dxfId="7" operator="greaterThan" stopIfTrue="1">
      <formula>$E$33*0.1</formula>
    </cfRule>
  </conditionalFormatting>
  <conditionalFormatting sqref="C55">
    <cfRule type="cellIs" priority="9" dxfId="7" operator="greaterThan" stopIfTrue="1">
      <formula>$C$57*0.1</formula>
    </cfRule>
  </conditionalFormatting>
  <conditionalFormatting sqref="D55">
    <cfRule type="cellIs" priority="10" dxfId="7" operator="greaterThan" stopIfTrue="1">
      <formula>$D$57*0.1</formula>
    </cfRule>
  </conditionalFormatting>
  <conditionalFormatting sqref="E55">
    <cfRule type="cellIs" priority="11" dxfId="7" operator="greaterThan" stopIfTrue="1">
      <formula>$E$57*0.1</formula>
    </cfRule>
  </conditionalFormatting>
  <conditionalFormatting sqref="C69">
    <cfRule type="cellIs" priority="12" dxfId="7" operator="greaterThan" stopIfTrue="1">
      <formula>$C$71*0.1</formula>
    </cfRule>
  </conditionalFormatting>
  <conditionalFormatting sqref="D69">
    <cfRule type="cellIs" priority="13" dxfId="7" operator="greaterThan" stopIfTrue="1">
      <formula>$D$71*0.1</formula>
    </cfRule>
  </conditionalFormatting>
  <conditionalFormatting sqref="E69">
    <cfRule type="cellIs" priority="14" dxfId="7" operator="greaterThan" stopIfTrue="1">
      <formula>$E$71*0.1</formula>
    </cfRule>
  </conditionalFormatting>
  <conditionalFormatting sqref="D71">
    <cfRule type="cellIs" priority="15" dxfId="0" operator="greaterThan" stopIfTrue="1">
      <formula>$D$73</formula>
    </cfRule>
  </conditionalFormatting>
  <conditionalFormatting sqref="C71">
    <cfRule type="cellIs" priority="16" dxfId="0" operator="greaterThan" stopIfTrue="1">
      <formula>$C$73</formula>
    </cfRule>
  </conditionalFormatting>
  <conditionalFormatting sqref="C72:E72 C34:E34">
    <cfRule type="cellIs" priority="17" dxfId="0" operator="lessThan" stopIfTrue="1">
      <formula>0</formula>
    </cfRule>
  </conditionalFormatting>
  <conditionalFormatting sqref="D33">
    <cfRule type="cellIs" priority="18" dxfId="0" operator="greaterThan" stopIfTrue="1">
      <formula>$D$35</formula>
    </cfRule>
  </conditionalFormatting>
  <conditionalFormatting sqref="C33">
    <cfRule type="cellIs" priority="19" dxfId="0" operator="greaterThan" stopIfTrue="1">
      <formula>$C$35</formula>
    </cfRule>
  </conditionalFormatting>
  <printOptions horizontalCentered="1"/>
  <pageMargins left="0.5" right="0.5" top="0.77"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0"/>
  <sheetViews>
    <sheetView zoomScalePageLayoutView="0" workbookViewId="0" topLeftCell="A19">
      <selection activeCell="E29" sqref="E29"/>
    </sheetView>
  </sheetViews>
  <sheetFormatPr defaultColWidth="8.796875" defaultRowHeight="15"/>
  <cols>
    <col min="1" max="1" width="2.3984375" style="46" customWidth="1"/>
    <col min="2" max="2" width="33.59765625" style="46" customWidth="1"/>
    <col min="3" max="4" width="15.796875" style="46" customWidth="1"/>
    <col min="5" max="5" width="16.0976562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(inputPrYr!B38)</f>
        <v>Water Utility - Fund 09</v>
      </c>
      <c r="C5" s="254">
        <f>E1-2</f>
        <v>2010</v>
      </c>
      <c r="D5" s="254">
        <f>E1-1</f>
        <v>2011</v>
      </c>
      <c r="E5" s="254">
        <f>E1</f>
        <v>2012</v>
      </c>
    </row>
    <row r="6" spans="2:5" ht="15.75">
      <c r="B6" s="255" t="s">
        <v>932</v>
      </c>
      <c r="C6" s="68">
        <v>114768</v>
      </c>
      <c r="D6" s="231">
        <f>C34</f>
        <v>242338</v>
      </c>
      <c r="E6" s="231">
        <f>D34</f>
        <v>318686</v>
      </c>
    </row>
    <row r="7" spans="2:5" ht="15.75">
      <c r="B7" s="259" t="s">
        <v>934</v>
      </c>
      <c r="C7" s="88"/>
      <c r="D7" s="88"/>
      <c r="E7" s="88"/>
    </row>
    <row r="8" spans="2:5" ht="15.75">
      <c r="B8" s="655" t="s">
        <v>739</v>
      </c>
      <c r="C8" s="68">
        <v>1557404</v>
      </c>
      <c r="D8" s="68">
        <v>1700000</v>
      </c>
      <c r="E8" s="68">
        <v>1800000</v>
      </c>
    </row>
    <row r="9" spans="2:5" ht="15.75">
      <c r="B9" s="655" t="s">
        <v>740</v>
      </c>
      <c r="C9" s="68">
        <v>24939</v>
      </c>
      <c r="D9" s="68">
        <v>30000</v>
      </c>
      <c r="E9" s="68">
        <v>30000</v>
      </c>
    </row>
    <row r="10" spans="2:5" ht="15.75">
      <c r="B10" s="655" t="s">
        <v>741</v>
      </c>
      <c r="C10" s="68">
        <v>9797</v>
      </c>
      <c r="D10" s="68">
        <v>10000</v>
      </c>
      <c r="E10" s="68">
        <v>10000</v>
      </c>
    </row>
    <row r="11" spans="2:5" ht="15.75">
      <c r="B11" s="655" t="s">
        <v>742</v>
      </c>
      <c r="C11" s="68">
        <v>20452</v>
      </c>
      <c r="D11" s="68">
        <v>18000</v>
      </c>
      <c r="E11" s="68">
        <v>15000</v>
      </c>
    </row>
    <row r="12" spans="2:5" ht="15.75">
      <c r="B12" s="655" t="s">
        <v>722</v>
      </c>
      <c r="C12" s="68">
        <v>7805</v>
      </c>
      <c r="D12" s="68">
        <v>8000</v>
      </c>
      <c r="E12" s="68">
        <v>10000</v>
      </c>
    </row>
    <row r="13" spans="2:5" ht="15.75">
      <c r="B13" s="655" t="s">
        <v>477</v>
      </c>
      <c r="C13" s="68">
        <v>1000</v>
      </c>
      <c r="D13" s="68">
        <v>1000</v>
      </c>
      <c r="E13" s="68">
        <v>1000</v>
      </c>
    </row>
    <row r="14" spans="2:5" ht="15.75">
      <c r="B14" s="655" t="s">
        <v>731</v>
      </c>
      <c r="C14" s="68">
        <v>23917</v>
      </c>
      <c r="D14" s="68">
        <v>20000</v>
      </c>
      <c r="E14" s="68">
        <v>20000</v>
      </c>
    </row>
    <row r="15" spans="2:5" ht="15.75">
      <c r="B15" s="655" t="s">
        <v>515</v>
      </c>
      <c r="C15" s="68">
        <v>32137</v>
      </c>
      <c r="D15" s="68">
        <v>55000</v>
      </c>
      <c r="E15" s="68">
        <v>56000</v>
      </c>
    </row>
    <row r="16" spans="2:5" ht="15.75">
      <c r="B16" s="655" t="s">
        <v>743</v>
      </c>
      <c r="C16" s="68">
        <v>300000</v>
      </c>
      <c r="D16" s="68">
        <v>0</v>
      </c>
      <c r="E16" s="68">
        <v>0</v>
      </c>
    </row>
    <row r="17" spans="2:5" ht="15.75">
      <c r="B17" s="649" t="s">
        <v>816</v>
      </c>
      <c r="C17" s="68">
        <v>677</v>
      </c>
      <c r="D17" s="68">
        <v>1500</v>
      </c>
      <c r="E17" s="68">
        <v>1200</v>
      </c>
    </row>
    <row r="18" spans="2:5" ht="15.75">
      <c r="B18" s="162" t="s">
        <v>49</v>
      </c>
      <c r="C18" s="68">
        <v>1</v>
      </c>
      <c r="D18" s="261">
        <v>-23</v>
      </c>
      <c r="E18" s="261">
        <v>0</v>
      </c>
    </row>
    <row r="19" spans="2:5" ht="15.75">
      <c r="B19" s="255" t="s">
        <v>138</v>
      </c>
      <c r="C19" s="305">
        <f>IF(C20*0.1&lt;C18,"Exceed 10% Rule","")</f>
      </c>
      <c r="D19" s="266">
        <f>IF(D20*0.1&lt;D18,"Exceed 10% Rule","")</f>
      </c>
      <c r="E19" s="266">
        <f>IF(E20*0.1&lt;E18,"Exceed 10% Rule","")</f>
      </c>
    </row>
    <row r="20" spans="2:5" ht="15.75">
      <c r="B20" s="267" t="s">
        <v>817</v>
      </c>
      <c r="C20" s="270">
        <f>SUM(C8:C18)</f>
        <v>1978129</v>
      </c>
      <c r="D20" s="270">
        <f>SUM(D8:D18)</f>
        <v>1843477</v>
      </c>
      <c r="E20" s="270">
        <f>SUM(E8:E18)</f>
        <v>1943200</v>
      </c>
    </row>
    <row r="21" spans="2:5" ht="15.75">
      <c r="B21" s="267" t="s">
        <v>818</v>
      </c>
      <c r="C21" s="270">
        <f>C6+C20</f>
        <v>2092897</v>
      </c>
      <c r="D21" s="270">
        <f>D6+D20</f>
        <v>2085815</v>
      </c>
      <c r="E21" s="270">
        <f>E6+E20</f>
        <v>2261886</v>
      </c>
    </row>
    <row r="22" spans="2:5" ht="15.75">
      <c r="B22" s="153" t="s">
        <v>820</v>
      </c>
      <c r="C22" s="231"/>
      <c r="D22" s="231"/>
      <c r="E22" s="231"/>
    </row>
    <row r="23" spans="2:5" ht="15.75">
      <c r="B23" s="655" t="s">
        <v>516</v>
      </c>
      <c r="C23" s="68">
        <f>97548+50350+149819</f>
        <v>297717</v>
      </c>
      <c r="D23" s="68">
        <f>81500+48600+116500</f>
        <v>246600</v>
      </c>
      <c r="E23" s="68">
        <f>84600+50000+127000</f>
        <v>261600</v>
      </c>
    </row>
    <row r="24" spans="2:5" ht="15.75">
      <c r="B24" s="655" t="s">
        <v>717</v>
      </c>
      <c r="C24" s="68">
        <f>13932+13177+16993+1167125</f>
        <v>1211227</v>
      </c>
      <c r="D24" s="68">
        <f>14500+6000+1171389+20600</f>
        <v>1212489</v>
      </c>
      <c r="E24" s="68">
        <f>16000+4500+1228470+22600</f>
        <v>1271570</v>
      </c>
    </row>
    <row r="25" spans="2:5" ht="15.75">
      <c r="B25" s="655" t="s">
        <v>518</v>
      </c>
      <c r="C25" s="68">
        <f>4321+1147+57403</f>
        <v>62871</v>
      </c>
      <c r="D25" s="68">
        <f>8500+1400+54500</f>
        <v>64400</v>
      </c>
      <c r="E25" s="68">
        <f>8750+1650+56000</f>
        <v>66400</v>
      </c>
    </row>
    <row r="26" spans="2:5" ht="15.75">
      <c r="B26" s="655" t="s">
        <v>519</v>
      </c>
      <c r="C26" s="68">
        <f>15696</f>
        <v>15696</v>
      </c>
      <c r="D26" s="68">
        <f>2000+19500</f>
        <v>21500</v>
      </c>
      <c r="E26" s="68">
        <f>2000+18500</f>
        <v>20500</v>
      </c>
    </row>
    <row r="27" spans="2:5" ht="15.75">
      <c r="B27" s="655" t="s">
        <v>731</v>
      </c>
      <c r="C27" s="68">
        <v>32843</v>
      </c>
      <c r="D27" s="68">
        <v>30000</v>
      </c>
      <c r="E27" s="68">
        <v>30000</v>
      </c>
    </row>
    <row r="28" spans="2:5" ht="15.75">
      <c r="B28" s="655" t="s">
        <v>725</v>
      </c>
      <c r="C28" s="68">
        <f>86640+20000+48000</f>
        <v>154640</v>
      </c>
      <c r="D28" s="68">
        <f>76640+15000+40000</f>
        <v>131640</v>
      </c>
      <c r="E28" s="68">
        <v>138750</v>
      </c>
    </row>
    <row r="29" spans="2:5" ht="15.75">
      <c r="B29" s="655" t="s">
        <v>744</v>
      </c>
      <c r="C29" s="68">
        <v>70000</v>
      </c>
      <c r="D29" s="68">
        <v>50000</v>
      </c>
      <c r="E29" s="68">
        <v>50000</v>
      </c>
    </row>
    <row r="30" spans="2:5" ht="15.75">
      <c r="B30" s="655" t="s">
        <v>484</v>
      </c>
      <c r="C30" s="68">
        <v>0</v>
      </c>
      <c r="D30" s="68">
        <v>0</v>
      </c>
      <c r="E30" s="68">
        <v>416566</v>
      </c>
    </row>
    <row r="31" spans="2:5" ht="15.75">
      <c r="B31" s="277" t="s">
        <v>49</v>
      </c>
      <c r="C31" s="68">
        <v>5565</v>
      </c>
      <c r="D31" s="261">
        <v>10500</v>
      </c>
      <c r="E31" s="261">
        <v>6500</v>
      </c>
    </row>
    <row r="32" spans="2:5" ht="15.75">
      <c r="B32" s="277" t="s">
        <v>139</v>
      </c>
      <c r="C32" s="305">
        <f>IF(C33*0.1&lt;C31,"Exceed 10% Rule","")</f>
      </c>
      <c r="D32" s="266">
        <f>IF(D33*0.1&lt;D31,"Exceed 10% Rule","")</f>
      </c>
      <c r="E32" s="266">
        <f>IF(E33*0.1&lt;E31,"Exceed 10% Rule","")</f>
      </c>
    </row>
    <row r="33" spans="2:5" ht="15.75">
      <c r="B33" s="267" t="s">
        <v>824</v>
      </c>
      <c r="C33" s="270">
        <f>SUM(C23:C31)</f>
        <v>1850559</v>
      </c>
      <c r="D33" s="270">
        <f>SUM(D23:D31)</f>
        <v>1767129</v>
      </c>
      <c r="E33" s="270">
        <f>SUM(E23:E31)</f>
        <v>2261886</v>
      </c>
    </row>
    <row r="34" spans="2:5" ht="15.75">
      <c r="B34" s="153" t="s">
        <v>933</v>
      </c>
      <c r="C34" s="83">
        <f>C21-C33</f>
        <v>242338</v>
      </c>
      <c r="D34" s="83">
        <f>D21-D33</f>
        <v>318686</v>
      </c>
      <c r="E34" s="83">
        <f>E21-E33</f>
        <v>0</v>
      </c>
    </row>
    <row r="35" spans="2:5" ht="15.75">
      <c r="B35" s="139" t="str">
        <f>CONCATENATE("",E1-2,"/",E1-1," Budget Authority Amount:")</f>
        <v>2010/2011 Budget Authority Amount:</v>
      </c>
      <c r="C35" s="244">
        <f>inputOth!B78</f>
        <v>2080349</v>
      </c>
      <c r="D35" s="244">
        <f>inputPrYr!D38</f>
        <v>1999749</v>
      </c>
      <c r="E35" s="391">
        <f>IF(E34&lt;0,"See Tab E","")</f>
      </c>
    </row>
    <row r="36" spans="2:5" ht="15.75">
      <c r="B36" s="139"/>
      <c r="C36" s="280">
        <f>IF(C33&gt;C35,"See Tab A","")</f>
      </c>
      <c r="D36" s="280">
        <f>IF(D33&gt;D35,"See Tab C","")</f>
      </c>
      <c r="E36" s="98"/>
    </row>
    <row r="37" spans="2:5" ht="15.75">
      <c r="B37" s="139"/>
      <c r="C37" s="280">
        <f>IF(C34&lt;0,"See Tab B","")</f>
      </c>
      <c r="D37" s="280">
        <f>IF(D34&lt;0,"See Tab D","")</f>
      </c>
      <c r="E37" s="98"/>
    </row>
    <row r="38" spans="2:5" ht="15.75">
      <c r="B38" s="48"/>
      <c r="C38" s="98"/>
      <c r="D38" s="98"/>
      <c r="E38" s="98"/>
    </row>
    <row r="39" spans="2:5" ht="15.75">
      <c r="B39" s="53" t="s">
        <v>811</v>
      </c>
      <c r="C39" s="300"/>
      <c r="D39" s="300"/>
      <c r="E39" s="300"/>
    </row>
    <row r="40" spans="2:5" ht="15.75">
      <c r="B40" s="48"/>
      <c r="C40" s="597" t="s">
        <v>830</v>
      </c>
      <c r="D40" s="596" t="s">
        <v>959</v>
      </c>
      <c r="E40" s="596" t="s">
        <v>960</v>
      </c>
    </row>
    <row r="41" spans="2:5" ht="15.75">
      <c r="B41" s="555" t="str">
        <f>(inputPrYr!B39)</f>
        <v>Sewer Reserve - Fund 11</v>
      </c>
      <c r="C41" s="254">
        <f>C5</f>
        <v>2010</v>
      </c>
      <c r="D41" s="254">
        <f>D5</f>
        <v>2011</v>
      </c>
      <c r="E41" s="254">
        <f>E5</f>
        <v>2012</v>
      </c>
    </row>
    <row r="42" spans="2:5" ht="15.75">
      <c r="B42" s="255" t="s">
        <v>932</v>
      </c>
      <c r="C42" s="68">
        <v>129440</v>
      </c>
      <c r="D42" s="231">
        <f>C55</f>
        <v>137471</v>
      </c>
      <c r="E42" s="231">
        <f>D55</f>
        <v>145071</v>
      </c>
    </row>
    <row r="43" spans="2:5" ht="15.75">
      <c r="B43" s="259" t="s">
        <v>934</v>
      </c>
      <c r="C43" s="88"/>
      <c r="D43" s="88"/>
      <c r="E43" s="88"/>
    </row>
    <row r="44" spans="2:5" ht="15.75">
      <c r="B44" s="655" t="s">
        <v>746</v>
      </c>
      <c r="C44" s="68">
        <v>7000</v>
      </c>
      <c r="D44" s="68">
        <v>7000</v>
      </c>
      <c r="E44" s="68">
        <v>7000</v>
      </c>
    </row>
    <row r="45" spans="2:5" ht="15.75">
      <c r="B45" s="264" t="s">
        <v>816</v>
      </c>
      <c r="C45" s="68">
        <v>1031</v>
      </c>
      <c r="D45" s="68">
        <v>600</v>
      </c>
      <c r="E45" s="68">
        <v>600</v>
      </c>
    </row>
    <row r="46" spans="2:5" ht="15.75">
      <c r="B46" s="162" t="s">
        <v>49</v>
      </c>
      <c r="C46" s="68">
        <v>0</v>
      </c>
      <c r="D46" s="261">
        <v>0</v>
      </c>
      <c r="E46" s="261">
        <v>0</v>
      </c>
    </row>
    <row r="47" spans="2:5" ht="15.75">
      <c r="B47" s="255" t="s">
        <v>138</v>
      </c>
      <c r="C47" s="305">
        <f>IF(C48*0.1&lt;C46,"Exceed 10% Rule","")</f>
      </c>
      <c r="D47" s="266">
        <f>IF(D48*0.1&lt;D46,"Exceed 10% Rule","")</f>
      </c>
      <c r="E47" s="266">
        <f>IF(E48*0.1&lt;E46,"Exceed 10% Rule","")</f>
      </c>
    </row>
    <row r="48" spans="2:5" ht="15.75">
      <c r="B48" s="267" t="s">
        <v>817</v>
      </c>
      <c r="C48" s="270">
        <f>SUM(C44:C46)</f>
        <v>8031</v>
      </c>
      <c r="D48" s="270">
        <f>SUM(D44:D46)</f>
        <v>7600</v>
      </c>
      <c r="E48" s="270">
        <f>SUM(E44:E46)</f>
        <v>7600</v>
      </c>
    </row>
    <row r="49" spans="2:5" ht="15.75">
      <c r="B49" s="267" t="s">
        <v>818</v>
      </c>
      <c r="C49" s="270">
        <f>C42+C48</f>
        <v>137471</v>
      </c>
      <c r="D49" s="270">
        <f>D42+D48</f>
        <v>145071</v>
      </c>
      <c r="E49" s="270">
        <f>E42+E48</f>
        <v>152671</v>
      </c>
    </row>
    <row r="50" spans="2:5" ht="15.75">
      <c r="B50" s="153" t="s">
        <v>820</v>
      </c>
      <c r="C50" s="231"/>
      <c r="D50" s="231"/>
      <c r="E50" s="231"/>
    </row>
    <row r="51" spans="2:5" ht="15.75">
      <c r="B51" s="655" t="s">
        <v>519</v>
      </c>
      <c r="C51" s="68">
        <v>0</v>
      </c>
      <c r="D51" s="68">
        <v>0</v>
      </c>
      <c r="E51" s="68">
        <v>152671</v>
      </c>
    </row>
    <row r="52" spans="2:5" ht="15.75">
      <c r="B52" s="277" t="s">
        <v>49</v>
      </c>
      <c r="C52" s="68">
        <v>0</v>
      </c>
      <c r="D52" s="261">
        <v>0</v>
      </c>
      <c r="E52" s="261">
        <v>0</v>
      </c>
    </row>
    <row r="53" spans="2:5" ht="15.75">
      <c r="B53" s="301" t="s">
        <v>139</v>
      </c>
      <c r="C53" s="305">
        <f>IF(C54*0.1&lt;C52,"Exceed 10% Rule","")</f>
      </c>
      <c r="D53" s="266">
        <f>IF(D54*0.1&lt;D52,"Exceed 10% Rule","")</f>
      </c>
      <c r="E53" s="266">
        <f>IF(E54*0.1&lt;E52,"Exceed 10% Rule","")</f>
      </c>
    </row>
    <row r="54" spans="2:5" ht="15.75">
      <c r="B54" s="267" t="s">
        <v>824</v>
      </c>
      <c r="C54" s="270">
        <f>SUM(C51:C52)</f>
        <v>0</v>
      </c>
      <c r="D54" s="270">
        <f>SUM(D51:D52)</f>
        <v>0</v>
      </c>
      <c r="E54" s="270">
        <f>SUM(E51:E52)</f>
        <v>152671</v>
      </c>
    </row>
    <row r="55" spans="2:5" ht="15.75">
      <c r="B55" s="153" t="s">
        <v>933</v>
      </c>
      <c r="C55" s="83">
        <f>C49-C54</f>
        <v>137471</v>
      </c>
      <c r="D55" s="83">
        <f>D49-D54</f>
        <v>145071</v>
      </c>
      <c r="E55" s="83">
        <f>E49-E54</f>
        <v>0</v>
      </c>
    </row>
    <row r="56" spans="2:5" ht="15.75">
      <c r="B56" s="139" t="str">
        <f>CONCATENATE("",E1-2,"/",E1-1," Budget Authority Amount:")</f>
        <v>2010/2011 Budget Authority Amount:</v>
      </c>
      <c r="C56" s="244">
        <f>inputOth!B79</f>
        <v>136486</v>
      </c>
      <c r="D56" s="244">
        <f>inputPrYr!D39</f>
        <v>144640</v>
      </c>
      <c r="E56" s="391">
        <f>IF(E55&lt;0,"See Tab E","")</f>
      </c>
    </row>
    <row r="57" spans="2:5" ht="15.75">
      <c r="B57" s="139"/>
      <c r="C57" s="280">
        <f>IF(C54&gt;C56,"See Tab A","")</f>
      </c>
      <c r="D57" s="280">
        <f>IF(D54&gt;D56,"See Tab C","")</f>
      </c>
      <c r="E57" s="48"/>
    </row>
    <row r="58" spans="2:5" ht="15.75">
      <c r="B58" s="139"/>
      <c r="C58" s="280">
        <f>IF(C55&lt;0,"See Tab B","")</f>
      </c>
      <c r="D58" s="280">
        <f>IF(D55&lt;0,"See Tab D","")</f>
      </c>
      <c r="E58" s="48"/>
    </row>
    <row r="59" spans="2:5" ht="15.75">
      <c r="B59" s="48"/>
      <c r="C59" s="48"/>
      <c r="D59" s="48"/>
      <c r="E59" s="48"/>
    </row>
    <row r="60" spans="2:5" ht="15.75">
      <c r="B60" s="416" t="s">
        <v>827</v>
      </c>
      <c r="C60" s="285">
        <v>12</v>
      </c>
      <c r="D60" s="48"/>
      <c r="E60" s="48"/>
    </row>
  </sheetData>
  <sheetProtection/>
  <conditionalFormatting sqref="C52">
    <cfRule type="cellIs" priority="12" dxfId="7" operator="greaterThan" stopIfTrue="1">
      <formula>$C$54*0.1</formula>
    </cfRule>
  </conditionalFormatting>
  <conditionalFormatting sqref="D52">
    <cfRule type="cellIs" priority="13" dxfId="7" operator="greaterThan" stopIfTrue="1">
      <formula>$D$54*0.1</formula>
    </cfRule>
  </conditionalFormatting>
  <conditionalFormatting sqref="E52">
    <cfRule type="cellIs" priority="14" dxfId="7" operator="greaterThan" stopIfTrue="1">
      <formula>$E$54*0.1</formula>
    </cfRule>
  </conditionalFormatting>
  <conditionalFormatting sqref="D54">
    <cfRule type="cellIs" priority="15" dxfId="0" operator="greaterThan" stopIfTrue="1">
      <formula>$D$56</formula>
    </cfRule>
  </conditionalFormatting>
  <conditionalFormatting sqref="C54">
    <cfRule type="cellIs" priority="16" dxfId="0" operator="greaterThan" stopIfTrue="1">
      <formula>$C$56</formula>
    </cfRule>
  </conditionalFormatting>
  <conditionalFormatting sqref="C55:E55 C34:E34">
    <cfRule type="cellIs" priority="17" dxfId="0" operator="lessThan" stopIfTrue="1">
      <formula>0</formula>
    </cfRule>
  </conditionalFormatting>
  <conditionalFormatting sqref="C46">
    <cfRule type="cellIs" priority="9" dxfId="7" operator="greaterThan" stopIfTrue="1">
      <formula>$C$48*0.1</formula>
    </cfRule>
  </conditionalFormatting>
  <conditionalFormatting sqref="D46">
    <cfRule type="cellIs" priority="10" dxfId="7" operator="greaterThan" stopIfTrue="1">
      <formula>$D$48*0.1</formula>
    </cfRule>
  </conditionalFormatting>
  <conditionalFormatting sqref="E46">
    <cfRule type="cellIs" priority="11" dxfId="7" operator="greaterThan" stopIfTrue="1">
      <formula>$E$48*0.1</formula>
    </cfRule>
  </conditionalFormatting>
  <conditionalFormatting sqref="C18">
    <cfRule type="cellIs" priority="3" dxfId="7" operator="greaterThan" stopIfTrue="1">
      <formula>$C$20*0.1</formula>
    </cfRule>
  </conditionalFormatting>
  <conditionalFormatting sqref="D18">
    <cfRule type="cellIs" priority="4" dxfId="7" operator="greaterThan" stopIfTrue="1">
      <formula>$D$20*0.1</formula>
    </cfRule>
  </conditionalFormatting>
  <conditionalFormatting sqref="E18">
    <cfRule type="cellIs" priority="5" dxfId="7" operator="greaterThan" stopIfTrue="1">
      <formula>$E$20*0.1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E31">
    <cfRule type="cellIs" priority="8" dxfId="7" operator="greaterThan" stopIfTrue="1">
      <formula>$E$33*0.1</formula>
    </cfRule>
  </conditionalFormatting>
  <conditionalFormatting sqref="D33">
    <cfRule type="cellIs" priority="18" dxfId="0" operator="greaterThan" stopIfTrue="1">
      <formula>$D$35</formula>
    </cfRule>
  </conditionalFormatting>
  <conditionalFormatting sqref="C33">
    <cfRule type="cellIs" priority="19" dxfId="0" operator="greaterThan" stopIfTrue="1">
      <formula>$C$35</formula>
    </cfRule>
  </conditionalFormatting>
  <printOptions/>
  <pageMargins left="0.5" right="0.5" top="0.86" bottom="0.5" header="0.5" footer="0.5"/>
  <pageSetup blackAndWhite="1" fitToHeight="1" fitToWidth="1" horizontalDpi="120" verticalDpi="120" orientation="portrait" scale="8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0"/>
  <sheetViews>
    <sheetView zoomScalePageLayoutView="0" workbookViewId="0" topLeftCell="A1">
      <selection activeCell="E23" sqref="E23"/>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inputPrYr!B40</f>
        <v>Stormwater - Fund 12</v>
      </c>
      <c r="C5" s="254">
        <f>E1-2</f>
        <v>2010</v>
      </c>
      <c r="D5" s="254">
        <f>E1-1</f>
        <v>2011</v>
      </c>
      <c r="E5" s="254">
        <f>E1</f>
        <v>2012</v>
      </c>
    </row>
    <row r="6" spans="2:5" ht="15.75">
      <c r="B6" s="255" t="s">
        <v>932</v>
      </c>
      <c r="C6" s="68">
        <v>169933</v>
      </c>
      <c r="D6" s="231">
        <f>C26</f>
        <v>178128</v>
      </c>
      <c r="E6" s="231">
        <f>D26</f>
        <v>181278</v>
      </c>
    </row>
    <row r="7" spans="2:5" ht="15.75">
      <c r="B7" s="259" t="s">
        <v>934</v>
      </c>
      <c r="C7" s="88"/>
      <c r="D7" s="88"/>
      <c r="E7" s="88"/>
    </row>
    <row r="8" spans="2:5" ht="15.75">
      <c r="B8" s="655" t="s">
        <v>515</v>
      </c>
      <c r="C8" s="68">
        <v>0</v>
      </c>
      <c r="D8" s="68">
        <v>0</v>
      </c>
      <c r="E8" s="68">
        <v>0</v>
      </c>
    </row>
    <row r="9" spans="2:5" ht="15.75">
      <c r="B9" s="655" t="s">
        <v>745</v>
      </c>
      <c r="C9" s="68">
        <v>80783</v>
      </c>
      <c r="D9" s="68">
        <v>81000</v>
      </c>
      <c r="E9" s="68">
        <v>81000</v>
      </c>
    </row>
    <row r="10" spans="2:5" ht="15.75">
      <c r="B10" s="649" t="s">
        <v>816</v>
      </c>
      <c r="C10" s="68">
        <v>1464</v>
      </c>
      <c r="D10" s="68">
        <v>750</v>
      </c>
      <c r="E10" s="68">
        <v>500</v>
      </c>
    </row>
    <row r="11" spans="2:5" ht="15.75">
      <c r="B11" s="162" t="s">
        <v>49</v>
      </c>
      <c r="C11" s="68">
        <v>0</v>
      </c>
      <c r="D11" s="261">
        <v>0</v>
      </c>
      <c r="E11" s="261">
        <v>0</v>
      </c>
    </row>
    <row r="12" spans="2:5" ht="15.75">
      <c r="B12" s="255" t="s">
        <v>138</v>
      </c>
      <c r="C12" s="305">
        <f>IF(C13*0.1&lt;C11,"Exceed 10% Rule","")</f>
      </c>
      <c r="D12" s="266">
        <f>IF(D13*0.1&lt;D11,"Exceed 10% Rule","")</f>
      </c>
      <c r="E12" s="266">
        <f>IF(E13*0.1&lt;E11,"Exceed 10% Rule","")</f>
      </c>
    </row>
    <row r="13" spans="2:5" ht="15.75">
      <c r="B13" s="267" t="s">
        <v>817</v>
      </c>
      <c r="C13" s="270">
        <f>SUM(C8:C11)</f>
        <v>82247</v>
      </c>
      <c r="D13" s="270">
        <f>SUM(D8:D11)</f>
        <v>81750</v>
      </c>
      <c r="E13" s="270">
        <f>SUM(E8:E11)</f>
        <v>81500</v>
      </c>
    </row>
    <row r="14" spans="2:5" ht="15.75">
      <c r="B14" s="267" t="s">
        <v>818</v>
      </c>
      <c r="C14" s="270">
        <f>C6+C13</f>
        <v>252180</v>
      </c>
      <c r="D14" s="270">
        <f>D6+D13</f>
        <v>259878</v>
      </c>
      <c r="E14" s="270">
        <f>E6+E13</f>
        <v>262778</v>
      </c>
    </row>
    <row r="15" spans="2:5" ht="15.75">
      <c r="B15" s="153" t="s">
        <v>820</v>
      </c>
      <c r="C15" s="231"/>
      <c r="D15" s="231"/>
      <c r="E15" s="231"/>
    </row>
    <row r="16" spans="2:5" ht="15.75">
      <c r="B16" s="655" t="s">
        <v>516</v>
      </c>
      <c r="C16" s="68">
        <f>13789+138</f>
        <v>13927</v>
      </c>
      <c r="D16" s="68">
        <v>13600</v>
      </c>
      <c r="E16" s="68">
        <v>14100</v>
      </c>
    </row>
    <row r="17" spans="2:5" ht="15.75">
      <c r="B17" s="655" t="s">
        <v>717</v>
      </c>
      <c r="C17" s="68">
        <v>7725</v>
      </c>
      <c r="D17" s="68">
        <v>0</v>
      </c>
      <c r="E17" s="68">
        <v>0</v>
      </c>
    </row>
    <row r="18" spans="2:5" ht="15.75">
      <c r="B18" s="655" t="s">
        <v>518</v>
      </c>
      <c r="C18" s="68">
        <v>837</v>
      </c>
      <c r="D18" s="68">
        <v>30000</v>
      </c>
      <c r="E18" s="68">
        <v>40000</v>
      </c>
    </row>
    <row r="19" spans="2:5" ht="15.75">
      <c r="B19" s="655" t="s">
        <v>519</v>
      </c>
      <c r="C19" s="68">
        <v>41563</v>
      </c>
      <c r="D19" s="68">
        <v>25000</v>
      </c>
      <c r="E19" s="68">
        <v>35000</v>
      </c>
    </row>
    <row r="20" spans="2:5" ht="15.75">
      <c r="B20" s="655" t="s">
        <v>1090</v>
      </c>
      <c r="C20" s="68">
        <v>0</v>
      </c>
      <c r="D20" s="68">
        <v>0</v>
      </c>
      <c r="E20" s="68">
        <v>5000</v>
      </c>
    </row>
    <row r="21" spans="2:5" ht="15.75">
      <c r="B21" s="655" t="s">
        <v>744</v>
      </c>
      <c r="C21" s="68">
        <v>10000</v>
      </c>
      <c r="D21" s="68">
        <v>10000</v>
      </c>
      <c r="E21" s="68">
        <v>10000</v>
      </c>
    </row>
    <row r="22" spans="2:5" ht="15.75">
      <c r="B22" s="655" t="s">
        <v>512</v>
      </c>
      <c r="C22" s="68">
        <v>0</v>
      </c>
      <c r="D22" s="68">
        <v>0</v>
      </c>
      <c r="E22" s="68">
        <v>158678</v>
      </c>
    </row>
    <row r="23" spans="2:5" ht="15.75">
      <c r="B23" s="277" t="s">
        <v>49</v>
      </c>
      <c r="C23" s="68">
        <v>0</v>
      </c>
      <c r="D23" s="261">
        <v>0</v>
      </c>
      <c r="E23" s="261">
        <v>0</v>
      </c>
    </row>
    <row r="24" spans="2:5" ht="15.75">
      <c r="B24" s="277" t="s">
        <v>139</v>
      </c>
      <c r="C24" s="305">
        <f>IF(C25*0.1&lt;C23,"Exceed 10% Rule","")</f>
      </c>
      <c r="D24" s="266">
        <f>IF(D25*0.1&lt;D23,"Exceed 10% Rule","")</f>
      </c>
      <c r="E24" s="266">
        <f>IF(E25*0.1&lt;E23,"Exceed 10% Rule","")</f>
      </c>
    </row>
    <row r="25" spans="2:5" ht="15.75">
      <c r="B25" s="267" t="s">
        <v>824</v>
      </c>
      <c r="C25" s="270">
        <f>SUM(C16:C23)</f>
        <v>74052</v>
      </c>
      <c r="D25" s="270">
        <f>SUM(D16:D23)</f>
        <v>78600</v>
      </c>
      <c r="E25" s="270">
        <f>SUM(E16:E23)</f>
        <v>262778</v>
      </c>
    </row>
    <row r="26" spans="2:5" ht="15.75">
      <c r="B26" s="153" t="s">
        <v>933</v>
      </c>
      <c r="C26" s="83">
        <f>C14-C25</f>
        <v>178128</v>
      </c>
      <c r="D26" s="83">
        <f>D14-D25</f>
        <v>181278</v>
      </c>
      <c r="E26" s="83">
        <f>E14-E25</f>
        <v>0</v>
      </c>
    </row>
    <row r="27" spans="2:5" ht="15.75">
      <c r="B27" s="139" t="str">
        <f>CONCATENATE("",E1-2,"/",E1-1," Budget Authority Amount:")</f>
        <v>2010/2011 Budget Authority Amount:</v>
      </c>
      <c r="C27" s="244">
        <f>inputOth!B80</f>
        <v>184656</v>
      </c>
      <c r="D27" s="244">
        <f>inputPrYr!D40</f>
        <v>216373</v>
      </c>
      <c r="E27" s="391">
        <f>IF(E26&lt;0,"See Tab E","")</f>
      </c>
    </row>
    <row r="28" spans="2:5" ht="15.75">
      <c r="B28" s="139"/>
      <c r="C28" s="280">
        <f>IF(C25&gt;C27,"See Tab A","")</f>
      </c>
      <c r="D28" s="280">
        <f>IF(D25&gt;D27,"See Tab C","")</f>
      </c>
      <c r="E28" s="98"/>
    </row>
    <row r="29" spans="2:5" ht="15.75">
      <c r="B29" s="139"/>
      <c r="C29" s="280">
        <f>IF(C26&lt;0,"See Tab B","")</f>
      </c>
      <c r="D29" s="280">
        <f>IF(D26&lt;0,"See Tab D","")</f>
      </c>
      <c r="E29" s="98"/>
    </row>
    <row r="30" spans="2:5" ht="15.75">
      <c r="B30" s="48"/>
      <c r="C30" s="98"/>
      <c r="D30" s="98"/>
      <c r="E30" s="98"/>
    </row>
    <row r="31" spans="2:5" ht="15.75">
      <c r="B31" s="53" t="s">
        <v>811</v>
      </c>
      <c r="C31" s="300"/>
      <c r="D31" s="300"/>
      <c r="E31" s="300"/>
    </row>
    <row r="32" spans="2:5" ht="15.75">
      <c r="B32" s="48"/>
      <c r="C32" s="597" t="s">
        <v>830</v>
      </c>
      <c r="D32" s="596" t="s">
        <v>959</v>
      </c>
      <c r="E32" s="596" t="s">
        <v>960</v>
      </c>
    </row>
    <row r="33" spans="2:5" ht="15.75">
      <c r="B33" s="555" t="str">
        <f>inputPrYr!B41</f>
        <v>Health &amp; Sanitation - Fund 13</v>
      </c>
      <c r="C33" s="254">
        <f>C5</f>
        <v>2010</v>
      </c>
      <c r="D33" s="254">
        <f>D5</f>
        <v>2011</v>
      </c>
      <c r="E33" s="254">
        <f>E5</f>
        <v>2012</v>
      </c>
    </row>
    <row r="34" spans="2:5" ht="15.75">
      <c r="B34" s="255" t="s">
        <v>932</v>
      </c>
      <c r="C34" s="68">
        <v>4607</v>
      </c>
      <c r="D34" s="231">
        <f>C55</f>
        <v>5270</v>
      </c>
      <c r="E34" s="231">
        <f>D55</f>
        <v>2898</v>
      </c>
    </row>
    <row r="35" spans="2:5" ht="15.75">
      <c r="B35" s="259" t="s">
        <v>934</v>
      </c>
      <c r="C35" s="88"/>
      <c r="D35" s="88"/>
      <c r="E35" s="88"/>
    </row>
    <row r="36" spans="2:5" ht="15.75">
      <c r="B36" s="655" t="s">
        <v>747</v>
      </c>
      <c r="C36" s="68">
        <v>302651</v>
      </c>
      <c r="D36" s="68">
        <v>307600</v>
      </c>
      <c r="E36" s="68">
        <v>339500</v>
      </c>
    </row>
    <row r="37" spans="2:5" ht="15.75">
      <c r="B37" s="655" t="s">
        <v>748</v>
      </c>
      <c r="C37" s="68">
        <v>150</v>
      </c>
      <c r="D37" s="68">
        <v>375</v>
      </c>
      <c r="E37" s="68">
        <v>400</v>
      </c>
    </row>
    <row r="38" spans="2:5" ht="15.75">
      <c r="B38" s="655" t="s">
        <v>1091</v>
      </c>
      <c r="C38" s="68">
        <v>120</v>
      </c>
      <c r="D38" s="68">
        <v>200</v>
      </c>
      <c r="E38" s="68">
        <v>200</v>
      </c>
    </row>
    <row r="39" spans="2:5" ht="15.75">
      <c r="B39" s="655" t="s">
        <v>1092</v>
      </c>
      <c r="C39" s="68">
        <v>0</v>
      </c>
      <c r="D39" s="68">
        <v>43</v>
      </c>
      <c r="E39" s="68">
        <v>0</v>
      </c>
    </row>
    <row r="40" spans="2:5" ht="15.75">
      <c r="B40" s="649" t="s">
        <v>816</v>
      </c>
      <c r="C40" s="68">
        <v>44</v>
      </c>
      <c r="D40" s="68">
        <v>40</v>
      </c>
      <c r="E40" s="68">
        <v>25</v>
      </c>
    </row>
    <row r="41" spans="2:5" ht="15.75">
      <c r="B41" s="162" t="s">
        <v>49</v>
      </c>
      <c r="C41" s="68">
        <v>0</v>
      </c>
      <c r="D41" s="261">
        <v>0</v>
      </c>
      <c r="E41" s="261">
        <v>0</v>
      </c>
    </row>
    <row r="42" spans="2:5" ht="15.75">
      <c r="B42" s="255" t="s">
        <v>138</v>
      </c>
      <c r="C42" s="305">
        <f>IF(C43*0.1&lt;C41,"Exceed 10% Rule","")</f>
      </c>
      <c r="D42" s="266">
        <f>IF(D43*0.1&lt;D41,"Exceed 10% Rule","")</f>
      </c>
      <c r="E42" s="266">
        <f>IF(E43*0.1&lt;E41,"Exceed 10% Rule","")</f>
      </c>
    </row>
    <row r="43" spans="2:5" ht="15.75">
      <c r="B43" s="267" t="s">
        <v>817</v>
      </c>
      <c r="C43" s="270">
        <f>SUM(C36:C41)</f>
        <v>302965</v>
      </c>
      <c r="D43" s="270">
        <f>SUM(D36:D41)</f>
        <v>308258</v>
      </c>
      <c r="E43" s="270">
        <f>SUM(E36:E41)</f>
        <v>340125</v>
      </c>
    </row>
    <row r="44" spans="2:5" ht="15.75">
      <c r="B44" s="267" t="s">
        <v>818</v>
      </c>
      <c r="C44" s="270">
        <f>C34+C43</f>
        <v>307572</v>
      </c>
      <c r="D44" s="270">
        <f>D34+D43</f>
        <v>313528</v>
      </c>
      <c r="E44" s="270">
        <f>E34+E43</f>
        <v>343023</v>
      </c>
    </row>
    <row r="45" spans="2:5" ht="15.75">
      <c r="B45" s="153" t="s">
        <v>820</v>
      </c>
      <c r="C45" s="231"/>
      <c r="D45" s="231"/>
      <c r="E45" s="231"/>
    </row>
    <row r="46" spans="2:5" ht="15.75">
      <c r="B46" s="655" t="s">
        <v>516</v>
      </c>
      <c r="C46" s="68">
        <v>9511</v>
      </c>
      <c r="D46" s="68">
        <v>9650</v>
      </c>
      <c r="E46" s="68">
        <v>10000</v>
      </c>
    </row>
    <row r="47" spans="2:5" ht="15.75">
      <c r="B47" s="655" t="s">
        <v>717</v>
      </c>
      <c r="C47" s="68">
        <f>679+1835+282936</f>
        <v>285450</v>
      </c>
      <c r="D47" s="68">
        <f>462+1718+292900</f>
        <v>295080</v>
      </c>
      <c r="E47" s="68">
        <f>750+2500+299500</f>
        <v>302750</v>
      </c>
    </row>
    <row r="48" spans="2:5" ht="15.75">
      <c r="B48" s="655" t="s">
        <v>518</v>
      </c>
      <c r="C48" s="68">
        <f>765+675</f>
        <v>1440</v>
      </c>
      <c r="D48" s="68">
        <v>0</v>
      </c>
      <c r="E48" s="68">
        <v>0</v>
      </c>
    </row>
    <row r="49" spans="2:5" ht="15.75">
      <c r="B49" s="655" t="s">
        <v>519</v>
      </c>
      <c r="C49" s="68">
        <v>0</v>
      </c>
      <c r="D49" s="68">
        <v>0</v>
      </c>
      <c r="E49" s="68">
        <v>0</v>
      </c>
    </row>
    <row r="50" spans="2:5" ht="15.75">
      <c r="B50" s="655" t="s">
        <v>520</v>
      </c>
      <c r="C50" s="68">
        <v>5901</v>
      </c>
      <c r="D50" s="68">
        <v>5900</v>
      </c>
      <c r="E50" s="68">
        <v>5000</v>
      </c>
    </row>
    <row r="51" spans="2:5" ht="15.75">
      <c r="B51" s="655" t="s">
        <v>512</v>
      </c>
      <c r="C51" s="68">
        <v>0</v>
      </c>
      <c r="D51" s="68">
        <v>0</v>
      </c>
      <c r="E51" s="68">
        <v>25273</v>
      </c>
    </row>
    <row r="52" spans="2:5" ht="15.75">
      <c r="B52" s="277" t="s">
        <v>49</v>
      </c>
      <c r="C52" s="68">
        <v>0</v>
      </c>
      <c r="D52" s="261">
        <v>0</v>
      </c>
      <c r="E52" s="261">
        <v>0</v>
      </c>
    </row>
    <row r="53" spans="2:5" ht="15.75">
      <c r="B53" s="277" t="s">
        <v>139</v>
      </c>
      <c r="C53" s="305">
        <f>IF(C54*0.1&lt;C52,"Exceed 10% Rule","")</f>
      </c>
      <c r="D53" s="266">
        <f>IF(D54*0.1&lt;D52,"Exceed 10% Rule","")</f>
      </c>
      <c r="E53" s="266">
        <f>IF(E54*0.1&lt;E52,"Exceed 10% Rule","")</f>
      </c>
    </row>
    <row r="54" spans="2:5" ht="15.75">
      <c r="B54" s="267" t="s">
        <v>824</v>
      </c>
      <c r="C54" s="270">
        <f>SUM(C46:C52)</f>
        <v>302302</v>
      </c>
      <c r="D54" s="270">
        <f>SUM(D46:D52)</f>
        <v>310630</v>
      </c>
      <c r="E54" s="270">
        <f>SUM(E46:E52)</f>
        <v>343023</v>
      </c>
    </row>
    <row r="55" spans="2:5" ht="15.75">
      <c r="B55" s="153" t="s">
        <v>933</v>
      </c>
      <c r="C55" s="83">
        <f>C44-C54</f>
        <v>5270</v>
      </c>
      <c r="D55" s="83">
        <f>D44-D54</f>
        <v>2898</v>
      </c>
      <c r="E55" s="83">
        <f>E44-E54</f>
        <v>0</v>
      </c>
    </row>
    <row r="56" spans="2:5" ht="15.75">
      <c r="B56" s="139" t="str">
        <f>CONCATENATE("",E1-2,"/",E1-1," Budget Authority Amount:")</f>
        <v>2010/2011 Budget Authority Amount:</v>
      </c>
      <c r="C56" s="244">
        <f>inputOth!B81</f>
        <v>335552</v>
      </c>
      <c r="D56" s="244">
        <f>inputPrYr!D41</f>
        <v>349467</v>
      </c>
      <c r="E56" s="391">
        <f>IF(E55&lt;0,"See Tab E","")</f>
      </c>
    </row>
    <row r="57" spans="2:5" ht="15.75">
      <c r="B57" s="139"/>
      <c r="C57" s="280">
        <f>IF(C54&gt;C56,"See Tab A","")</f>
      </c>
      <c r="D57" s="280">
        <f>IF(D54&gt;D56,"See Tab C","")</f>
      </c>
      <c r="E57" s="48"/>
    </row>
    <row r="58" spans="2:5" ht="15.75">
      <c r="B58" s="139"/>
      <c r="C58" s="280">
        <f>IF(C55&lt;0,"See Tab B","")</f>
      </c>
      <c r="D58" s="280">
        <f>IF(D55&lt;0,"See Tab D","")</f>
      </c>
      <c r="E58" s="48"/>
    </row>
    <row r="59" spans="2:5" ht="15.75">
      <c r="B59" s="48"/>
      <c r="C59" s="48"/>
      <c r="D59" s="48"/>
      <c r="E59" s="48"/>
    </row>
    <row r="60" spans="2:5" ht="15.75">
      <c r="B60" s="416" t="s">
        <v>827</v>
      </c>
      <c r="C60" s="285">
        <v>13</v>
      </c>
      <c r="D60" s="48"/>
      <c r="E60" s="48"/>
    </row>
  </sheetData>
  <sheetProtection/>
  <conditionalFormatting sqref="C52">
    <cfRule type="cellIs" priority="12" dxfId="7" operator="greaterThan" stopIfTrue="1">
      <formula>$C$54*0.1</formula>
    </cfRule>
  </conditionalFormatting>
  <conditionalFormatting sqref="D52">
    <cfRule type="cellIs" priority="13" dxfId="7" operator="greaterThan" stopIfTrue="1">
      <formula>$D$54*0.1</formula>
    </cfRule>
  </conditionalFormatting>
  <conditionalFormatting sqref="E52">
    <cfRule type="cellIs" priority="14" dxfId="7" operator="greaterThan" stopIfTrue="1">
      <formula>$E$54*0.1</formula>
    </cfRule>
  </conditionalFormatting>
  <conditionalFormatting sqref="D54">
    <cfRule type="cellIs" priority="15" dxfId="0" operator="greaterThan" stopIfTrue="1">
      <formula>$D$56</formula>
    </cfRule>
  </conditionalFormatting>
  <conditionalFormatting sqref="C54">
    <cfRule type="cellIs" priority="16" dxfId="0" operator="greaterThan" stopIfTrue="1">
      <formula>$C$56</formula>
    </cfRule>
  </conditionalFormatting>
  <conditionalFormatting sqref="C55:E55 C26:E26">
    <cfRule type="cellIs" priority="17" dxfId="0" operator="lessThan" stopIfTrue="1">
      <formula>0</formula>
    </cfRule>
  </conditionalFormatting>
  <conditionalFormatting sqref="C41">
    <cfRule type="cellIs" priority="9" dxfId="7" operator="greaterThan" stopIfTrue="1">
      <formula>$C$43*0.1</formula>
    </cfRule>
  </conditionalFormatting>
  <conditionalFormatting sqref="D41">
    <cfRule type="cellIs" priority="10" dxfId="7" operator="greaterThan" stopIfTrue="1">
      <formula>$D$43*0.1</formula>
    </cfRule>
  </conditionalFormatting>
  <conditionalFormatting sqref="E41">
    <cfRule type="cellIs" priority="11" dxfId="7" operator="greaterThan" stopIfTrue="1">
      <formula>$E$43*0.1</formula>
    </cfRule>
  </conditionalFormatting>
  <conditionalFormatting sqref="C23">
    <cfRule type="cellIs" priority="6" dxfId="7" operator="greaterThan" stopIfTrue="1">
      <formula>$C$25*0.1</formula>
    </cfRule>
  </conditionalFormatting>
  <conditionalFormatting sqref="D23">
    <cfRule type="cellIs" priority="7" dxfId="7" operator="greaterThan" stopIfTrue="1">
      <formula>$D$25*0.1</formula>
    </cfRule>
  </conditionalFormatting>
  <conditionalFormatting sqref="E23">
    <cfRule type="cellIs" priority="8" dxfId="7" operator="greaterThan" stopIfTrue="1">
      <formula>$E$25*0.1</formula>
    </cfRule>
  </conditionalFormatting>
  <conditionalFormatting sqref="D25">
    <cfRule type="cellIs" priority="18" dxfId="0" operator="greaterThan" stopIfTrue="1">
      <formula>$D$27</formula>
    </cfRule>
  </conditionalFormatting>
  <conditionalFormatting sqref="C25">
    <cfRule type="cellIs" priority="19" dxfId="0" operator="greaterThan" stopIfTrue="1">
      <formula>$C$27</formula>
    </cfRule>
  </conditionalFormatting>
  <conditionalFormatting sqref="C11">
    <cfRule type="cellIs" priority="3" dxfId="7" operator="greaterThan" stopIfTrue="1">
      <formula>$C$13*0.1</formula>
    </cfRule>
  </conditionalFormatting>
  <conditionalFormatting sqref="D11">
    <cfRule type="cellIs" priority="4" dxfId="7" operator="greaterThan" stopIfTrue="1">
      <formula>$D$13*0.1</formula>
    </cfRule>
  </conditionalFormatting>
  <conditionalFormatting sqref="E11">
    <cfRule type="cellIs" priority="5" dxfId="7" operator="greaterThan" stopIfTrue="1">
      <formula>$E$13*0.1</formula>
    </cfRule>
  </conditionalFormatting>
  <printOptions/>
  <pageMargins left="0.5" right="0.5" top="0.86" bottom="0.5" header="0.4" footer="0.5"/>
  <pageSetup blackAndWhite="1" fitToHeight="1" fitToWidth="1" horizontalDpi="120" verticalDpi="120" orientation="portrait" scale="83"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D19" sqref="D19"/>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inputPrYr!B42</f>
        <v>Special Parks &amp; Rec - Fund 14</v>
      </c>
      <c r="C5" s="254">
        <f>E1-2</f>
        <v>2010</v>
      </c>
      <c r="D5" s="254">
        <f>E1-1</f>
        <v>2011</v>
      </c>
      <c r="E5" s="254">
        <f>E1</f>
        <v>2012</v>
      </c>
    </row>
    <row r="6" spans="2:5" ht="15.75">
      <c r="B6" s="255" t="s">
        <v>932</v>
      </c>
      <c r="C6" s="68">
        <v>35050</v>
      </c>
      <c r="D6" s="231">
        <f>C23</f>
        <v>29841</v>
      </c>
      <c r="E6" s="231">
        <f>D23</f>
        <v>18481</v>
      </c>
    </row>
    <row r="7" spans="2:5" ht="15.75">
      <c r="B7" s="259" t="s">
        <v>934</v>
      </c>
      <c r="C7" s="88"/>
      <c r="D7" s="88"/>
      <c r="E7" s="88"/>
    </row>
    <row r="8" spans="2:5" ht="15.75">
      <c r="B8" s="256" t="s">
        <v>749</v>
      </c>
      <c r="C8" s="68">
        <v>12487</v>
      </c>
      <c r="D8" s="68">
        <v>10000</v>
      </c>
      <c r="E8" s="68">
        <v>10000</v>
      </c>
    </row>
    <row r="9" spans="2:5" ht="15.75">
      <c r="B9" s="264" t="s">
        <v>816</v>
      </c>
      <c r="C9" s="68">
        <v>252</v>
      </c>
      <c r="D9" s="68">
        <v>140</v>
      </c>
      <c r="E9" s="68">
        <v>100</v>
      </c>
    </row>
    <row r="10" spans="2:5" ht="15.75">
      <c r="B10" s="162" t="s">
        <v>49</v>
      </c>
      <c r="C10" s="217">
        <v>200</v>
      </c>
      <c r="D10" s="217">
        <v>0</v>
      </c>
      <c r="E10" s="217">
        <v>0</v>
      </c>
    </row>
    <row r="11" spans="2:5" ht="15.75">
      <c r="B11" s="255" t="s">
        <v>138</v>
      </c>
      <c r="C11" s="305">
        <f>IF(C12*0.1&lt;C10,"Exceed 10% Rule","")</f>
      </c>
      <c r="D11" s="266">
        <f>IF(D12*0.1&lt;D10,"Exceed 10% Rule","")</f>
      </c>
      <c r="E11" s="266">
        <f>IF(E12*0.1&lt;E10,"Exceed 10% Rule","")</f>
      </c>
    </row>
    <row r="12" spans="2:5" ht="15.75">
      <c r="B12" s="267" t="s">
        <v>817</v>
      </c>
      <c r="C12" s="270">
        <f>SUM(C8:C10)</f>
        <v>12939</v>
      </c>
      <c r="D12" s="270">
        <f>SUM(D8:D10)</f>
        <v>10140</v>
      </c>
      <c r="E12" s="270">
        <f>SUM(E8:E10)</f>
        <v>10100</v>
      </c>
    </row>
    <row r="13" spans="2:5" ht="15.75">
      <c r="B13" s="267" t="s">
        <v>818</v>
      </c>
      <c r="C13" s="270">
        <f>C6+C12</f>
        <v>47989</v>
      </c>
      <c r="D13" s="270">
        <f>D6+D12</f>
        <v>39981</v>
      </c>
      <c r="E13" s="270">
        <f>E6+E12</f>
        <v>28581</v>
      </c>
    </row>
    <row r="14" spans="2:5" ht="15.75">
      <c r="B14" s="153" t="s">
        <v>820</v>
      </c>
      <c r="C14" s="231"/>
      <c r="D14" s="231"/>
      <c r="E14" s="231"/>
    </row>
    <row r="15" spans="2:5" ht="15.75">
      <c r="B15" s="655" t="s">
        <v>750</v>
      </c>
      <c r="C15" s="68">
        <v>0</v>
      </c>
      <c r="D15" s="68">
        <v>0</v>
      </c>
      <c r="E15" s="68">
        <v>0</v>
      </c>
    </row>
    <row r="16" spans="2:5" ht="15.75">
      <c r="B16" s="655" t="s">
        <v>516</v>
      </c>
      <c r="C16" s="68">
        <v>0</v>
      </c>
      <c r="D16" s="68">
        <v>0</v>
      </c>
      <c r="E16" s="68">
        <v>0</v>
      </c>
    </row>
    <row r="17" spans="2:5" ht="15.75">
      <c r="B17" s="655" t="s">
        <v>717</v>
      </c>
      <c r="C17" s="68">
        <v>1900</v>
      </c>
      <c r="D17" s="68">
        <v>2000</v>
      </c>
      <c r="E17" s="68">
        <v>7081</v>
      </c>
    </row>
    <row r="18" spans="2:5" ht="15.75">
      <c r="B18" s="655" t="s">
        <v>518</v>
      </c>
      <c r="C18" s="68">
        <v>3014</v>
      </c>
      <c r="D18" s="68">
        <v>3000</v>
      </c>
      <c r="E18" s="68">
        <v>5000</v>
      </c>
    </row>
    <row r="19" spans="2:5" ht="15.75">
      <c r="B19" s="655" t="s">
        <v>519</v>
      </c>
      <c r="C19" s="68">
        <v>13234</v>
      </c>
      <c r="D19" s="68">
        <v>16500</v>
      </c>
      <c r="E19" s="68">
        <v>16500</v>
      </c>
    </row>
    <row r="20" spans="2:5" ht="15.75">
      <c r="B20" s="277" t="s">
        <v>49</v>
      </c>
      <c r="C20" s="68">
        <v>0</v>
      </c>
      <c r="D20" s="261">
        <v>0</v>
      </c>
      <c r="E20" s="261">
        <v>0</v>
      </c>
    </row>
    <row r="21" spans="2:5" ht="15.75">
      <c r="B21" s="277" t="s">
        <v>139</v>
      </c>
      <c r="C21" s="305">
        <f>IF(C22*0.1&lt;C20,"Exceed 10% Rule","")</f>
      </c>
      <c r="D21" s="266">
        <f>IF(D22*0.1&lt;D20,"Exceed 10% Rule","")</f>
      </c>
      <c r="E21" s="266">
        <f>IF(E22*0.1&lt;E20,"Exceed 10% Rule","")</f>
      </c>
    </row>
    <row r="22" spans="2:5" ht="15.75">
      <c r="B22" s="267" t="s">
        <v>824</v>
      </c>
      <c r="C22" s="270">
        <f>SUM(C15:C20)</f>
        <v>18148</v>
      </c>
      <c r="D22" s="270">
        <f>SUM(D15:D20)</f>
        <v>21500</v>
      </c>
      <c r="E22" s="270">
        <f>SUM(E15:E20)</f>
        <v>28581</v>
      </c>
    </row>
    <row r="23" spans="2:5" ht="15.75">
      <c r="B23" s="153" t="s">
        <v>933</v>
      </c>
      <c r="C23" s="83">
        <f>C13-C22</f>
        <v>29841</v>
      </c>
      <c r="D23" s="83">
        <f>D13-D22</f>
        <v>18481</v>
      </c>
      <c r="E23" s="83">
        <f>E13-E22</f>
        <v>0</v>
      </c>
    </row>
    <row r="24" spans="2:5" ht="15.75">
      <c r="B24" s="139" t="str">
        <f>CONCATENATE("",E1-2,"/",E1-1," Budget Authority Amount:")</f>
        <v>2010/2011 Budget Authority Amount:</v>
      </c>
      <c r="C24" s="244">
        <f>inputOth!B82</f>
        <v>41013</v>
      </c>
      <c r="D24" s="244">
        <f>inputPrYr!D42</f>
        <v>34448</v>
      </c>
      <c r="E24" s="391">
        <f>IF(E23&lt;0,"See Tab E","")</f>
      </c>
    </row>
    <row r="25" spans="2:5" ht="15.75">
      <c r="B25" s="139"/>
      <c r="C25" s="280">
        <f>IF(C22&gt;C24,"See Tab A","")</f>
      </c>
      <c r="D25" s="280">
        <f>IF(D22&gt;D24,"See Tab C","")</f>
      </c>
      <c r="E25" s="98"/>
    </row>
    <row r="26" spans="2:5" ht="15.75">
      <c r="B26" s="139"/>
      <c r="C26" s="280">
        <f>IF(C23&lt;0,"See Tab B","")</f>
      </c>
      <c r="D26" s="280">
        <f>IF(D23&lt;0,"See Tab D","")</f>
      </c>
      <c r="E26" s="98"/>
    </row>
    <row r="27" spans="2:5" ht="15.75">
      <c r="B27" s="48"/>
      <c r="C27" s="98"/>
      <c r="D27" s="98"/>
      <c r="E27" s="98"/>
    </row>
    <row r="28" spans="2:5" ht="15.75">
      <c r="B28" s="53" t="s">
        <v>811</v>
      </c>
      <c r="C28" s="300"/>
      <c r="D28" s="300"/>
      <c r="E28" s="300"/>
    </row>
    <row r="29" spans="2:5" ht="15.75">
      <c r="B29" s="48"/>
      <c r="C29" s="597" t="s">
        <v>830</v>
      </c>
      <c r="D29" s="596" t="s">
        <v>959</v>
      </c>
      <c r="E29" s="596" t="s">
        <v>960</v>
      </c>
    </row>
    <row r="30" spans="2:5" ht="15.75">
      <c r="B30" s="555" t="str">
        <f>inputPrYr!B43</f>
        <v>Water Treatment Plant - Fund 15</v>
      </c>
      <c r="C30" s="254">
        <f>C5</f>
        <v>2010</v>
      </c>
      <c r="D30" s="254">
        <f>D5</f>
        <v>2011</v>
      </c>
      <c r="E30" s="254">
        <f>E5</f>
        <v>2012</v>
      </c>
    </row>
    <row r="31" spans="2:5" ht="15.75">
      <c r="B31" s="255" t="s">
        <v>932</v>
      </c>
      <c r="C31" s="68">
        <v>582789</v>
      </c>
      <c r="D31" s="231">
        <f>C48</f>
        <v>263954</v>
      </c>
      <c r="E31" s="231">
        <f>D48</f>
        <v>265954</v>
      </c>
    </row>
    <row r="32" spans="2:5" ht="15.75">
      <c r="B32" s="259" t="s">
        <v>934</v>
      </c>
      <c r="C32" s="88"/>
      <c r="D32" s="88"/>
      <c r="E32" s="88"/>
    </row>
    <row r="33" spans="2:5" ht="15.75">
      <c r="B33" s="656" t="s">
        <v>751</v>
      </c>
      <c r="C33" s="68">
        <v>0</v>
      </c>
      <c r="D33" s="68">
        <v>0</v>
      </c>
      <c r="E33" s="68">
        <v>0</v>
      </c>
    </row>
    <row r="34" spans="2:5" ht="15.75">
      <c r="B34" s="655" t="s">
        <v>752</v>
      </c>
      <c r="C34" s="68">
        <v>0</v>
      </c>
      <c r="D34" s="68">
        <v>0</v>
      </c>
      <c r="E34" s="68">
        <v>0</v>
      </c>
    </row>
    <row r="35" spans="2:5" ht="15.75">
      <c r="B35" s="264" t="s">
        <v>816</v>
      </c>
      <c r="C35" s="68">
        <v>4289</v>
      </c>
      <c r="D35" s="68">
        <v>2000</v>
      </c>
      <c r="E35" s="68">
        <v>2000</v>
      </c>
    </row>
    <row r="36" spans="2:5" ht="15.75">
      <c r="B36" s="162" t="s">
        <v>49</v>
      </c>
      <c r="C36" s="68">
        <v>0</v>
      </c>
      <c r="D36" s="261">
        <v>0</v>
      </c>
      <c r="E36" s="261">
        <v>0</v>
      </c>
    </row>
    <row r="37" spans="2:5" ht="15.75">
      <c r="B37" s="255" t="s">
        <v>138</v>
      </c>
      <c r="C37" s="305">
        <f>IF(C38*0.1&lt;C36,"Exceed 10% Rule","")</f>
      </c>
      <c r="D37" s="266">
        <f>IF(D38*0.1&lt;D36,"Exceed 10% Rule","")</f>
      </c>
      <c r="E37" s="266">
        <f>IF(E38*0.1&lt;E36,"Exceed 10% Rule","")</f>
      </c>
    </row>
    <row r="38" spans="2:5" ht="15.75">
      <c r="B38" s="267" t="s">
        <v>817</v>
      </c>
      <c r="C38" s="270">
        <f>SUM(C33:C36)</f>
        <v>4289</v>
      </c>
      <c r="D38" s="270">
        <f>SUM(D33:D36)</f>
        <v>2000</v>
      </c>
      <c r="E38" s="270">
        <f>SUM(E33:E36)</f>
        <v>2000</v>
      </c>
    </row>
    <row r="39" spans="2:5" ht="15.75">
      <c r="B39" s="267" t="s">
        <v>818</v>
      </c>
      <c r="C39" s="270">
        <f>C31+C38</f>
        <v>587078</v>
      </c>
      <c r="D39" s="270">
        <f>D31+D38</f>
        <v>265954</v>
      </c>
      <c r="E39" s="270">
        <f>E31+E38</f>
        <v>267954</v>
      </c>
    </row>
    <row r="40" spans="2:5" ht="15.75">
      <c r="B40" s="153" t="s">
        <v>820</v>
      </c>
      <c r="C40" s="231"/>
      <c r="D40" s="231"/>
      <c r="E40" s="231"/>
    </row>
    <row r="41" spans="2:5" ht="15.75">
      <c r="B41" s="655" t="s">
        <v>988</v>
      </c>
      <c r="C41" s="68">
        <v>0</v>
      </c>
      <c r="D41" s="68">
        <v>0</v>
      </c>
      <c r="E41" s="68">
        <v>0</v>
      </c>
    </row>
    <row r="42" spans="2:5" ht="15.75">
      <c r="B42" s="655" t="s">
        <v>763</v>
      </c>
      <c r="C42" s="68">
        <v>23124</v>
      </c>
      <c r="D42" s="68">
        <v>0</v>
      </c>
      <c r="E42" s="68">
        <v>0</v>
      </c>
    </row>
    <row r="43" spans="2:5" ht="15.75">
      <c r="B43" s="655" t="s">
        <v>519</v>
      </c>
      <c r="C43" s="68">
        <v>0</v>
      </c>
      <c r="D43" s="68">
        <v>0</v>
      </c>
      <c r="E43" s="68">
        <v>267954</v>
      </c>
    </row>
    <row r="44" spans="2:5" ht="15.75">
      <c r="B44" s="655" t="s">
        <v>753</v>
      </c>
      <c r="C44" s="68">
        <v>300000</v>
      </c>
      <c r="D44" s="68">
        <v>0</v>
      </c>
      <c r="E44" s="68">
        <v>0</v>
      </c>
    </row>
    <row r="45" spans="2:5" ht="15.75">
      <c r="B45" s="277" t="s">
        <v>49</v>
      </c>
      <c r="C45" s="68">
        <v>0</v>
      </c>
      <c r="D45" s="261">
        <v>0</v>
      </c>
      <c r="E45" s="261">
        <v>0</v>
      </c>
    </row>
    <row r="46" spans="2:5" ht="15.75">
      <c r="B46" s="277" t="s">
        <v>139</v>
      </c>
      <c r="C46" s="305">
        <f>IF(C47*0.1&lt;C45,"Exceed 10% Rule","")</f>
      </c>
      <c r="D46" s="266">
        <f>IF(D47*0.1&lt;D45,"Exceed 10% Rule","")</f>
      </c>
      <c r="E46" s="266">
        <f>IF(E47*0.1&lt;E45,"Exceed 10% Rule","")</f>
      </c>
    </row>
    <row r="47" spans="2:5" ht="15.75">
      <c r="B47" s="267" t="s">
        <v>824</v>
      </c>
      <c r="C47" s="270">
        <f>SUM(C41:C45)</f>
        <v>323124</v>
      </c>
      <c r="D47" s="270">
        <f>SUM(D41:D45)</f>
        <v>0</v>
      </c>
      <c r="E47" s="270">
        <f>SUM(E41:E45)</f>
        <v>267954</v>
      </c>
    </row>
    <row r="48" spans="2:5" ht="15.75">
      <c r="B48" s="153" t="s">
        <v>933</v>
      </c>
      <c r="C48" s="83">
        <f>C39-C47</f>
        <v>263954</v>
      </c>
      <c r="D48" s="83">
        <f>D39-D47</f>
        <v>265954</v>
      </c>
      <c r="E48" s="83">
        <f>E39-E47</f>
        <v>0</v>
      </c>
    </row>
    <row r="49" spans="2:5" ht="15.75">
      <c r="B49" s="139" t="str">
        <f>CONCATENATE("",E1-2,"/",E1-1," Budget Authority Amount:")</f>
        <v>2010/2011 Budget Authority Amount:</v>
      </c>
      <c r="C49" s="244">
        <f>inputOth!B83</f>
        <v>1045950</v>
      </c>
      <c r="D49" s="244">
        <f>inputPrYr!D43</f>
        <v>266789</v>
      </c>
      <c r="E49" s="391">
        <f>IF(E48&lt;0,"See Tab E","")</f>
      </c>
    </row>
    <row r="50" spans="2:5" ht="15.75">
      <c r="B50" s="139"/>
      <c r="C50" s="280">
        <f>IF(C47&gt;C49,"See Tab A","")</f>
      </c>
      <c r="D50" s="280">
        <f>IF(D47&gt;D49,"See Tab C","")</f>
      </c>
      <c r="E50" s="48"/>
    </row>
    <row r="51" spans="2:5" ht="15.75">
      <c r="B51" s="139"/>
      <c r="C51" s="280">
        <f>IF(C48&lt;0,"See Tab B","")</f>
      </c>
      <c r="D51" s="280">
        <f>IF(D48&lt;0,"See Tab D","")</f>
      </c>
      <c r="E51" s="48"/>
    </row>
    <row r="52" spans="2:5" ht="15.75">
      <c r="B52" s="48"/>
      <c r="C52" s="48"/>
      <c r="D52" s="48"/>
      <c r="E52" s="48"/>
    </row>
    <row r="53" spans="2:5" ht="15.75">
      <c r="B53" s="416" t="s">
        <v>827</v>
      </c>
      <c r="C53" s="285">
        <v>14</v>
      </c>
      <c r="D53" s="48"/>
      <c r="E53" s="48"/>
    </row>
  </sheetData>
  <sheetProtection/>
  <conditionalFormatting sqref="C45">
    <cfRule type="cellIs" priority="13" dxfId="7" operator="greaterThan" stopIfTrue="1">
      <formula>$C$47*0.1</formula>
    </cfRule>
  </conditionalFormatting>
  <conditionalFormatting sqref="D45">
    <cfRule type="cellIs" priority="14" dxfId="7" operator="greaterThan" stopIfTrue="1">
      <formula>$D$47*0.1</formula>
    </cfRule>
  </conditionalFormatting>
  <conditionalFormatting sqref="E45">
    <cfRule type="cellIs" priority="15" dxfId="7" operator="greaterThan" stopIfTrue="1">
      <formula>$E$47*0.1</formula>
    </cfRule>
  </conditionalFormatting>
  <conditionalFormatting sqref="D47">
    <cfRule type="cellIs" priority="16" dxfId="0" operator="greaterThan" stopIfTrue="1">
      <formula>$D$49</formula>
    </cfRule>
  </conditionalFormatting>
  <conditionalFormatting sqref="C47">
    <cfRule type="cellIs" priority="17" dxfId="0" operator="greaterThan" stopIfTrue="1">
      <formula>$C$49</formula>
    </cfRule>
  </conditionalFormatting>
  <conditionalFormatting sqref="C48:E48 C23:E23">
    <cfRule type="cellIs" priority="18" dxfId="0" operator="lessThan" stopIfTrue="1">
      <formula>0</formula>
    </cfRule>
  </conditionalFormatting>
  <conditionalFormatting sqref="C36">
    <cfRule type="cellIs" priority="10" dxfId="7" operator="greaterThan" stopIfTrue="1">
      <formula>$C$38*0.1</formula>
    </cfRule>
  </conditionalFormatting>
  <conditionalFormatting sqref="D36">
    <cfRule type="cellIs" priority="11" dxfId="7" operator="greaterThan" stopIfTrue="1">
      <formula>$D$38*0.1</formula>
    </cfRule>
  </conditionalFormatting>
  <conditionalFormatting sqref="E36">
    <cfRule type="cellIs" priority="12" dxfId="7" operator="greaterThan" stopIfTrue="1">
      <formula>$E$38*0.1</formula>
    </cfRule>
  </conditionalFormatting>
  <conditionalFormatting sqref="C20">
    <cfRule type="cellIs" priority="7" dxfId="7" operator="greaterThan" stopIfTrue="1">
      <formula>$C$22*0.1</formula>
    </cfRule>
  </conditionalFormatting>
  <conditionalFormatting sqref="D20">
    <cfRule type="cellIs" priority="8" dxfId="7" operator="greaterThan" stopIfTrue="1">
      <formula>$D$22*0.1</formula>
    </cfRule>
  </conditionalFormatting>
  <conditionalFormatting sqref="E20">
    <cfRule type="cellIs" priority="9" dxfId="7" operator="greaterThan" stopIfTrue="1">
      <formula>$E$22*0.1</formula>
    </cfRule>
  </conditionalFormatting>
  <conditionalFormatting sqref="C22">
    <cfRule type="cellIs" priority="20" dxfId="0" operator="greaterThan" stopIfTrue="1">
      <formula>$C$24</formula>
    </cfRule>
  </conditionalFormatting>
  <conditionalFormatting sqref="C10">
    <cfRule type="cellIs" priority="4" dxfId="7" operator="greaterThan" stopIfTrue="1">
      <formula>$C$12*0.1</formula>
    </cfRule>
  </conditionalFormatting>
  <conditionalFormatting sqref="D10">
    <cfRule type="cellIs" priority="5" dxfId="7" operator="greaterThan" stopIfTrue="1">
      <formula>$D$12*0.1</formula>
    </cfRule>
  </conditionalFormatting>
  <conditionalFormatting sqref="E10">
    <cfRule type="cellIs" priority="6" dxfId="7" operator="greaterThan" stopIfTrue="1">
      <formula>$E$12*0.1</formula>
    </cfRule>
  </conditionalFormatting>
  <printOptions/>
  <pageMargins left="0.5" right="0.5" top="1" bottom="0.5" header="0.5" footer="0.5"/>
  <pageSetup blackAndWhite="1" fitToHeight="1" fitToWidth="1" horizontalDpi="120" verticalDpi="120" orientation="portrait" scale="9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0"/>
  <sheetViews>
    <sheetView zoomScalePageLayoutView="0" workbookViewId="0" topLeftCell="A22">
      <selection activeCell="E49" sqref="E49"/>
    </sheetView>
  </sheetViews>
  <sheetFormatPr defaultColWidth="8.796875" defaultRowHeight="15"/>
  <cols>
    <col min="1" max="1" width="2.3984375" style="33" customWidth="1"/>
    <col min="2" max="2" width="34" style="33" customWidth="1"/>
    <col min="3" max="4" width="15.796875" style="33" customWidth="1"/>
    <col min="5" max="5" width="16.09765625" style="33" customWidth="1"/>
    <col min="6" max="16384" width="8.8984375" style="33"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inputPrYr!B44</f>
        <v>Waste Water TP - Fund 16 </v>
      </c>
      <c r="C5" s="254">
        <f>E1-2</f>
        <v>2010</v>
      </c>
      <c r="D5" s="254">
        <f>E1-1</f>
        <v>2011</v>
      </c>
      <c r="E5" s="254">
        <f>E1</f>
        <v>2012</v>
      </c>
    </row>
    <row r="6" spans="2:5" ht="15.75">
      <c r="B6" s="255" t="s">
        <v>932</v>
      </c>
      <c r="C6" s="68">
        <v>497940</v>
      </c>
      <c r="D6" s="231">
        <f>C30</f>
        <v>584230</v>
      </c>
      <c r="E6" s="231">
        <f>D30</f>
        <v>599230</v>
      </c>
    </row>
    <row r="7" spans="2:5" s="46" customFormat="1" ht="15.75">
      <c r="B7" s="259" t="s">
        <v>934</v>
      </c>
      <c r="C7" s="88"/>
      <c r="D7" s="88"/>
      <c r="E7" s="88"/>
    </row>
    <row r="8" spans="2:5" ht="15.75">
      <c r="B8" s="656" t="s">
        <v>754</v>
      </c>
      <c r="C8" s="68">
        <v>9000</v>
      </c>
      <c r="D8" s="68">
        <v>0</v>
      </c>
      <c r="E8" s="68">
        <v>6000</v>
      </c>
    </row>
    <row r="9" spans="2:5" ht="15.75">
      <c r="B9" s="655" t="s">
        <v>755</v>
      </c>
      <c r="C9" s="68">
        <v>418730</v>
      </c>
      <c r="D9" s="68">
        <v>418000</v>
      </c>
      <c r="E9" s="68">
        <v>427600</v>
      </c>
    </row>
    <row r="10" spans="2:5" ht="15.75">
      <c r="B10" s="655" t="s">
        <v>507</v>
      </c>
      <c r="C10" s="68">
        <v>0</v>
      </c>
      <c r="D10" s="68">
        <v>0</v>
      </c>
      <c r="E10" s="68">
        <v>0</v>
      </c>
    </row>
    <row r="11" spans="2:5" ht="15.75">
      <c r="B11" s="264" t="s">
        <v>816</v>
      </c>
      <c r="C11" s="68">
        <v>3746</v>
      </c>
      <c r="D11" s="68">
        <v>5000</v>
      </c>
      <c r="E11" s="68">
        <v>3000</v>
      </c>
    </row>
    <row r="12" spans="2:5" ht="15.75">
      <c r="B12" s="162" t="s">
        <v>49</v>
      </c>
      <c r="C12" s="68">
        <v>0</v>
      </c>
      <c r="D12" s="261">
        <v>0</v>
      </c>
      <c r="E12" s="261">
        <v>0</v>
      </c>
    </row>
    <row r="13" spans="2:5" ht="15.75">
      <c r="B13" s="255" t="s">
        <v>138</v>
      </c>
      <c r="C13" s="305">
        <f>IF(C14*0.1&lt;C12,"Exceed 10% Rule","")</f>
      </c>
      <c r="D13" s="266">
        <f>IF(D14*0.1&lt;D12,"Exceed 10% Rule","")</f>
      </c>
      <c r="E13" s="266">
        <f>IF(E14*0.1&lt;E12,"Exceed 10% Rule","")</f>
      </c>
    </row>
    <row r="14" spans="2:5" ht="15.75">
      <c r="B14" s="267" t="s">
        <v>817</v>
      </c>
      <c r="C14" s="270">
        <f>SUM(C8:C12)</f>
        <v>431476</v>
      </c>
      <c r="D14" s="270">
        <f>SUM(D8:D12)</f>
        <v>423000</v>
      </c>
      <c r="E14" s="270">
        <f>SUM(E8:E12)</f>
        <v>436600</v>
      </c>
    </row>
    <row r="15" spans="2:5" ht="15.75">
      <c r="B15" s="267" t="s">
        <v>818</v>
      </c>
      <c r="C15" s="270">
        <f>C6+C14</f>
        <v>929416</v>
      </c>
      <c r="D15" s="270">
        <f>D6+D14</f>
        <v>1007230</v>
      </c>
      <c r="E15" s="270">
        <f>E6+E14</f>
        <v>1035830</v>
      </c>
    </row>
    <row r="16" spans="2:5" ht="15.75">
      <c r="B16" s="153" t="s">
        <v>820</v>
      </c>
      <c r="C16" s="231"/>
      <c r="D16" s="231"/>
      <c r="E16" s="231"/>
    </row>
    <row r="17" spans="2:5" ht="15.75">
      <c r="B17" s="655" t="s">
        <v>516</v>
      </c>
      <c r="C17" s="68">
        <f>8160+409</f>
        <v>8569</v>
      </c>
      <c r="D17" s="68">
        <v>31000</v>
      </c>
      <c r="E17" s="68">
        <v>35000</v>
      </c>
    </row>
    <row r="18" spans="2:5" ht="15.75">
      <c r="B18" s="655" t="s">
        <v>717</v>
      </c>
      <c r="C18" s="68">
        <v>0</v>
      </c>
      <c r="D18" s="68">
        <v>10000</v>
      </c>
      <c r="E18" s="68">
        <v>20000</v>
      </c>
    </row>
    <row r="19" spans="2:5" ht="15.75">
      <c r="B19" s="655" t="s">
        <v>518</v>
      </c>
      <c r="C19" s="68">
        <v>0</v>
      </c>
      <c r="D19" s="68">
        <v>7000</v>
      </c>
      <c r="E19" s="68">
        <v>10000</v>
      </c>
    </row>
    <row r="20" spans="2:5" ht="15.75">
      <c r="B20" s="655" t="s">
        <v>519</v>
      </c>
      <c r="C20" s="68">
        <v>1264</v>
      </c>
      <c r="D20" s="68">
        <v>10000</v>
      </c>
      <c r="E20" s="68">
        <v>30000</v>
      </c>
    </row>
    <row r="21" spans="2:5" ht="15.75">
      <c r="B21" s="655" t="s">
        <v>756</v>
      </c>
      <c r="C21" s="68">
        <v>300000</v>
      </c>
      <c r="D21" s="68">
        <v>300000</v>
      </c>
      <c r="E21" s="68">
        <v>400000</v>
      </c>
    </row>
    <row r="22" spans="2:5" ht="15.75">
      <c r="B22" s="655" t="s">
        <v>733</v>
      </c>
      <c r="C22" s="68">
        <v>0</v>
      </c>
      <c r="D22" s="68">
        <v>0</v>
      </c>
      <c r="E22" s="68">
        <v>0</v>
      </c>
    </row>
    <row r="23" spans="2:5" ht="15.75">
      <c r="B23" s="655" t="s">
        <v>744</v>
      </c>
      <c r="C23" s="68">
        <v>25000</v>
      </c>
      <c r="D23" s="68">
        <v>25000</v>
      </c>
      <c r="E23" s="68">
        <v>25000</v>
      </c>
    </row>
    <row r="24" spans="2:5" ht="15.75">
      <c r="B24" s="655" t="s">
        <v>757</v>
      </c>
      <c r="C24" s="68">
        <v>0</v>
      </c>
      <c r="D24" s="68">
        <v>5000</v>
      </c>
      <c r="E24" s="68">
        <v>10000</v>
      </c>
    </row>
    <row r="25" spans="2:5" ht="15.75">
      <c r="B25" s="655" t="s">
        <v>512</v>
      </c>
      <c r="C25" s="68">
        <v>0</v>
      </c>
      <c r="D25" s="68">
        <v>0</v>
      </c>
      <c r="E25" s="68">
        <v>483830</v>
      </c>
    </row>
    <row r="26" spans="2:5" ht="15.75">
      <c r="B26" s="276" t="s">
        <v>725</v>
      </c>
      <c r="C26" s="68">
        <v>0</v>
      </c>
      <c r="D26" s="68">
        <v>0</v>
      </c>
      <c r="E26" s="68">
        <v>0</v>
      </c>
    </row>
    <row r="27" spans="2:5" ht="15.75">
      <c r="B27" s="277" t="s">
        <v>49</v>
      </c>
      <c r="C27" s="68">
        <v>10353</v>
      </c>
      <c r="D27" s="261">
        <v>20000</v>
      </c>
      <c r="E27" s="261">
        <v>22000</v>
      </c>
    </row>
    <row r="28" spans="2:5" ht="15.75">
      <c r="B28" s="277" t="s">
        <v>139</v>
      </c>
      <c r="C28" s="305">
        <f>IF(C29*0.1&lt;C27,"Exceed 10% Rule","")</f>
      </c>
      <c r="D28" s="266">
        <f>IF(D29*0.1&lt;D27,"Exceed 10% Rule","")</f>
      </c>
      <c r="E28" s="266">
        <f>IF(E29*0.1&lt;E27,"Exceed 10% Rule","")</f>
      </c>
    </row>
    <row r="29" spans="2:5" ht="15.75">
      <c r="B29" s="267" t="s">
        <v>824</v>
      </c>
      <c r="C29" s="270">
        <f>SUM(C17:C27)</f>
        <v>345186</v>
      </c>
      <c r="D29" s="270">
        <f>SUM(D17:D27)</f>
        <v>408000</v>
      </c>
      <c r="E29" s="270">
        <f>SUM(E17:E27)</f>
        <v>1035830</v>
      </c>
    </row>
    <row r="30" spans="2:5" ht="15.75">
      <c r="B30" s="153" t="s">
        <v>933</v>
      </c>
      <c r="C30" s="83">
        <f>C15-C29</f>
        <v>584230</v>
      </c>
      <c r="D30" s="83">
        <f>D15-D29</f>
        <v>599230</v>
      </c>
      <c r="E30" s="83">
        <f>E15-E29</f>
        <v>0</v>
      </c>
    </row>
    <row r="31" spans="2:5" ht="15.75">
      <c r="B31" s="139" t="str">
        <f>CONCATENATE("",E1-2,"/",E1-1," Budget Authority Amount:")</f>
        <v>2010/2011 Budget Authority Amount:</v>
      </c>
      <c r="C31" s="244">
        <f>inputOth!B84</f>
        <v>877405</v>
      </c>
      <c r="D31" s="244">
        <f>inputPrYr!D44</f>
        <v>905440</v>
      </c>
      <c r="E31" s="391">
        <f>IF(E30&lt;0,"See Tab E","")</f>
      </c>
    </row>
    <row r="32" spans="2:5" ht="15.75">
      <c r="B32" s="139"/>
      <c r="C32" s="280">
        <f>IF(C29&gt;C31,"See Tab A","")</f>
      </c>
      <c r="D32" s="280">
        <f>IF(D29&gt;D31,"See Tab C","")</f>
      </c>
      <c r="E32" s="98"/>
    </row>
    <row r="33" spans="2:5" ht="15.75">
      <c r="B33" s="139"/>
      <c r="C33" s="280">
        <f>IF(C30&lt;0,"See Tab B","")</f>
      </c>
      <c r="D33" s="280">
        <f>IF(D30&lt;0,"See Tab D","")</f>
      </c>
      <c r="E33" s="98"/>
    </row>
    <row r="34" spans="2:5" ht="15.75">
      <c r="B34" s="48"/>
      <c r="C34" s="98"/>
      <c r="D34" s="98"/>
      <c r="E34" s="98"/>
    </row>
    <row r="35" spans="2:5" ht="15.75">
      <c r="B35" s="53" t="s">
        <v>811</v>
      </c>
      <c r="C35" s="300"/>
      <c r="D35" s="300"/>
      <c r="E35" s="300"/>
    </row>
    <row r="36" spans="2:5" ht="15.75">
      <c r="B36" s="48"/>
      <c r="C36" s="597" t="s">
        <v>830</v>
      </c>
      <c r="D36" s="596" t="s">
        <v>959</v>
      </c>
      <c r="E36" s="596" t="s">
        <v>960</v>
      </c>
    </row>
    <row r="37" spans="2:5" ht="15.75">
      <c r="B37" s="555" t="str">
        <f>inputPrYr!B45</f>
        <v>Transient Guest Tax - Fund 20</v>
      </c>
      <c r="C37" s="254">
        <f>C5</f>
        <v>2010</v>
      </c>
      <c r="D37" s="254">
        <f>D5</f>
        <v>2011</v>
      </c>
      <c r="E37" s="254">
        <f>E5</f>
        <v>2012</v>
      </c>
    </row>
    <row r="38" spans="2:5" ht="15.75">
      <c r="B38" s="255" t="s">
        <v>932</v>
      </c>
      <c r="C38" s="68">
        <v>78335</v>
      </c>
      <c r="D38" s="231">
        <f>C55</f>
        <v>86186</v>
      </c>
      <c r="E38" s="231">
        <f>D55</f>
        <v>49186</v>
      </c>
    </row>
    <row r="39" spans="2:5" s="46" customFormat="1" ht="15.75">
      <c r="B39" s="259" t="s">
        <v>934</v>
      </c>
      <c r="C39" s="88"/>
      <c r="D39" s="88"/>
      <c r="E39" s="88"/>
    </row>
    <row r="40" spans="2:5" ht="15.75">
      <c r="B40" s="655" t="s">
        <v>760</v>
      </c>
      <c r="C40" s="68">
        <v>30515</v>
      </c>
      <c r="D40" s="68">
        <v>32000</v>
      </c>
      <c r="E40" s="68">
        <v>32000</v>
      </c>
    </row>
    <row r="41" spans="2:5" ht="15.75">
      <c r="B41" s="655" t="s">
        <v>764</v>
      </c>
      <c r="C41" s="68">
        <v>2132</v>
      </c>
      <c r="D41" s="68">
        <v>0</v>
      </c>
      <c r="E41" s="68">
        <v>0</v>
      </c>
    </row>
    <row r="42" spans="2:5" ht="15.75">
      <c r="B42" s="264" t="s">
        <v>816</v>
      </c>
      <c r="C42" s="68">
        <v>646</v>
      </c>
      <c r="D42" s="68">
        <v>500</v>
      </c>
      <c r="E42" s="68">
        <v>500</v>
      </c>
    </row>
    <row r="43" spans="2:5" ht="15.75">
      <c r="B43" s="162" t="s">
        <v>49</v>
      </c>
      <c r="C43" s="68">
        <v>0</v>
      </c>
      <c r="D43" s="261">
        <v>0</v>
      </c>
      <c r="E43" s="261">
        <v>0</v>
      </c>
    </row>
    <row r="44" spans="2:5" ht="15.75">
      <c r="B44" s="255" t="s">
        <v>138</v>
      </c>
      <c r="C44" s="305">
        <f>IF(C45*0.1&lt;C43,"Exceed 10% Rule","")</f>
      </c>
      <c r="D44" s="266">
        <f>IF(D45*0.1&lt;D43,"Exceed 10% Rule","")</f>
      </c>
      <c r="E44" s="266">
        <f>IF(E45*0.1&lt;E43,"Exceed 10% Rule","")</f>
      </c>
    </row>
    <row r="45" spans="2:5" ht="15.75">
      <c r="B45" s="267" t="s">
        <v>817</v>
      </c>
      <c r="C45" s="270">
        <f>SUM(C40:C43)</f>
        <v>33293</v>
      </c>
      <c r="D45" s="270">
        <f>SUM(D40:D43)</f>
        <v>32500</v>
      </c>
      <c r="E45" s="270">
        <f>SUM(E40:E43)</f>
        <v>32500</v>
      </c>
    </row>
    <row r="46" spans="2:5" ht="15.75">
      <c r="B46" s="267" t="s">
        <v>818</v>
      </c>
      <c r="C46" s="270">
        <f>C38+C45</f>
        <v>111628</v>
      </c>
      <c r="D46" s="270">
        <f>D38+D45</f>
        <v>118686</v>
      </c>
      <c r="E46" s="270">
        <f>E38+E45</f>
        <v>81686</v>
      </c>
    </row>
    <row r="47" spans="2:5" ht="15.75">
      <c r="B47" s="153" t="s">
        <v>820</v>
      </c>
      <c r="C47" s="231"/>
      <c r="D47" s="231"/>
      <c r="E47" s="231"/>
    </row>
    <row r="48" spans="2:5" ht="15.75">
      <c r="B48" s="655" t="s">
        <v>717</v>
      </c>
      <c r="C48" s="68">
        <v>5442</v>
      </c>
      <c r="D48" s="68">
        <f>500+40000+25000</f>
        <v>65500</v>
      </c>
      <c r="E48" s="68">
        <f>3000+700+16986+25000-9000</f>
        <v>36686</v>
      </c>
    </row>
    <row r="49" spans="2:5" ht="15.75">
      <c r="B49" s="655" t="s">
        <v>761</v>
      </c>
      <c r="C49" s="68">
        <v>7500</v>
      </c>
      <c r="D49" s="68">
        <v>0</v>
      </c>
      <c r="E49" s="68">
        <v>0</v>
      </c>
    </row>
    <row r="50" spans="2:5" ht="15.75">
      <c r="B50" s="276" t="s">
        <v>762</v>
      </c>
      <c r="C50" s="68">
        <v>12500</v>
      </c>
      <c r="D50" s="68">
        <v>0</v>
      </c>
      <c r="E50" s="68">
        <v>0</v>
      </c>
    </row>
    <row r="51" spans="2:5" ht="15.75">
      <c r="B51" s="276" t="s">
        <v>484</v>
      </c>
      <c r="C51" s="68">
        <v>0</v>
      </c>
      <c r="D51" s="68">
        <v>0</v>
      </c>
      <c r="E51" s="68">
        <v>40000</v>
      </c>
    </row>
    <row r="52" spans="2:5" ht="15.75">
      <c r="B52" s="277" t="s">
        <v>49</v>
      </c>
      <c r="C52" s="68">
        <v>0</v>
      </c>
      <c r="D52" s="261">
        <v>4000</v>
      </c>
      <c r="E52" s="261">
        <v>5000</v>
      </c>
    </row>
    <row r="53" spans="2:5" ht="15.75">
      <c r="B53" s="277" t="s">
        <v>139</v>
      </c>
      <c r="C53" s="305">
        <f>IF(C54*0.1&lt;C52,"Exceed 10% Rule","")</f>
      </c>
      <c r="D53" s="266">
        <f>IF(D54*0.1&lt;D52,"Exceed 10% Rule","")</f>
      </c>
      <c r="E53" s="266">
        <f>IF(E54*0.1&lt;E52,"Exceed 10% Rule","")</f>
      </c>
    </row>
    <row r="54" spans="2:5" ht="15.75">
      <c r="B54" s="267" t="s">
        <v>824</v>
      </c>
      <c r="C54" s="270">
        <f>SUM(C48:C52)</f>
        <v>25442</v>
      </c>
      <c r="D54" s="270">
        <f>SUM(D48:D52)</f>
        <v>69500</v>
      </c>
      <c r="E54" s="270">
        <f>SUM(E48:E52)</f>
        <v>81686</v>
      </c>
    </row>
    <row r="55" spans="2:5" ht="15.75">
      <c r="B55" s="153" t="s">
        <v>933</v>
      </c>
      <c r="C55" s="83">
        <f>C46-C54</f>
        <v>86186</v>
      </c>
      <c r="D55" s="83">
        <f>D46-D54</f>
        <v>49186</v>
      </c>
      <c r="E55" s="83">
        <f>E46-E54</f>
        <v>0</v>
      </c>
    </row>
    <row r="56" spans="2:5" ht="15.75">
      <c r="B56" s="139" t="str">
        <f>CONCATENATE("",E1-2,"/",E1-1," Budget Authority Amount:")</f>
        <v>2010/2011 Budget Authority Amount:</v>
      </c>
      <c r="C56" s="244">
        <f>inputOth!B85</f>
        <v>109071</v>
      </c>
      <c r="D56" s="244">
        <f>inputPrYr!D45</f>
        <v>112635</v>
      </c>
      <c r="E56" s="391">
        <f>IF(E55&lt;0,"See Tab E","")</f>
      </c>
    </row>
    <row r="57" spans="2:5" ht="15.75">
      <c r="B57" s="139"/>
      <c r="C57" s="280">
        <f>IF(C54&gt;C56,"See Tab A","")</f>
      </c>
      <c r="D57" s="280">
        <f>IF(D54&gt;D56,"See Tab C","")</f>
      </c>
      <c r="E57" s="48"/>
    </row>
    <row r="58" spans="2:5" ht="15.75">
      <c r="B58" s="139"/>
      <c r="C58" s="280">
        <f>IF(C55&lt;0,"See Tab B","")</f>
      </c>
      <c r="D58" s="280">
        <f>IF(D55&lt;0,"See Tab D","")</f>
      </c>
      <c r="E58" s="48"/>
    </row>
    <row r="59" spans="2:5" ht="15.75">
      <c r="B59" s="48"/>
      <c r="C59" s="48"/>
      <c r="D59" s="48"/>
      <c r="E59" s="48"/>
    </row>
    <row r="60" spans="2:5" ht="15.75">
      <c r="B60" s="416" t="s">
        <v>827</v>
      </c>
      <c r="C60" s="285">
        <v>15</v>
      </c>
      <c r="D60" s="48"/>
      <c r="E60" s="48"/>
    </row>
  </sheetData>
  <sheetProtection/>
  <conditionalFormatting sqref="C52">
    <cfRule type="cellIs" priority="12" dxfId="7" operator="greaterThan" stopIfTrue="1">
      <formula>$C$54*0.1</formula>
    </cfRule>
  </conditionalFormatting>
  <conditionalFormatting sqref="D52">
    <cfRule type="cellIs" priority="13" dxfId="7" operator="greaterThan" stopIfTrue="1">
      <formula>$D$54*0.1</formula>
    </cfRule>
  </conditionalFormatting>
  <conditionalFormatting sqref="E52">
    <cfRule type="cellIs" priority="14" dxfId="7" operator="greaterThan" stopIfTrue="1">
      <formula>$E$54*0.1</formula>
    </cfRule>
  </conditionalFormatting>
  <conditionalFormatting sqref="C54:D54">
    <cfRule type="cellIs" priority="15" dxfId="0" operator="greaterThan" stopIfTrue="1">
      <formula>$D$56</formula>
    </cfRule>
  </conditionalFormatting>
  <conditionalFormatting sqref="C55:E55 C30:E30">
    <cfRule type="cellIs" priority="16" dxfId="0" operator="lessThan" stopIfTrue="1">
      <formula>0</formula>
    </cfRule>
  </conditionalFormatting>
  <conditionalFormatting sqref="C43">
    <cfRule type="cellIs" priority="9" dxfId="7" operator="greaterThan" stopIfTrue="1">
      <formula>$C$45*0.1</formula>
    </cfRule>
  </conditionalFormatting>
  <conditionalFormatting sqref="D43">
    <cfRule type="cellIs" priority="10" dxfId="7" operator="greaterThan" stopIfTrue="1">
      <formula>$D$45*0.1</formula>
    </cfRule>
  </conditionalFormatting>
  <conditionalFormatting sqref="E43">
    <cfRule type="cellIs" priority="11" dxfId="7" operator="greaterThan" stopIfTrue="1">
      <formula>$E$45*0.1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formula>
    </cfRule>
  </conditionalFormatting>
  <conditionalFormatting sqref="D29">
    <cfRule type="cellIs" priority="17" dxfId="0" operator="greaterThan" stopIfTrue="1">
      <formula>$D$31</formula>
    </cfRule>
  </conditionalFormatting>
  <conditionalFormatting sqref="C29">
    <cfRule type="cellIs" priority="18" dxfId="0" operator="greaterThan" stopIfTrue="1">
      <formula>$C$31</formula>
    </cfRule>
  </conditionalFormatting>
  <conditionalFormatting sqref="C12">
    <cfRule type="cellIs" priority="3" dxfId="7" operator="greaterThan" stopIfTrue="1">
      <formula>$C$14*0.1</formula>
    </cfRule>
  </conditionalFormatting>
  <conditionalFormatting sqref="D12">
    <cfRule type="cellIs" priority="4" dxfId="7" operator="greaterThan" stopIfTrue="1">
      <formula>$D$14*0.1</formula>
    </cfRule>
  </conditionalFormatting>
  <conditionalFormatting sqref="E12">
    <cfRule type="cellIs" priority="5" dxfId="7" operator="greaterThan" stopIfTrue="1">
      <formula>$E$14*0.1</formula>
    </cfRule>
  </conditionalFormatting>
  <printOptions/>
  <pageMargins left="0.5" right="0.5" top="0.86" bottom="0.5" header="0.5" footer="0.5"/>
  <pageSetup blackAndWhite="1" fitToHeight="1" fitToWidth="1" horizontalDpi="120" verticalDpi="120" orientation="portrait" scale="8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3">
      <selection activeCell="C53" sqref="C53"/>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inputPrYr!B44</f>
        <v>Waste Water TP - Fund 16 </v>
      </c>
      <c r="C5" s="254">
        <f>E1-2</f>
        <v>2010</v>
      </c>
      <c r="D5" s="254">
        <f>E1-1</f>
        <v>2011</v>
      </c>
      <c r="E5" s="254">
        <f>E1</f>
        <v>2012</v>
      </c>
    </row>
    <row r="6" spans="2:5" ht="15.75">
      <c r="B6" s="255" t="s">
        <v>932</v>
      </c>
      <c r="C6" s="68"/>
      <c r="D6" s="231">
        <f>C29</f>
        <v>0</v>
      </c>
      <c r="E6" s="231">
        <f>D29</f>
        <v>0</v>
      </c>
    </row>
    <row r="7" spans="2:5" s="46" customFormat="1" ht="15.75">
      <c r="B7" s="259" t="s">
        <v>934</v>
      </c>
      <c r="C7" s="88"/>
      <c r="D7" s="88"/>
      <c r="E7" s="88"/>
    </row>
    <row r="8" spans="2:5" ht="15.75">
      <c r="B8" s="276"/>
      <c r="C8" s="68"/>
      <c r="D8" s="68"/>
      <c r="E8" s="68"/>
    </row>
    <row r="9" spans="2:5" ht="15.75">
      <c r="B9" s="276"/>
      <c r="C9" s="68"/>
      <c r="D9" s="68"/>
      <c r="E9" s="68"/>
    </row>
    <row r="10" spans="2:5" ht="15.75">
      <c r="B10" s="276"/>
      <c r="C10" s="68"/>
      <c r="D10" s="68"/>
      <c r="E10" s="68"/>
    </row>
    <row r="11" spans="2:5" ht="15.75">
      <c r="B11" s="276"/>
      <c r="C11" s="68"/>
      <c r="D11" s="68"/>
      <c r="E11" s="68"/>
    </row>
    <row r="12" spans="2:5" ht="15.75">
      <c r="B12" s="264" t="s">
        <v>816</v>
      </c>
      <c r="C12" s="68"/>
      <c r="D12" s="68"/>
      <c r="E12" s="68"/>
    </row>
    <row r="13" spans="2:5" ht="15.75">
      <c r="B13" s="162" t="s">
        <v>49</v>
      </c>
      <c r="C13" s="68"/>
      <c r="D13" s="261"/>
      <c r="E13" s="261"/>
    </row>
    <row r="14" spans="2:5" ht="15.75">
      <c r="B14" s="255" t="s">
        <v>138</v>
      </c>
      <c r="C14" s="305">
        <f>IF(C15*0.1&lt;C13,"Exceed 10% Rule","")</f>
      </c>
      <c r="D14" s="266">
        <f>IF(D15*0.1&lt;D13,"Exceed 10% Rule","")</f>
      </c>
      <c r="E14" s="266">
        <f>IF(E15*0.1&lt;E13,"Exceed 10% Rule","")</f>
      </c>
    </row>
    <row r="15" spans="2:5" ht="15.75">
      <c r="B15" s="267" t="s">
        <v>817</v>
      </c>
      <c r="C15" s="270">
        <f>SUM(C8:C13)</f>
        <v>0</v>
      </c>
      <c r="D15" s="270">
        <f>SUM(D8:D13)</f>
        <v>0</v>
      </c>
      <c r="E15" s="270">
        <f>SUM(E8:E13)</f>
        <v>0</v>
      </c>
    </row>
    <row r="16" spans="2:5" ht="15.75">
      <c r="B16" s="267" t="s">
        <v>818</v>
      </c>
      <c r="C16" s="270">
        <f>C6+C15</f>
        <v>0</v>
      </c>
      <c r="D16" s="270">
        <f>D6+D15</f>
        <v>0</v>
      </c>
      <c r="E16" s="270">
        <f>E6+E15</f>
        <v>0</v>
      </c>
    </row>
    <row r="17" spans="2:5" ht="15.75">
      <c r="B17" s="153" t="s">
        <v>820</v>
      </c>
      <c r="C17" s="231"/>
      <c r="D17" s="231"/>
      <c r="E17" s="231"/>
    </row>
    <row r="18" spans="2:5" ht="15.75">
      <c r="B18" s="276"/>
      <c r="C18" s="68"/>
      <c r="D18" s="68"/>
      <c r="E18" s="68"/>
    </row>
    <row r="19" spans="2:5" ht="15.75">
      <c r="B19" s="276"/>
      <c r="C19" s="68"/>
      <c r="D19" s="68"/>
      <c r="E19" s="68"/>
    </row>
    <row r="20" spans="2:5" ht="15.75">
      <c r="B20" s="276"/>
      <c r="C20" s="68"/>
      <c r="D20" s="68"/>
      <c r="E20" s="68"/>
    </row>
    <row r="21" spans="2:5" ht="15.75">
      <c r="B21" s="276"/>
      <c r="C21" s="68"/>
      <c r="D21" s="68"/>
      <c r="E21" s="68"/>
    </row>
    <row r="22" spans="2:5" ht="15.75">
      <c r="B22" s="276"/>
      <c r="C22" s="68"/>
      <c r="D22" s="68"/>
      <c r="E22" s="68"/>
    </row>
    <row r="23" spans="2:5" ht="15.75">
      <c r="B23" s="276"/>
      <c r="C23" s="68"/>
      <c r="D23" s="68"/>
      <c r="E23" s="68"/>
    </row>
    <row r="24" spans="2:5" ht="15.75">
      <c r="B24" s="276"/>
      <c r="C24" s="68"/>
      <c r="D24" s="68"/>
      <c r="E24" s="68"/>
    </row>
    <row r="25" spans="2:5" ht="15.75">
      <c r="B25" s="276"/>
      <c r="C25" s="68"/>
      <c r="D25" s="68"/>
      <c r="E25" s="68"/>
    </row>
    <row r="26" spans="2:5" ht="15.75">
      <c r="B26" s="277" t="s">
        <v>49</v>
      </c>
      <c r="C26" s="68"/>
      <c r="D26" s="261"/>
      <c r="E26" s="261"/>
    </row>
    <row r="27" spans="2:5" ht="15.75">
      <c r="B27" s="277" t="s">
        <v>139</v>
      </c>
      <c r="C27" s="305">
        <f>IF(C28*0.1&lt;C26,"Exceed 10% Rule","")</f>
      </c>
      <c r="D27" s="266">
        <f>IF(D28*0.1&lt;D26,"Exceed 10% Rule","")</f>
      </c>
      <c r="E27" s="266">
        <f>IF(E28*0.1&lt;E26,"Exceed 10% Rule","")</f>
      </c>
    </row>
    <row r="28" spans="2:5" ht="15.75">
      <c r="B28" s="267" t="s">
        <v>824</v>
      </c>
      <c r="C28" s="270">
        <f>SUM(C18:C26)</f>
        <v>0</v>
      </c>
      <c r="D28" s="270">
        <f>SUM(D18:D26)</f>
        <v>0</v>
      </c>
      <c r="E28" s="270">
        <f>SUM(E18:E26)</f>
        <v>0</v>
      </c>
    </row>
    <row r="29" spans="2:5" ht="15.75">
      <c r="B29" s="153" t="s">
        <v>933</v>
      </c>
      <c r="C29" s="83">
        <f>C16-C28</f>
        <v>0</v>
      </c>
      <c r="D29" s="83">
        <f>D16-D28</f>
        <v>0</v>
      </c>
      <c r="E29" s="83">
        <f>E16-E28</f>
        <v>0</v>
      </c>
    </row>
    <row r="30" spans="2:5" ht="15.75">
      <c r="B30" s="139" t="str">
        <f>CONCATENATE("",E1-2,"/",E1-1," Budget Authority Amount:")</f>
        <v>2010/2011 Budget Authority Amount:</v>
      </c>
      <c r="C30" s="244">
        <f>inputOth!B84</f>
        <v>877405</v>
      </c>
      <c r="D30" s="244">
        <f>inputPrYr!D44</f>
        <v>905440</v>
      </c>
      <c r="E30" s="391">
        <f>IF(E29&lt;0,"See Tab E","")</f>
      </c>
    </row>
    <row r="31" spans="2:5" ht="15.75">
      <c r="B31" s="139"/>
      <c r="C31" s="280">
        <f>IF(C28&gt;C30,"See Tab A","")</f>
      </c>
      <c r="D31" s="280">
        <f>IF(D28&gt;D30,"See Tab C","")</f>
      </c>
      <c r="E31" s="98"/>
    </row>
    <row r="32" spans="2:5" ht="15.75">
      <c r="B32" s="139"/>
      <c r="C32" s="280">
        <f>IF(C29&lt;0,"See Tab B","")</f>
      </c>
      <c r="D32" s="280">
        <f>IF(D29&lt;0,"See Tab D","")</f>
      </c>
      <c r="E32" s="98"/>
    </row>
    <row r="33" spans="2:5" ht="15.75">
      <c r="B33" s="48"/>
      <c r="C33" s="98"/>
      <c r="D33" s="98"/>
      <c r="E33" s="98"/>
    </row>
    <row r="34" spans="2:5" ht="15.75">
      <c r="B34" s="53" t="s">
        <v>811</v>
      </c>
      <c r="C34" s="300"/>
      <c r="D34" s="300"/>
      <c r="E34" s="300"/>
    </row>
    <row r="35" spans="2:5" ht="15.75">
      <c r="B35" s="48"/>
      <c r="C35" s="597" t="s">
        <v>830</v>
      </c>
      <c r="D35" s="596" t="s">
        <v>959</v>
      </c>
      <c r="E35" s="596" t="s">
        <v>960</v>
      </c>
    </row>
    <row r="36" spans="2:5" ht="15.75">
      <c r="B36" s="555">
        <f>inputPrYr!B49</f>
        <v>0</v>
      </c>
      <c r="C36" s="254">
        <f>C5</f>
        <v>2010</v>
      </c>
      <c r="D36" s="254">
        <f>D5</f>
        <v>2011</v>
      </c>
      <c r="E36" s="254">
        <f>E5</f>
        <v>2012</v>
      </c>
    </row>
    <row r="37" spans="2:5" ht="15.75">
      <c r="B37" s="255" t="s">
        <v>932</v>
      </c>
      <c r="C37" s="68"/>
      <c r="D37" s="231">
        <f>C60</f>
        <v>0</v>
      </c>
      <c r="E37" s="231">
        <f>D60</f>
        <v>0</v>
      </c>
    </row>
    <row r="38" spans="2:5" s="46" customFormat="1" ht="15.75">
      <c r="B38" s="259" t="s">
        <v>934</v>
      </c>
      <c r="C38" s="88"/>
      <c r="D38" s="88"/>
      <c r="E38" s="88"/>
    </row>
    <row r="39" spans="2:5" ht="15.75">
      <c r="B39" s="276"/>
      <c r="C39" s="68"/>
      <c r="D39" s="68"/>
      <c r="E39" s="68"/>
    </row>
    <row r="40" spans="2:5" ht="15.75">
      <c r="B40" s="276"/>
      <c r="C40" s="68"/>
      <c r="D40" s="68"/>
      <c r="E40" s="68"/>
    </row>
    <row r="41" spans="2:5" ht="15.75">
      <c r="B41" s="276"/>
      <c r="C41" s="68"/>
      <c r="D41" s="68"/>
      <c r="E41" s="68"/>
    </row>
    <row r="42" spans="2:5" ht="15.75">
      <c r="B42" s="276"/>
      <c r="C42" s="68"/>
      <c r="D42" s="68"/>
      <c r="E42" s="68"/>
    </row>
    <row r="43" spans="2:5" ht="15.75">
      <c r="B43" s="264" t="s">
        <v>816</v>
      </c>
      <c r="C43" s="68"/>
      <c r="D43" s="68"/>
      <c r="E43" s="68"/>
    </row>
    <row r="44" spans="2:5" ht="15.75">
      <c r="B44" s="162" t="s">
        <v>49</v>
      </c>
      <c r="C44" s="68"/>
      <c r="D44" s="261"/>
      <c r="E44" s="261"/>
    </row>
    <row r="45" spans="2:5" ht="15.75">
      <c r="B45" s="255" t="s">
        <v>138</v>
      </c>
      <c r="C45" s="305">
        <f>IF(C46*0.1&lt;C44,"Exceed 10% Rule","")</f>
      </c>
      <c r="D45" s="266">
        <f>IF(D46*0.1&lt;D44,"Exceed 10% Rule","")</f>
      </c>
      <c r="E45" s="266">
        <f>IF(E46*0.1&lt;E44,"Exceed 10% Rule","")</f>
      </c>
    </row>
    <row r="46" spans="2:5" ht="15.75">
      <c r="B46" s="267" t="s">
        <v>817</v>
      </c>
      <c r="C46" s="270">
        <f>SUM(C39:C44)</f>
        <v>0</v>
      </c>
      <c r="D46" s="270">
        <f>SUM(D39:D44)</f>
        <v>0</v>
      </c>
      <c r="E46" s="270">
        <f>SUM(E39:E44)</f>
        <v>0</v>
      </c>
    </row>
    <row r="47" spans="2:5" ht="15.75">
      <c r="B47" s="267" t="s">
        <v>818</v>
      </c>
      <c r="C47" s="270">
        <f>C37+C46</f>
        <v>0</v>
      </c>
      <c r="D47" s="270">
        <f>D37+D46</f>
        <v>0</v>
      </c>
      <c r="E47" s="270">
        <f>E37+E46</f>
        <v>0</v>
      </c>
    </row>
    <row r="48" spans="2:5" ht="15.75">
      <c r="B48" s="153" t="s">
        <v>820</v>
      </c>
      <c r="C48" s="231"/>
      <c r="D48" s="231"/>
      <c r="E48" s="231"/>
    </row>
    <row r="49" spans="2:5" ht="15.75">
      <c r="B49" s="276"/>
      <c r="C49" s="68"/>
      <c r="D49" s="68"/>
      <c r="E49" s="68"/>
    </row>
    <row r="50" spans="2:5" ht="15.75">
      <c r="B50" s="276"/>
      <c r="C50" s="68"/>
      <c r="D50" s="68"/>
      <c r="E50" s="68"/>
    </row>
    <row r="51" spans="2:5" ht="15.75">
      <c r="B51" s="276"/>
      <c r="C51" s="68"/>
      <c r="D51" s="68"/>
      <c r="E51" s="68"/>
    </row>
    <row r="52" spans="2:5" ht="15.75">
      <c r="B52" s="276"/>
      <c r="C52" s="68"/>
      <c r="D52" s="68"/>
      <c r="E52" s="68"/>
    </row>
    <row r="53" spans="2:5" ht="15.75">
      <c r="B53" s="276"/>
      <c r="C53" s="68"/>
      <c r="D53" s="68"/>
      <c r="E53" s="68"/>
    </row>
    <row r="54" spans="2:5" ht="15.75">
      <c r="B54" s="276"/>
      <c r="C54" s="68"/>
      <c r="D54" s="68"/>
      <c r="E54" s="68"/>
    </row>
    <row r="55" spans="2:5" ht="15.75">
      <c r="B55" s="276"/>
      <c r="C55" s="68"/>
      <c r="D55" s="68"/>
      <c r="E55" s="68"/>
    </row>
    <row r="56" spans="2:5" ht="15.75">
      <c r="B56" s="276"/>
      <c r="C56" s="68"/>
      <c r="D56" s="68"/>
      <c r="E56" s="68"/>
    </row>
    <row r="57" spans="2:5" ht="15.75">
      <c r="B57" s="277" t="s">
        <v>49</v>
      </c>
      <c r="C57" s="68"/>
      <c r="D57" s="261"/>
      <c r="E57" s="261"/>
    </row>
    <row r="58" spans="2:5" ht="15.75">
      <c r="B58" s="277" t="s">
        <v>139</v>
      </c>
      <c r="C58" s="305">
        <f>IF(C59*0.1&lt;C57,"Exceed 10% Rule","")</f>
      </c>
      <c r="D58" s="266">
        <f>IF(D59*0.1&lt;D57,"Exceed 10% Rule","")</f>
      </c>
      <c r="E58" s="266">
        <f>IF(E59*0.1&lt;E57,"Exceed 10% Rule","")</f>
      </c>
    </row>
    <row r="59" spans="2:5" ht="15.75">
      <c r="B59" s="267" t="s">
        <v>824</v>
      </c>
      <c r="C59" s="270">
        <f>SUM(C49:C57)</f>
        <v>0</v>
      </c>
      <c r="D59" s="270">
        <f>SUM(D49:D57)</f>
        <v>0</v>
      </c>
      <c r="E59" s="270">
        <f>SUM(E49:E57)</f>
        <v>0</v>
      </c>
    </row>
    <row r="60" spans="2:5" ht="15.75">
      <c r="B60" s="153" t="s">
        <v>933</v>
      </c>
      <c r="C60" s="83">
        <f>C47-C59</f>
        <v>0</v>
      </c>
      <c r="D60" s="83">
        <f>D47-D59</f>
        <v>0</v>
      </c>
      <c r="E60" s="83">
        <f>E47-E59</f>
        <v>0</v>
      </c>
    </row>
    <row r="61" spans="2:5" ht="15.75">
      <c r="B61" s="139" t="str">
        <f>CONCATENATE("",E1-2,"/",E1-1," Budget Authority Amount:")</f>
        <v>2010/2011 Budget Authority Amount:</v>
      </c>
      <c r="C61" s="244">
        <f>inputOth!B88</f>
        <v>0</v>
      </c>
      <c r="D61" s="244">
        <f>inputPrYr!D49</f>
        <v>0</v>
      </c>
      <c r="E61" s="391">
        <f>IF(E60&lt;0,"See Tab E","")</f>
      </c>
    </row>
    <row r="62" spans="2:5" ht="15.75">
      <c r="B62" s="139"/>
      <c r="C62" s="280">
        <f>IF(C59&gt;C61,"See Tab A","")</f>
      </c>
      <c r="D62" s="280">
        <f>IF(D59&gt;D61,"See Tab C","")</f>
      </c>
      <c r="E62" s="48"/>
    </row>
    <row r="63" spans="2:5" ht="15.75">
      <c r="B63" s="139"/>
      <c r="C63" s="280">
        <f>IF(C60&lt;0,"See Tab B","")</f>
      </c>
      <c r="D63" s="280">
        <f>IF(D60&lt;0,"See Tab D","")</f>
      </c>
      <c r="E63" s="48"/>
    </row>
    <row r="64" spans="2:5" ht="15.75">
      <c r="B64" s="48"/>
      <c r="C64" s="48"/>
      <c r="D64" s="48"/>
      <c r="E64" s="48"/>
    </row>
    <row r="65" spans="2:5" ht="15.75">
      <c r="B65" s="416" t="s">
        <v>827</v>
      </c>
      <c r="C65" s="285"/>
      <c r="D65" s="48"/>
      <c r="E65" s="48"/>
    </row>
  </sheetData>
  <sheetProtection sheet="1"/>
  <conditionalFormatting sqref="C13">
    <cfRule type="cellIs" priority="18" dxfId="7" operator="greaterThan" stopIfTrue="1">
      <formula>$C$15*0.1</formula>
    </cfRule>
  </conditionalFormatting>
  <conditionalFormatting sqref="D13">
    <cfRule type="cellIs" priority="17" dxfId="7" operator="greaterThan" stopIfTrue="1">
      <formula>$D$15*0.1</formula>
    </cfRule>
  </conditionalFormatting>
  <conditionalFormatting sqref="E13">
    <cfRule type="cellIs" priority="16" dxfId="7" operator="greaterThan" stopIfTrue="1">
      <formula>$E$15*0.1</formula>
    </cfRule>
  </conditionalFormatting>
  <conditionalFormatting sqref="C26">
    <cfRule type="cellIs" priority="15" dxfId="7" operator="greaterThan" stopIfTrue="1">
      <formula>$C$28*0.1</formula>
    </cfRule>
  </conditionalFormatting>
  <conditionalFormatting sqref="D26">
    <cfRule type="cellIs" priority="14" dxfId="7" operator="greaterThan" stopIfTrue="1">
      <formula>$D$28*0.1</formula>
    </cfRule>
  </conditionalFormatting>
  <conditionalFormatting sqref="E26">
    <cfRule type="cellIs" priority="13" dxfId="7" operator="greaterThan" stopIfTrue="1">
      <formula>$E$28*0.1</formula>
    </cfRule>
  </conditionalFormatting>
  <conditionalFormatting sqref="C44">
    <cfRule type="cellIs" priority="12" dxfId="7" operator="greaterThan" stopIfTrue="1">
      <formula>$C$46*0.1</formula>
    </cfRule>
  </conditionalFormatting>
  <conditionalFormatting sqref="D44">
    <cfRule type="cellIs" priority="11" dxfId="7" operator="greaterThan" stopIfTrue="1">
      <formula>$D$46*0.1</formula>
    </cfRule>
  </conditionalFormatting>
  <conditionalFormatting sqref="E44">
    <cfRule type="cellIs" priority="10" dxfId="7" operator="greaterThan" stopIfTrue="1">
      <formula>$E$46*0.1</formula>
    </cfRule>
  </conditionalFormatting>
  <conditionalFormatting sqref="C57">
    <cfRule type="cellIs" priority="9" dxfId="7" operator="greaterThan" stopIfTrue="1">
      <formula>$C$59*0.1</formula>
    </cfRule>
  </conditionalFormatting>
  <conditionalFormatting sqref="D57">
    <cfRule type="cellIs" priority="8" dxfId="7" operator="greaterThan" stopIfTrue="1">
      <formula>$D$59*0.1</formula>
    </cfRule>
  </conditionalFormatting>
  <conditionalFormatting sqref="E57">
    <cfRule type="cellIs" priority="7" dxfId="7" operator="greaterThan" stopIfTrue="1">
      <formula>$E$59*0.1</formula>
    </cfRule>
  </conditionalFormatting>
  <conditionalFormatting sqref="C59:D59">
    <cfRule type="cellIs" priority="6" dxfId="0" operator="greaterThan" stopIfTrue="1">
      <formula>$D$61</formula>
    </cfRule>
  </conditionalFormatting>
  <conditionalFormatting sqref="C60 E60 C29 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8">
    <cfRule type="cellIs" priority="3" dxfId="0" operator="greaterThan" stopIfTrue="1">
      <formula>$C$30</formula>
    </cfRule>
  </conditionalFormatting>
  <conditionalFormatting sqref="D60">
    <cfRule type="cellIs" priority="2" dxfId="10" operator="lessThan" stopIfTrue="1">
      <formula>0</formula>
    </cfRule>
  </conditionalFormatting>
  <conditionalFormatting sqref="D29">
    <cfRule type="cellIs" priority="1" dxfId="10" operator="lessThan" stopIfTrue="1">
      <formula>0</formula>
    </cfRule>
  </conditionalFormatting>
  <printOptions/>
  <pageMargins left="0.7" right="0.7" top="0.75" bottom="0.75" header="0.3" footer="0.3"/>
  <pageSetup blackAndWhite="1" fitToHeight="1" fitToWidth="1" horizontalDpi="600" verticalDpi="600" orientation="portrait" scale="7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2" sqref="C52"/>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Paola</v>
      </c>
      <c r="C1" s="48"/>
      <c r="D1" s="48"/>
      <c r="E1" s="251">
        <f>inputPrYr!C5</f>
        <v>2012</v>
      </c>
    </row>
    <row r="2" spans="2:5" ht="15.75">
      <c r="B2" s="48"/>
      <c r="C2" s="48"/>
      <c r="D2" s="48"/>
      <c r="E2" s="172"/>
    </row>
    <row r="3" spans="2:5" ht="15.75">
      <c r="B3" s="252" t="s">
        <v>879</v>
      </c>
      <c r="C3" s="294"/>
      <c r="D3" s="294"/>
      <c r="E3" s="294"/>
    </row>
    <row r="4" spans="2:5" ht="15.75">
      <c r="B4" s="53" t="s">
        <v>811</v>
      </c>
      <c r="C4" s="597" t="s">
        <v>830</v>
      </c>
      <c r="D4" s="596" t="s">
        <v>959</v>
      </c>
      <c r="E4" s="596" t="s">
        <v>960</v>
      </c>
    </row>
    <row r="5" spans="2:5" ht="15.75">
      <c r="B5" s="555" t="str">
        <f>inputPrYr!B44</f>
        <v>Waste Water TP - Fund 16 </v>
      </c>
      <c r="C5" s="254">
        <f>E1-2</f>
        <v>2010</v>
      </c>
      <c r="D5" s="254">
        <f>E1-1</f>
        <v>2011</v>
      </c>
      <c r="E5" s="254">
        <f>E1</f>
        <v>2012</v>
      </c>
    </row>
    <row r="6" spans="2:5" ht="15.75">
      <c r="B6" s="255" t="s">
        <v>932</v>
      </c>
      <c r="C6" s="68"/>
      <c r="D6" s="231">
        <f>C29</f>
        <v>0</v>
      </c>
      <c r="E6" s="231">
        <f>D29</f>
        <v>0</v>
      </c>
    </row>
    <row r="7" spans="2:5" s="46" customFormat="1" ht="15.75">
      <c r="B7" s="259" t="s">
        <v>934</v>
      </c>
      <c r="C7" s="88"/>
      <c r="D7" s="88"/>
      <c r="E7" s="88"/>
    </row>
    <row r="8" spans="2:5" ht="15.75">
      <c r="B8" s="276"/>
      <c r="C8" s="68"/>
      <c r="D8" s="68"/>
      <c r="E8" s="68"/>
    </row>
    <row r="9" spans="2:5" ht="15.75">
      <c r="B9" s="276"/>
      <c r="C9" s="68"/>
      <c r="D9" s="68"/>
      <c r="E9" s="68"/>
    </row>
    <row r="10" spans="2:5" ht="15.75">
      <c r="B10" s="276"/>
      <c r="C10" s="68"/>
      <c r="D10" s="68"/>
      <c r="E10" s="68"/>
    </row>
    <row r="11" spans="2:5" ht="15.75">
      <c r="B11" s="276"/>
      <c r="C11" s="68"/>
      <c r="D11" s="68"/>
      <c r="E11" s="68"/>
    </row>
    <row r="12" spans="2:5" ht="15.75">
      <c r="B12" s="264" t="s">
        <v>816</v>
      </c>
      <c r="C12" s="68"/>
      <c r="D12" s="68"/>
      <c r="E12" s="68"/>
    </row>
    <row r="13" spans="2:5" ht="15.75">
      <c r="B13" s="162" t="s">
        <v>49</v>
      </c>
      <c r="C13" s="68"/>
      <c r="D13" s="261"/>
      <c r="E13" s="261"/>
    </row>
    <row r="14" spans="2:5" ht="15.75">
      <c r="B14" s="255" t="s">
        <v>138</v>
      </c>
      <c r="C14" s="305">
        <f>IF(C15*0.1&lt;C13,"Exceed 10% Rule","")</f>
      </c>
      <c r="D14" s="266">
        <f>IF(D15*0.1&lt;D13,"Exceed 10% Rule","")</f>
      </c>
      <c r="E14" s="266">
        <f>IF(E15*0.1&lt;E13,"Exceed 10% Rule","")</f>
      </c>
    </row>
    <row r="15" spans="2:5" ht="15.75">
      <c r="B15" s="267" t="s">
        <v>817</v>
      </c>
      <c r="C15" s="270">
        <f>SUM(C8:C13)</f>
        <v>0</v>
      </c>
      <c r="D15" s="270">
        <f>SUM(D8:D13)</f>
        <v>0</v>
      </c>
      <c r="E15" s="270">
        <f>SUM(E8:E13)</f>
        <v>0</v>
      </c>
    </row>
    <row r="16" spans="2:5" ht="15.75">
      <c r="B16" s="267" t="s">
        <v>818</v>
      </c>
      <c r="C16" s="270">
        <f>C6+C15</f>
        <v>0</v>
      </c>
      <c r="D16" s="270">
        <f>D6+D15</f>
        <v>0</v>
      </c>
      <c r="E16" s="270">
        <f>E6+E15</f>
        <v>0</v>
      </c>
    </row>
    <row r="17" spans="2:5" ht="15.75">
      <c r="B17" s="153" t="s">
        <v>820</v>
      </c>
      <c r="C17" s="231"/>
      <c r="D17" s="231"/>
      <c r="E17" s="231"/>
    </row>
    <row r="18" spans="2:5" ht="15.75">
      <c r="B18" s="276"/>
      <c r="C18" s="68"/>
      <c r="D18" s="68"/>
      <c r="E18" s="68"/>
    </row>
    <row r="19" spans="2:5" ht="15.75">
      <c r="B19" s="276"/>
      <c r="C19" s="68"/>
      <c r="D19" s="68"/>
      <c r="E19" s="68"/>
    </row>
    <row r="20" spans="2:5" ht="15.75">
      <c r="B20" s="276"/>
      <c r="C20" s="68"/>
      <c r="D20" s="68"/>
      <c r="E20" s="68"/>
    </row>
    <row r="21" spans="2:5" ht="15.75">
      <c r="B21" s="276"/>
      <c r="C21" s="68"/>
      <c r="D21" s="68"/>
      <c r="E21" s="68"/>
    </row>
    <row r="22" spans="2:5" ht="15.75">
      <c r="B22" s="276"/>
      <c r="C22" s="68"/>
      <c r="D22" s="68"/>
      <c r="E22" s="68"/>
    </row>
    <row r="23" spans="2:5" ht="15.75">
      <c r="B23" s="276"/>
      <c r="C23" s="68"/>
      <c r="D23" s="68"/>
      <c r="E23" s="68"/>
    </row>
    <row r="24" spans="2:5" ht="15.75">
      <c r="B24" s="276"/>
      <c r="C24" s="68"/>
      <c r="D24" s="68"/>
      <c r="E24" s="68"/>
    </row>
    <row r="25" spans="2:5" ht="15.75">
      <c r="B25" s="276"/>
      <c r="C25" s="68"/>
      <c r="D25" s="68"/>
      <c r="E25" s="68"/>
    </row>
    <row r="26" spans="2:5" ht="15.75">
      <c r="B26" s="277" t="s">
        <v>49</v>
      </c>
      <c r="C26" s="68"/>
      <c r="D26" s="261"/>
      <c r="E26" s="261"/>
    </row>
    <row r="27" spans="2:5" ht="15.75">
      <c r="B27" s="277" t="s">
        <v>142</v>
      </c>
      <c r="C27" s="305">
        <f>IF(C28*0.1&lt;C26,"Exceed 10% Rule","")</f>
      </c>
      <c r="D27" s="266">
        <f>IF(D28*0.1&lt;D26,"Exceed 10% Rule","")</f>
      </c>
      <c r="E27" s="266">
        <f>IF(E28*0.1&lt;E26,"Exceed 10% Rule","")</f>
      </c>
    </row>
    <row r="28" spans="2:5" ht="15.75">
      <c r="B28" s="267" t="s">
        <v>824</v>
      </c>
      <c r="C28" s="270">
        <f>SUM(C18:C26)</f>
        <v>0</v>
      </c>
      <c r="D28" s="270">
        <f>SUM(D18:D26)</f>
        <v>0</v>
      </c>
      <c r="E28" s="270">
        <f>SUM(E18:E26)</f>
        <v>0</v>
      </c>
    </row>
    <row r="29" spans="2:5" ht="15.75">
      <c r="B29" s="153" t="s">
        <v>933</v>
      </c>
      <c r="C29" s="83">
        <f>C16-C28</f>
        <v>0</v>
      </c>
      <c r="D29" s="83">
        <f>D16-D28</f>
        <v>0</v>
      </c>
      <c r="E29" s="83">
        <f>E16-E28</f>
        <v>0</v>
      </c>
    </row>
    <row r="30" spans="2:5" ht="15.75">
      <c r="B30" s="139" t="str">
        <f>CONCATENATE("",E1-2,"/",E1-1," Budget Authority Amount:")</f>
        <v>2010/2011 Budget Authority Amount:</v>
      </c>
      <c r="C30" s="244">
        <f>inputOth!B84</f>
        <v>877405</v>
      </c>
      <c r="D30" s="244">
        <f>inputPrYr!D44</f>
        <v>905440</v>
      </c>
      <c r="E30" s="391">
        <f>IF(E29&lt;0,"See Tab E","")</f>
      </c>
    </row>
    <row r="31" spans="2:5" ht="15.75">
      <c r="B31" s="139"/>
      <c r="C31" s="392">
        <f>IF(C28&gt;C30,"See Tab A","")</f>
      </c>
      <c r="D31" s="280">
        <f>IF(D28&gt;D30,"See Tab C","")</f>
      </c>
      <c r="E31" s="98"/>
    </row>
    <row r="32" spans="2:5" ht="15.75">
      <c r="B32" s="139"/>
      <c r="C32" s="392">
        <f>IF(C29&lt;0,"See Tab B","")</f>
      </c>
      <c r="D32" s="280">
        <f>IF(D29&lt;0,"See Tab D","")</f>
      </c>
      <c r="E32" s="98"/>
    </row>
    <row r="33" spans="2:5" ht="15.75">
      <c r="B33" s="48"/>
      <c r="C33" s="393"/>
      <c r="D33" s="98"/>
      <c r="E33" s="98"/>
    </row>
    <row r="34" spans="2:5" ht="15.75">
      <c r="B34" s="53" t="s">
        <v>811</v>
      </c>
      <c r="C34" s="394"/>
      <c r="D34" s="300"/>
      <c r="E34" s="300"/>
    </row>
    <row r="35" spans="2:5" ht="15.75">
      <c r="B35" s="48"/>
      <c r="C35" s="597" t="s">
        <v>830</v>
      </c>
      <c r="D35" s="596" t="s">
        <v>959</v>
      </c>
      <c r="E35" s="596" t="s">
        <v>960</v>
      </c>
    </row>
    <row r="36" spans="2:5" ht="15.75">
      <c r="B36" s="555">
        <f>inputPrYr!B49</f>
        <v>0</v>
      </c>
      <c r="C36" s="254">
        <f>C5</f>
        <v>2010</v>
      </c>
      <c r="D36" s="254">
        <f>D5</f>
        <v>2011</v>
      </c>
      <c r="E36" s="254">
        <f>E5</f>
        <v>2012</v>
      </c>
    </row>
    <row r="37" spans="2:5" ht="15.75">
      <c r="B37" s="255" t="s">
        <v>932</v>
      </c>
      <c r="C37" s="68"/>
      <c r="D37" s="231">
        <f>C60</f>
        <v>0</v>
      </c>
      <c r="E37" s="231">
        <f>D60</f>
        <v>0</v>
      </c>
    </row>
    <row r="38" spans="2:5" s="46" customFormat="1" ht="15.75">
      <c r="B38" s="259" t="s">
        <v>934</v>
      </c>
      <c r="C38" s="88"/>
      <c r="D38" s="88"/>
      <c r="E38" s="88"/>
    </row>
    <row r="39" spans="2:5" ht="15.75">
      <c r="B39" s="276"/>
      <c r="C39" s="68"/>
      <c r="D39" s="68"/>
      <c r="E39" s="68"/>
    </row>
    <row r="40" spans="2:5" ht="15.75">
      <c r="B40" s="276"/>
      <c r="C40" s="68"/>
      <c r="D40" s="68"/>
      <c r="E40" s="68"/>
    </row>
    <row r="41" spans="2:5" ht="15.75">
      <c r="B41" s="276"/>
      <c r="C41" s="68"/>
      <c r="D41" s="68"/>
      <c r="E41" s="68"/>
    </row>
    <row r="42" spans="2:5" ht="15.75">
      <c r="B42" s="276"/>
      <c r="C42" s="68"/>
      <c r="D42" s="68"/>
      <c r="E42" s="68"/>
    </row>
    <row r="43" spans="2:5" ht="15.75">
      <c r="B43" s="264" t="s">
        <v>816</v>
      </c>
      <c r="C43" s="68"/>
      <c r="D43" s="68"/>
      <c r="E43" s="68"/>
    </row>
    <row r="44" spans="2:5" ht="15.75">
      <c r="B44" s="162" t="s">
        <v>49</v>
      </c>
      <c r="C44" s="68"/>
      <c r="D44" s="261"/>
      <c r="E44" s="261"/>
    </row>
    <row r="45" spans="2:5" ht="15.75">
      <c r="B45" s="255" t="s">
        <v>138</v>
      </c>
      <c r="C45" s="305">
        <f>IF(C46*0.1&lt;C44,"Exceed 10% Rule","")</f>
      </c>
      <c r="D45" s="266">
        <f>IF(D46*0.1&lt;D44,"Exceed 10% Rule","")</f>
      </c>
      <c r="E45" s="266">
        <f>IF(E46*0.1&lt;E44,"Exceed 10% Rule","")</f>
      </c>
    </row>
    <row r="46" spans="2:5" ht="15.75">
      <c r="B46" s="267" t="s">
        <v>817</v>
      </c>
      <c r="C46" s="270">
        <f>SUM(C39:C44)</f>
        <v>0</v>
      </c>
      <c r="D46" s="270">
        <f>SUM(D39:D44)</f>
        <v>0</v>
      </c>
      <c r="E46" s="270">
        <f>SUM(E39:E44)</f>
        <v>0</v>
      </c>
    </row>
    <row r="47" spans="2:5" ht="15.75">
      <c r="B47" s="267" t="s">
        <v>818</v>
      </c>
      <c r="C47" s="270">
        <f>C37+C46</f>
        <v>0</v>
      </c>
      <c r="D47" s="270">
        <f>D37+D46</f>
        <v>0</v>
      </c>
      <c r="E47" s="270">
        <f>E37+E46</f>
        <v>0</v>
      </c>
    </row>
    <row r="48" spans="2:5" ht="15.75">
      <c r="B48" s="153" t="s">
        <v>820</v>
      </c>
      <c r="C48" s="231"/>
      <c r="D48" s="231"/>
      <c r="E48" s="231"/>
    </row>
    <row r="49" spans="2:5" ht="15.75">
      <c r="B49" s="276"/>
      <c r="C49" s="68"/>
      <c r="D49" s="68"/>
      <c r="E49" s="68"/>
    </row>
    <row r="50" spans="2:5" ht="15.75">
      <c r="B50" s="276"/>
      <c r="C50" s="68"/>
      <c r="D50" s="68"/>
      <c r="E50" s="68"/>
    </row>
    <row r="51" spans="2:5" ht="15.75">
      <c r="B51" s="276"/>
      <c r="C51" s="68"/>
      <c r="D51" s="68"/>
      <c r="E51" s="68"/>
    </row>
    <row r="52" spans="2:5" ht="15.75">
      <c r="B52" s="276"/>
      <c r="C52" s="68"/>
      <c r="D52" s="68"/>
      <c r="E52" s="68"/>
    </row>
    <row r="53" spans="2:5" ht="15.75">
      <c r="B53" s="276"/>
      <c r="C53" s="68"/>
      <c r="D53" s="68"/>
      <c r="E53" s="68"/>
    </row>
    <row r="54" spans="2:5" ht="15.75">
      <c r="B54" s="276"/>
      <c r="C54" s="68"/>
      <c r="D54" s="68"/>
      <c r="E54" s="68"/>
    </row>
    <row r="55" spans="2:5" ht="15.75">
      <c r="B55" s="276"/>
      <c r="C55" s="68"/>
      <c r="D55" s="68"/>
      <c r="E55" s="68"/>
    </row>
    <row r="56" spans="2:5" ht="15.75">
      <c r="B56" s="276"/>
      <c r="C56" s="68"/>
      <c r="D56" s="68"/>
      <c r="E56" s="68"/>
    </row>
    <row r="57" spans="2:5" ht="15.75">
      <c r="B57" s="277" t="s">
        <v>49</v>
      </c>
      <c r="C57" s="68"/>
      <c r="D57" s="261"/>
      <c r="E57" s="261"/>
    </row>
    <row r="58" spans="2:5" ht="15.75">
      <c r="B58" s="277" t="s">
        <v>139</v>
      </c>
      <c r="C58" s="305">
        <f>IF(C59*0.1&lt;C57,"Exceed 10% Rule","")</f>
      </c>
      <c r="D58" s="266">
        <f>IF(D59*0.1&lt;D57,"Exceed 10% Rule","")</f>
      </c>
      <c r="E58" s="266">
        <f>IF(E59*0.1&lt;E57,"Exceed 10% Rule","")</f>
      </c>
    </row>
    <row r="59" spans="2:5" ht="15.75">
      <c r="B59" s="267" t="s">
        <v>824</v>
      </c>
      <c r="C59" s="270">
        <f>SUM(C49:C57)</f>
        <v>0</v>
      </c>
      <c r="D59" s="270">
        <f>SUM(D49:D57)</f>
        <v>0</v>
      </c>
      <c r="E59" s="270">
        <f>SUM(E49:E57)</f>
        <v>0</v>
      </c>
    </row>
    <row r="60" spans="2:5" ht="15.75">
      <c r="B60" s="153" t="s">
        <v>933</v>
      </c>
      <c r="C60" s="83">
        <f>C47-C59</f>
        <v>0</v>
      </c>
      <c r="D60" s="83">
        <f>D47-D59</f>
        <v>0</v>
      </c>
      <c r="E60" s="83">
        <f>E47-E59</f>
        <v>0</v>
      </c>
    </row>
    <row r="61" spans="2:5" ht="15.75">
      <c r="B61" s="139" t="str">
        <f>CONCATENATE("",E1-2,"/",E1-1," Budget Authority Amount:")</f>
        <v>2010/2011 Budget Authority Amount:</v>
      </c>
      <c r="C61" s="244">
        <f>inputOth!B88</f>
        <v>0</v>
      </c>
      <c r="D61" s="244">
        <f>inputPrYr!D49</f>
        <v>0</v>
      </c>
      <c r="E61" s="391">
        <f>IF(E60&lt;0,"See Tab E","")</f>
      </c>
    </row>
    <row r="62" spans="2:5" ht="15.75">
      <c r="B62" s="139"/>
      <c r="C62" s="280">
        <f>IF(C59&gt;C61,"See Tab A","")</f>
      </c>
      <c r="D62" s="280">
        <f>IF(D59&gt;D61,"See Tab C","")</f>
      </c>
      <c r="E62" s="48"/>
    </row>
    <row r="63" spans="2:5" ht="15.75">
      <c r="B63" s="139"/>
      <c r="C63" s="280">
        <f>IF(C60&lt;0,"See Tab B","")</f>
      </c>
      <c r="D63" s="280">
        <f>IF(D60&lt;0,"See Tab D","")</f>
      </c>
      <c r="E63" s="48"/>
    </row>
    <row r="64" spans="2:5" ht="15.75">
      <c r="B64" s="48"/>
      <c r="C64" s="48"/>
      <c r="D64" s="48"/>
      <c r="E64" s="48"/>
    </row>
    <row r="65" spans="2:5" ht="15.75">
      <c r="B65" s="416" t="s">
        <v>827</v>
      </c>
      <c r="C65" s="285"/>
      <c r="D65" s="48"/>
      <c r="E65" s="48"/>
    </row>
  </sheetData>
  <sheetProtection sheet="1"/>
  <conditionalFormatting sqref="C13">
    <cfRule type="cellIs" priority="18" dxfId="7" operator="greaterThan" stopIfTrue="1">
      <formula>$C$15*0.1</formula>
    </cfRule>
  </conditionalFormatting>
  <conditionalFormatting sqref="D13">
    <cfRule type="cellIs" priority="17" dxfId="7" operator="greaterThan" stopIfTrue="1">
      <formula>$D$15*0.1</formula>
    </cfRule>
  </conditionalFormatting>
  <conditionalFormatting sqref="E13">
    <cfRule type="cellIs" priority="16" dxfId="7" operator="greaterThan" stopIfTrue="1">
      <formula>$E$15*0.1</formula>
    </cfRule>
  </conditionalFormatting>
  <conditionalFormatting sqref="C26">
    <cfRule type="cellIs" priority="15" dxfId="7" operator="greaterThan" stopIfTrue="1">
      <formula>$C$28*0.1</formula>
    </cfRule>
  </conditionalFormatting>
  <conditionalFormatting sqref="D26">
    <cfRule type="cellIs" priority="14" dxfId="7" operator="greaterThan" stopIfTrue="1">
      <formula>$D$28*0.1</formula>
    </cfRule>
  </conditionalFormatting>
  <conditionalFormatting sqref="E26">
    <cfRule type="cellIs" priority="13" dxfId="7" operator="greaterThan" stopIfTrue="1">
      <formula>$E$28*0.1</formula>
    </cfRule>
  </conditionalFormatting>
  <conditionalFormatting sqref="C44">
    <cfRule type="cellIs" priority="12" dxfId="7" operator="greaterThan" stopIfTrue="1">
      <formula>$C$46*0.1</formula>
    </cfRule>
  </conditionalFormatting>
  <conditionalFormatting sqref="D44">
    <cfRule type="cellIs" priority="11" dxfId="7" operator="greaterThan" stopIfTrue="1">
      <formula>$D$46*0.1</formula>
    </cfRule>
  </conditionalFormatting>
  <conditionalFormatting sqref="E44">
    <cfRule type="cellIs" priority="10" dxfId="7" operator="greaterThan" stopIfTrue="1">
      <formula>$E$46*0.1</formula>
    </cfRule>
  </conditionalFormatting>
  <conditionalFormatting sqref="C57">
    <cfRule type="cellIs" priority="9" dxfId="7" operator="greaterThan" stopIfTrue="1">
      <formula>$C$59*0.1</formula>
    </cfRule>
  </conditionalFormatting>
  <conditionalFormatting sqref="D57">
    <cfRule type="cellIs" priority="8" dxfId="7" operator="greaterThan" stopIfTrue="1">
      <formula>$D$59*0.1</formula>
    </cfRule>
  </conditionalFormatting>
  <conditionalFormatting sqref="E57">
    <cfRule type="cellIs" priority="7" dxfId="7" operator="greaterThan" stopIfTrue="1">
      <formula>$E$59*0.1</formula>
    </cfRule>
  </conditionalFormatting>
  <conditionalFormatting sqref="C59:D59">
    <cfRule type="cellIs" priority="6" dxfId="0" operator="greaterThan" stopIfTrue="1">
      <formula>$D$61</formula>
    </cfRule>
  </conditionalFormatting>
  <conditionalFormatting sqref="C60 E60 C29 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8">
    <cfRule type="cellIs" priority="3" dxfId="0" operator="greaterThan" stopIfTrue="1">
      <formula>$C$30</formula>
    </cfRule>
  </conditionalFormatting>
  <conditionalFormatting sqref="D60">
    <cfRule type="cellIs" priority="2" dxfId="10" operator="lessThan" stopIfTrue="1">
      <formula>0</formula>
    </cfRule>
  </conditionalFormatting>
  <conditionalFormatting sqref="D29">
    <cfRule type="cellIs" priority="1" dxfId="10" operator="lessThan" stopIfTrue="1">
      <formula>0</formula>
    </cfRule>
  </conditionalFormatting>
  <printOptions/>
  <pageMargins left="0.7" right="0.7" top="0.75" bottom="0.75" header="0.3" footer="0.3"/>
  <pageSetup blackAndWhite="1" fitToHeight="1" fitToWidth="1" horizontalDpi="600" verticalDpi="600" orientation="portrait" scale="75"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Paola</v>
      </c>
      <c r="C1" s="48"/>
      <c r="D1" s="48"/>
      <c r="E1" s="222">
        <f>inputPrYr!$C$5</f>
        <v>2012</v>
      </c>
    </row>
    <row r="2" spans="2:5" ht="15.75">
      <c r="B2" s="48"/>
      <c r="C2" s="48"/>
      <c r="D2" s="48"/>
      <c r="E2" s="172"/>
    </row>
    <row r="3" spans="2:5" ht="15.75">
      <c r="B3" s="252" t="s">
        <v>879</v>
      </c>
      <c r="C3" s="302"/>
      <c r="D3" s="302"/>
      <c r="E3" s="303"/>
    </row>
    <row r="4" spans="2:5" ht="15.75">
      <c r="B4" s="53" t="s">
        <v>811</v>
      </c>
      <c r="C4" s="594" t="s">
        <v>830</v>
      </c>
      <c r="D4" s="595" t="s">
        <v>959</v>
      </c>
      <c r="E4" s="596" t="s">
        <v>960</v>
      </c>
    </row>
    <row r="5" spans="2:5" ht="15.75">
      <c r="B5" s="555">
        <f>(inputPrYr!B51)</f>
        <v>0</v>
      </c>
      <c r="C5" s="228">
        <f>E1-2</f>
        <v>2010</v>
      </c>
      <c r="D5" s="228">
        <f>E1-1</f>
        <v>2011</v>
      </c>
      <c r="E5" s="215">
        <f>inputPrYr!$C$5</f>
        <v>2012</v>
      </c>
    </row>
    <row r="6" spans="2:5" ht="15.75">
      <c r="B6" s="153" t="s">
        <v>932</v>
      </c>
      <c r="C6" s="260"/>
      <c r="D6" s="258">
        <f>C48</f>
        <v>0</v>
      </c>
      <c r="E6" s="231">
        <f>D48</f>
        <v>0</v>
      </c>
    </row>
    <row r="7" spans="2:5" ht="15.75">
      <c r="B7" s="289" t="s">
        <v>934</v>
      </c>
      <c r="C7" s="162"/>
      <c r="D7" s="162"/>
      <c r="E7" s="88"/>
    </row>
    <row r="8" spans="2:5" ht="15.75">
      <c r="B8" s="276"/>
      <c r="C8" s="260"/>
      <c r="D8" s="260"/>
      <c r="E8" s="263"/>
    </row>
    <row r="9" spans="2:5" ht="15.75">
      <c r="B9" s="276"/>
      <c r="C9" s="260"/>
      <c r="D9" s="260"/>
      <c r="E9" s="263"/>
    </row>
    <row r="10" spans="2:5" ht="15.75">
      <c r="B10" s="276"/>
      <c r="C10" s="260"/>
      <c r="D10" s="260"/>
      <c r="E10" s="263"/>
    </row>
    <row r="11" spans="2:5" ht="15.75">
      <c r="B11" s="276"/>
      <c r="C11" s="260"/>
      <c r="D11" s="260"/>
      <c r="E11" s="263"/>
    </row>
    <row r="12" spans="2:5" ht="15.75">
      <c r="B12" s="276"/>
      <c r="C12" s="260"/>
      <c r="D12" s="260"/>
      <c r="E12" s="263"/>
    </row>
    <row r="13" spans="2:5" ht="15.75">
      <c r="B13" s="276"/>
      <c r="C13" s="260"/>
      <c r="D13" s="260"/>
      <c r="E13" s="263"/>
    </row>
    <row r="14" spans="2:5" ht="15.75">
      <c r="B14" s="297"/>
      <c r="C14" s="260"/>
      <c r="D14" s="260"/>
      <c r="E14" s="109"/>
    </row>
    <row r="15" spans="2:5" ht="15.75">
      <c r="B15" s="276"/>
      <c r="C15" s="260"/>
      <c r="D15" s="260"/>
      <c r="E15" s="263"/>
    </row>
    <row r="16" spans="2:5" ht="15.75">
      <c r="B16" s="304" t="s">
        <v>816</v>
      </c>
      <c r="C16" s="260"/>
      <c r="D16" s="260"/>
      <c r="E16" s="263"/>
    </row>
    <row r="17" spans="2:5" ht="15.75">
      <c r="B17" s="162" t="s">
        <v>49</v>
      </c>
      <c r="C17" s="260"/>
      <c r="D17" s="260"/>
      <c r="E17" s="263"/>
    </row>
    <row r="18" spans="2:5" ht="15.75">
      <c r="B18" s="255" t="s">
        <v>138</v>
      </c>
      <c r="C18" s="265">
        <f>IF(C19*0.1&lt;C17,"Exceed 10% Rule","")</f>
      </c>
      <c r="D18" s="265">
        <f>IF(D19*0.1&lt;D17,"Exceed 10% Rule","")</f>
      </c>
      <c r="E18" s="305">
        <f>IF(E19*0.1&lt;E17,"Exceed 10% Rule","")</f>
      </c>
    </row>
    <row r="19" spans="2:5" ht="15.75">
      <c r="B19" s="267" t="s">
        <v>817</v>
      </c>
      <c r="C19" s="269">
        <f>SUM(C8:C17)</f>
        <v>0</v>
      </c>
      <c r="D19" s="269">
        <f>SUM(D8:D17)</f>
        <v>0</v>
      </c>
      <c r="E19" s="270">
        <f>SUM(E8:E17)</f>
        <v>0</v>
      </c>
    </row>
    <row r="20" spans="2:5" ht="15.75">
      <c r="B20" s="267" t="s">
        <v>818</v>
      </c>
      <c r="C20" s="269">
        <f>C6+C19</f>
        <v>0</v>
      </c>
      <c r="D20" s="269">
        <f>D6+D19</f>
        <v>0</v>
      </c>
      <c r="E20" s="270">
        <f>E6+E19</f>
        <v>0</v>
      </c>
    </row>
    <row r="21" spans="2:5" ht="15.75">
      <c r="B21" s="153" t="s">
        <v>820</v>
      </c>
      <c r="C21" s="162"/>
      <c r="D21" s="162"/>
      <c r="E21" s="88"/>
    </row>
    <row r="22" spans="2:5" ht="15.75">
      <c r="B22" s="276" t="s">
        <v>988</v>
      </c>
      <c r="C22" s="260"/>
      <c r="D22" s="260"/>
      <c r="E22" s="263"/>
    </row>
    <row r="23" spans="2:5" ht="15.75">
      <c r="B23" s="276" t="s">
        <v>58</v>
      </c>
      <c r="C23" s="260"/>
      <c r="D23" s="260"/>
      <c r="E23" s="263"/>
    </row>
    <row r="24" spans="2:5" ht="15.75">
      <c r="B24" s="276"/>
      <c r="C24" s="260"/>
      <c r="D24" s="260"/>
      <c r="E24" s="109"/>
    </row>
    <row r="25" spans="2:5" ht="15.75">
      <c r="B25" s="276"/>
      <c r="C25" s="260"/>
      <c r="D25" s="260"/>
      <c r="E25" s="109"/>
    </row>
    <row r="26" spans="2:5" ht="15.75">
      <c r="B26" s="276"/>
      <c r="C26" s="260"/>
      <c r="D26" s="260"/>
      <c r="E26" s="109"/>
    </row>
    <row r="27" spans="2:5" ht="15.75">
      <c r="B27" s="276"/>
      <c r="C27" s="260"/>
      <c r="D27" s="260"/>
      <c r="E27" s="109"/>
    </row>
    <row r="28" spans="2:5" ht="15.75">
      <c r="B28" s="276"/>
      <c r="C28" s="260"/>
      <c r="D28" s="260"/>
      <c r="E28" s="109"/>
    </row>
    <row r="29" spans="2:5" ht="15.75">
      <c r="B29" s="276"/>
      <c r="C29" s="260"/>
      <c r="D29" s="260"/>
      <c r="E29" s="109"/>
    </row>
    <row r="30" spans="2:5" ht="15.75">
      <c r="B30" s="276"/>
      <c r="C30" s="260"/>
      <c r="D30" s="260"/>
      <c r="E30" s="109"/>
    </row>
    <row r="31" spans="2:5" ht="15.75">
      <c r="B31" s="276"/>
      <c r="C31" s="260"/>
      <c r="D31" s="260"/>
      <c r="E31" s="109"/>
    </row>
    <row r="32" spans="2:5" ht="15.75">
      <c r="B32" s="276"/>
      <c r="C32" s="260"/>
      <c r="D32" s="260"/>
      <c r="E32" s="109"/>
    </row>
    <row r="33" spans="2:5" ht="15.75">
      <c r="B33" s="276"/>
      <c r="C33" s="260"/>
      <c r="D33" s="260"/>
      <c r="E33" s="109"/>
    </row>
    <row r="34" spans="2:5" ht="15.75">
      <c r="B34" s="276"/>
      <c r="C34" s="260"/>
      <c r="D34" s="260"/>
      <c r="E34" s="109"/>
    </row>
    <row r="35" spans="2:5" ht="15.75">
      <c r="B35" s="276"/>
      <c r="C35" s="260"/>
      <c r="D35" s="260"/>
      <c r="E35" s="263"/>
    </row>
    <row r="36" spans="2:5" ht="15.75">
      <c r="B36" s="276"/>
      <c r="C36" s="260"/>
      <c r="D36" s="260"/>
      <c r="E36" s="263"/>
    </row>
    <row r="37" spans="2:5" ht="15.75">
      <c r="B37" s="276"/>
      <c r="C37" s="260"/>
      <c r="D37" s="260"/>
      <c r="E37" s="263"/>
    </row>
    <row r="38" spans="2:5" ht="15.75">
      <c r="B38" s="276"/>
      <c r="C38" s="260"/>
      <c r="D38" s="260"/>
      <c r="E38" s="263"/>
    </row>
    <row r="39" spans="2:5" ht="15.75">
      <c r="B39" s="276"/>
      <c r="C39" s="260"/>
      <c r="D39" s="260"/>
      <c r="E39" s="263"/>
    </row>
    <row r="40" spans="2:5" ht="15.75">
      <c r="B40" s="276"/>
      <c r="C40" s="260"/>
      <c r="D40" s="260"/>
      <c r="E40" s="263"/>
    </row>
    <row r="41" spans="2:5" ht="15.75">
      <c r="B41" s="276"/>
      <c r="C41" s="260"/>
      <c r="D41" s="260"/>
      <c r="E41" s="263"/>
    </row>
    <row r="42" spans="2:5" ht="15.75">
      <c r="B42" s="276"/>
      <c r="C42" s="260"/>
      <c r="D42" s="260"/>
      <c r="E42" s="263"/>
    </row>
    <row r="43" spans="2:5" ht="15.75">
      <c r="B43" s="276"/>
      <c r="C43" s="260"/>
      <c r="D43" s="260"/>
      <c r="E43" s="263"/>
    </row>
    <row r="44" spans="2:5" ht="15.75">
      <c r="B44" s="276"/>
      <c r="C44" s="260"/>
      <c r="D44" s="260"/>
      <c r="E44" s="263"/>
    </row>
    <row r="45" spans="2:5" ht="15.75">
      <c r="B45" s="277" t="s">
        <v>49</v>
      </c>
      <c r="C45" s="260"/>
      <c r="D45" s="260"/>
      <c r="E45" s="263"/>
    </row>
    <row r="46" spans="2:5" ht="15.75">
      <c r="B46" s="277" t="s">
        <v>139</v>
      </c>
      <c r="C46" s="265">
        <f>IF(C47*0.1&lt;C45,"Exceed 10% Rule","")</f>
      </c>
      <c r="D46" s="265">
        <f>IF(D47*0.1&lt;D45,"Exceed 10% Rule","")</f>
      </c>
      <c r="E46" s="305">
        <f>IF(E47*0.1&lt;E45,"Exceed 10% Rule","")</f>
      </c>
    </row>
    <row r="47" spans="2:5" ht="15.75">
      <c r="B47" s="267" t="s">
        <v>824</v>
      </c>
      <c r="C47" s="269">
        <f>SUM(C22:C45)</f>
        <v>0</v>
      </c>
      <c r="D47" s="269">
        <f>SUM(D22:D45)</f>
        <v>0</v>
      </c>
      <c r="E47" s="270">
        <f>SUM(E22:E45)</f>
        <v>0</v>
      </c>
    </row>
    <row r="48" spans="2:5" ht="15.75">
      <c r="B48" s="153" t="s">
        <v>933</v>
      </c>
      <c r="C48" s="273">
        <f>C20-C47</f>
        <v>0</v>
      </c>
      <c r="D48" s="273">
        <f>D20-D47</f>
        <v>0</v>
      </c>
      <c r="E48" s="83">
        <f>E20-E47</f>
        <v>0</v>
      </c>
    </row>
    <row r="49" spans="2:5" ht="15.75">
      <c r="B49" s="139" t="str">
        <f>CONCATENATE("",E1-2," Budget Authority Limited Amount:")</f>
        <v>2010 Budget Authority Limited Amount:</v>
      </c>
      <c r="C49" s="244">
        <f>inputOth!B90</f>
        <v>0</v>
      </c>
      <c r="D49" s="244">
        <f>inputPrYr!D51</f>
        <v>0</v>
      </c>
      <c r="E49" s="391">
        <f>IF(E48&lt;0,"See Tab E","")</f>
      </c>
    </row>
    <row r="50" spans="2:5" ht="15.75">
      <c r="B50" s="139"/>
      <c r="C50" s="280">
        <f>IF(C47&gt;C49,"See Tab A","")</f>
      </c>
      <c r="D50" s="280">
        <f>IF(D47&gt;D49,"See Tab C","")</f>
      </c>
      <c r="E50" s="69"/>
    </row>
    <row r="51" spans="2:5" ht="15.75">
      <c r="B51" s="139"/>
      <c r="C51" s="280">
        <f>IF(C48&lt;0,"See Tab B","")</f>
      </c>
      <c r="D51" s="280">
        <f>IF(D48&lt;0,"See Tab D","")</f>
      </c>
      <c r="E51" s="69"/>
    </row>
    <row r="52" spans="2:5" ht="15">
      <c r="B52" s="69"/>
      <c r="C52" s="69"/>
      <c r="D52" s="69"/>
      <c r="E52" s="69"/>
    </row>
    <row r="53" spans="2:5" ht="15.75">
      <c r="B53" s="416" t="s">
        <v>827</v>
      </c>
      <c r="C53" s="285"/>
      <c r="D53" s="69"/>
      <c r="E53" s="69"/>
    </row>
  </sheetData>
  <sheetProtection sheet="1"/>
  <conditionalFormatting sqref="E17">
    <cfRule type="cellIs" priority="4" dxfId="7" operator="greaterThan" stopIfTrue="1">
      <formula>$E$19*0.1</formula>
    </cfRule>
  </conditionalFormatting>
  <conditionalFormatting sqref="E45">
    <cfRule type="cellIs" priority="5" dxfId="7" operator="greaterThan" stopIfTrue="1">
      <formula>$E$47*0.1</formula>
    </cfRule>
  </conditionalFormatting>
  <conditionalFormatting sqref="C45">
    <cfRule type="cellIs" priority="6" dxfId="0" operator="greaterThan" stopIfTrue="1">
      <formula>$C$47*0.1</formula>
    </cfRule>
  </conditionalFormatting>
  <conditionalFormatting sqref="D45">
    <cfRule type="cellIs" priority="7" dxfId="0" operator="greaterThan" stopIfTrue="1">
      <formula>$D$47*0.1</formula>
    </cfRule>
  </conditionalFormatting>
  <conditionalFormatting sqref="D47">
    <cfRule type="cellIs" priority="8" dxfId="0" operator="greaterThan" stopIfTrue="1">
      <formula>$D$49</formula>
    </cfRule>
  </conditionalFormatting>
  <conditionalFormatting sqref="C47">
    <cfRule type="cellIs" priority="9" dxfId="0" operator="greaterThan" stopIfTrue="1">
      <formula>$C$49</formula>
    </cfRule>
  </conditionalFormatting>
  <conditionalFormatting sqref="C48 E48">
    <cfRule type="cellIs" priority="10" dxfId="0" operator="lessThan" stopIfTrue="1">
      <formula>0</formula>
    </cfRule>
  </conditionalFormatting>
  <conditionalFormatting sqref="D48">
    <cfRule type="cellIs" priority="3" dxfId="10" operator="lessThan" stopIfTrue="1">
      <formula>0</formula>
    </cfRule>
  </conditionalFormatting>
  <conditionalFormatting sqref="D17">
    <cfRule type="cellIs" priority="2" dxfId="10" operator="greaterThan" stopIfTrue="1">
      <formula>$D$19*0.1</formula>
    </cfRule>
  </conditionalFormatting>
  <conditionalFormatting sqref="C17">
    <cfRule type="cellIs" priority="1" dxfId="1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Paola</v>
      </c>
      <c r="C1" s="48"/>
      <c r="D1" s="48"/>
      <c r="E1" s="222">
        <f>inputPrYr!$C$5</f>
        <v>2012</v>
      </c>
    </row>
    <row r="2" spans="2:5" ht="15.75">
      <c r="B2" s="48"/>
      <c r="C2" s="48"/>
      <c r="D2" s="48"/>
      <c r="E2" s="172"/>
    </row>
    <row r="3" spans="2:5" ht="15.75">
      <c r="B3" s="252" t="s">
        <v>879</v>
      </c>
      <c r="C3" s="302"/>
      <c r="D3" s="302"/>
      <c r="E3" s="303"/>
    </row>
    <row r="4" spans="2:5" ht="15.75">
      <c r="B4" s="53" t="s">
        <v>811</v>
      </c>
      <c r="C4" s="597" t="s">
        <v>830</v>
      </c>
      <c r="D4" s="596" t="s">
        <v>959</v>
      </c>
      <c r="E4" s="596" t="s">
        <v>960</v>
      </c>
    </row>
    <row r="5" spans="2:5" ht="15.75">
      <c r="B5" s="555">
        <f>(inputPrYr!B52)</f>
        <v>0</v>
      </c>
      <c r="C5" s="215">
        <f>E1-2</f>
        <v>2010</v>
      </c>
      <c r="D5" s="215">
        <f>E1-1</f>
        <v>2011</v>
      </c>
      <c r="E5" s="215">
        <f>inputPrYr!$C$5</f>
        <v>2012</v>
      </c>
    </row>
    <row r="6" spans="2:5" ht="15.75">
      <c r="B6" s="153" t="s">
        <v>932</v>
      </c>
      <c r="C6" s="68"/>
      <c r="D6" s="231">
        <f>C48</f>
        <v>0</v>
      </c>
      <c r="E6" s="231">
        <f>D48</f>
        <v>0</v>
      </c>
    </row>
    <row r="7" spans="2:5" ht="15.75">
      <c r="B7" s="289" t="s">
        <v>934</v>
      </c>
      <c r="C7" s="88"/>
      <c r="D7" s="88"/>
      <c r="E7" s="88"/>
    </row>
    <row r="8" spans="2:5" ht="15.75">
      <c r="B8" s="276"/>
      <c r="C8" s="263"/>
      <c r="D8" s="263"/>
      <c r="E8" s="263"/>
    </row>
    <row r="9" spans="2:5" ht="15.75">
      <c r="B9" s="276"/>
      <c r="C9" s="263"/>
      <c r="D9" s="263"/>
      <c r="E9" s="263"/>
    </row>
    <row r="10" spans="2:5" ht="15.75">
      <c r="B10" s="276"/>
      <c r="C10" s="263"/>
      <c r="D10" s="263"/>
      <c r="E10" s="263"/>
    </row>
    <row r="11" spans="2:5" ht="15.75">
      <c r="B11" s="276"/>
      <c r="C11" s="263"/>
      <c r="D11" s="263"/>
      <c r="E11" s="263"/>
    </row>
    <row r="12" spans="2:5" ht="15.75">
      <c r="B12" s="276"/>
      <c r="C12" s="263"/>
      <c r="D12" s="263"/>
      <c r="E12" s="263"/>
    </row>
    <row r="13" spans="2:5" ht="15.75">
      <c r="B13" s="276"/>
      <c r="C13" s="263"/>
      <c r="D13" s="263"/>
      <c r="E13" s="263"/>
    </row>
    <row r="14" spans="2:5" ht="15.75">
      <c r="B14" s="297"/>
      <c r="C14" s="109"/>
      <c r="D14" s="109"/>
      <c r="E14" s="109"/>
    </row>
    <row r="15" spans="2:5" ht="15.75">
      <c r="B15" s="276"/>
      <c r="C15" s="263"/>
      <c r="D15" s="263"/>
      <c r="E15" s="263"/>
    </row>
    <row r="16" spans="2:5" ht="15.75">
      <c r="B16" s="304" t="s">
        <v>816</v>
      </c>
      <c r="C16" s="263"/>
      <c r="D16" s="263"/>
      <c r="E16" s="263"/>
    </row>
    <row r="17" spans="2:5" ht="15.75">
      <c r="B17" s="162" t="s">
        <v>49</v>
      </c>
      <c r="C17" s="263"/>
      <c r="D17" s="257"/>
      <c r="E17" s="257"/>
    </row>
    <row r="18" spans="2:5" ht="15.75">
      <c r="B18" s="255" t="s">
        <v>138</v>
      </c>
      <c r="C18" s="305">
        <f>IF(C19*0.1&lt;C17,"Exceed 10% Rule","")</f>
      </c>
      <c r="D18" s="266">
        <f>IF(D19*0.1&lt;D17,"Exceed 10% Rule","")</f>
      </c>
      <c r="E18" s="266">
        <f>IF(E19*0.1&lt;E17,"Exceed 10% Rule","")</f>
      </c>
    </row>
    <row r="19" spans="2:5" ht="15.75">
      <c r="B19" s="267" t="s">
        <v>817</v>
      </c>
      <c r="C19" s="270">
        <f>SUM(C8:C17)</f>
        <v>0</v>
      </c>
      <c r="D19" s="270">
        <f>SUM(D8:D17)</f>
        <v>0</v>
      </c>
      <c r="E19" s="270">
        <f>SUM(E8:E17)</f>
        <v>0</v>
      </c>
    </row>
    <row r="20" spans="2:5" ht="15.75">
      <c r="B20" s="267" t="s">
        <v>818</v>
      </c>
      <c r="C20" s="270">
        <f>C6+C19</f>
        <v>0</v>
      </c>
      <c r="D20" s="270">
        <f>D6+D19</f>
        <v>0</v>
      </c>
      <c r="E20" s="270">
        <f>E6+E19</f>
        <v>0</v>
      </c>
    </row>
    <row r="21" spans="2:5" ht="15.75">
      <c r="B21" s="153" t="s">
        <v>820</v>
      </c>
      <c r="C21" s="88"/>
      <c r="D21" s="88"/>
      <c r="E21" s="88"/>
    </row>
    <row r="22" spans="2:5" ht="15.75">
      <c r="B22" s="276" t="s">
        <v>988</v>
      </c>
      <c r="C22" s="263"/>
      <c r="D22" s="263"/>
      <c r="E22" s="263"/>
    </row>
    <row r="23" spans="2:5" ht="15.75">
      <c r="B23" s="276" t="s">
        <v>59</v>
      </c>
      <c r="C23" s="263"/>
      <c r="D23" s="263"/>
      <c r="E23" s="263"/>
    </row>
    <row r="24" spans="2:5" ht="15.75">
      <c r="B24" s="276"/>
      <c r="C24" s="109"/>
      <c r="D24" s="109"/>
      <c r="E24" s="109"/>
    </row>
    <row r="25" spans="2:5" ht="15.75">
      <c r="B25" s="276"/>
      <c r="C25" s="109"/>
      <c r="D25" s="109"/>
      <c r="E25" s="109"/>
    </row>
    <row r="26" spans="2:5" ht="15.75">
      <c r="B26" s="276"/>
      <c r="C26" s="109"/>
      <c r="D26" s="109"/>
      <c r="E26" s="109"/>
    </row>
    <row r="27" spans="2:5" ht="15.75">
      <c r="B27" s="276"/>
      <c r="C27" s="109"/>
      <c r="D27" s="109"/>
      <c r="E27" s="109"/>
    </row>
    <row r="28" spans="2:5" ht="15.75">
      <c r="B28" s="276"/>
      <c r="C28" s="109"/>
      <c r="D28" s="109"/>
      <c r="E28" s="109"/>
    </row>
    <row r="29" spans="2:5" ht="15.75">
      <c r="B29" s="276"/>
      <c r="C29" s="109"/>
      <c r="D29" s="109"/>
      <c r="E29" s="109"/>
    </row>
    <row r="30" spans="2:5" ht="15.75">
      <c r="B30" s="276"/>
      <c r="C30" s="109"/>
      <c r="D30" s="109"/>
      <c r="E30" s="109"/>
    </row>
    <row r="31" spans="2:5" ht="15.75">
      <c r="B31" s="276"/>
      <c r="C31" s="109"/>
      <c r="D31" s="109"/>
      <c r="E31" s="109"/>
    </row>
    <row r="32" spans="2:5" ht="15.75">
      <c r="B32" s="276"/>
      <c r="C32" s="109"/>
      <c r="D32" s="109"/>
      <c r="E32" s="109"/>
    </row>
    <row r="33" spans="2:5" ht="15.75">
      <c r="B33" s="276"/>
      <c r="C33" s="109"/>
      <c r="D33" s="109"/>
      <c r="E33" s="109"/>
    </row>
    <row r="34" spans="2:5" ht="15.75">
      <c r="B34" s="276"/>
      <c r="C34" s="109"/>
      <c r="D34" s="109"/>
      <c r="E34" s="109"/>
    </row>
    <row r="35" spans="2:5" ht="15.75">
      <c r="B35" s="276"/>
      <c r="C35" s="263"/>
      <c r="D35" s="263"/>
      <c r="E35" s="263"/>
    </row>
    <row r="36" spans="2:5" ht="15.75">
      <c r="B36" s="276"/>
      <c r="C36" s="263"/>
      <c r="D36" s="263"/>
      <c r="E36" s="263"/>
    </row>
    <row r="37" spans="2:5" ht="15.75">
      <c r="B37" s="276"/>
      <c r="C37" s="263"/>
      <c r="D37" s="263"/>
      <c r="E37" s="263"/>
    </row>
    <row r="38" spans="2:5" ht="15.75">
      <c r="B38" s="276"/>
      <c r="C38" s="263"/>
      <c r="D38" s="263"/>
      <c r="E38" s="263"/>
    </row>
    <row r="39" spans="2:5" ht="15.75">
      <c r="B39" s="276"/>
      <c r="C39" s="263"/>
      <c r="D39" s="263"/>
      <c r="E39" s="263"/>
    </row>
    <row r="40" spans="2:5" ht="15.75">
      <c r="B40" s="276"/>
      <c r="C40" s="263"/>
      <c r="D40" s="263"/>
      <c r="E40" s="263"/>
    </row>
    <row r="41" spans="2:5" ht="15.75">
      <c r="B41" s="276"/>
      <c r="C41" s="263"/>
      <c r="D41" s="263"/>
      <c r="E41" s="263"/>
    </row>
    <row r="42" spans="2:5" ht="15.75">
      <c r="B42" s="276"/>
      <c r="C42" s="263"/>
      <c r="D42" s="263"/>
      <c r="E42" s="263"/>
    </row>
    <row r="43" spans="2:5" ht="15.75">
      <c r="B43" s="276"/>
      <c r="C43" s="263"/>
      <c r="D43" s="263"/>
      <c r="E43" s="263"/>
    </row>
    <row r="44" spans="2:5" ht="15.75">
      <c r="B44" s="276"/>
      <c r="C44" s="263"/>
      <c r="D44" s="263"/>
      <c r="E44" s="263"/>
    </row>
    <row r="45" spans="2:5" ht="15.75">
      <c r="B45" s="277" t="s">
        <v>49</v>
      </c>
      <c r="C45" s="263"/>
      <c r="D45" s="257"/>
      <c r="E45" s="257"/>
    </row>
    <row r="46" spans="2:5" ht="15.75">
      <c r="B46" s="277" t="s">
        <v>139</v>
      </c>
      <c r="C46" s="305">
        <f>IF(C47*0.1&lt;C45,"Exceed 10% Rule","")</f>
      </c>
      <c r="D46" s="266">
        <f>IF(D47*0.1&lt;D45,"Exceed 10% Rule","")</f>
      </c>
      <c r="E46" s="266">
        <f>IF(E47*0.1&lt;E45,"Exceed 10% Rule","")</f>
      </c>
    </row>
    <row r="47" spans="2:5" ht="15.75">
      <c r="B47" s="267" t="s">
        <v>824</v>
      </c>
      <c r="C47" s="270">
        <f>SUM(C22:C45)</f>
        <v>0</v>
      </c>
      <c r="D47" s="270">
        <f>SUM(D22:D45)</f>
        <v>0</v>
      </c>
      <c r="E47" s="270">
        <f>SUM(E22:E45)</f>
        <v>0</v>
      </c>
    </row>
    <row r="48" spans="2:5" ht="15.75">
      <c r="B48" s="153" t="s">
        <v>933</v>
      </c>
      <c r="C48" s="83">
        <f>C20-C47</f>
        <v>0</v>
      </c>
      <c r="D48" s="83">
        <f>D20-D47</f>
        <v>0</v>
      </c>
      <c r="E48" s="83">
        <f>E20-E47</f>
        <v>0</v>
      </c>
    </row>
    <row r="49" spans="2:5" ht="15.75">
      <c r="B49" s="139" t="str">
        <f>CONCATENATE("",E1-2," Budget Authority Limited Amount:")</f>
        <v>2010 Budget Authority Limited Amount:</v>
      </c>
      <c r="C49" s="244">
        <f>inputOth!B91</f>
        <v>0</v>
      </c>
      <c r="D49" s="244">
        <f>inputPrYr!D52</f>
        <v>0</v>
      </c>
      <c r="E49" s="391">
        <f>IF(E48&lt;0,"See Tab E","")</f>
      </c>
    </row>
    <row r="50" spans="2:5" ht="15.75">
      <c r="B50" s="139"/>
      <c r="C50" s="280">
        <f>IF(C47&gt;C49,"See Tab A","")</f>
      </c>
      <c r="D50" s="280">
        <f>IF(D47&gt;D49,"See Tab C","")</f>
      </c>
      <c r="E50" s="69"/>
    </row>
    <row r="51" spans="2:5" ht="15.75">
      <c r="B51" s="139"/>
      <c r="C51" s="280">
        <f>IF(C48&lt;0,"See Tab B","")</f>
      </c>
      <c r="D51" s="280">
        <f>IF(D48&lt;0,"See Tab D","")</f>
      </c>
      <c r="E51" s="69"/>
    </row>
    <row r="52" spans="2:5" ht="15">
      <c r="B52" s="69"/>
      <c r="C52" s="69"/>
      <c r="D52" s="69"/>
      <c r="E52" s="69"/>
    </row>
    <row r="53" spans="2:5" ht="15.75">
      <c r="B53" s="416" t="s">
        <v>827</v>
      </c>
      <c r="C53" s="285"/>
      <c r="D53" s="69"/>
      <c r="E53" s="69"/>
    </row>
  </sheetData>
  <sheetProtection sheet="1"/>
  <conditionalFormatting sqref="E17">
    <cfRule type="cellIs" priority="2" dxfId="7" operator="greaterThan" stopIfTrue="1">
      <formula>$E$19*0.1</formula>
    </cfRule>
  </conditionalFormatting>
  <conditionalFormatting sqref="E45">
    <cfRule type="cellIs" priority="3" dxfId="7" operator="greaterThan" stopIfTrue="1">
      <formula>$E$47*0.1</formula>
    </cfRule>
  </conditionalFormatting>
  <conditionalFormatting sqref="D17">
    <cfRule type="cellIs" priority="4" dxfId="7" operator="greaterThan" stopIfTrue="1">
      <formula>$D$19*0.1</formula>
    </cfRule>
  </conditionalFormatting>
  <conditionalFormatting sqref="D45">
    <cfRule type="cellIs" priority="5" dxfId="7" operator="greaterThan" stopIfTrue="1">
      <formula>$D$47*0.1</formula>
    </cfRule>
  </conditionalFormatting>
  <conditionalFormatting sqref="C17">
    <cfRule type="cellIs" priority="6" dxfId="7" operator="greaterThan" stopIfTrue="1">
      <formula>$C$19*0.1</formula>
    </cfRule>
  </conditionalFormatting>
  <conditionalFormatting sqref="C45">
    <cfRule type="cellIs" priority="7" dxfId="7" operator="greaterThan" stopIfTrue="1">
      <formula>$C$47*0.1</formula>
    </cfRule>
  </conditionalFormatting>
  <conditionalFormatting sqref="D47">
    <cfRule type="cellIs" priority="8" dxfId="0" operator="greaterThan" stopIfTrue="1">
      <formula>$D$49</formula>
    </cfRule>
  </conditionalFormatting>
  <conditionalFormatting sqref="C47">
    <cfRule type="cellIs" priority="9" dxfId="0" operator="greaterThan" stopIfTrue="1">
      <formula>$C$49</formula>
    </cfRule>
  </conditionalFormatting>
  <conditionalFormatting sqref="C48 E48">
    <cfRule type="cellIs" priority="10" dxfId="0" operator="lessThan" stopIfTrue="1">
      <formula>0</formula>
    </cfRule>
  </conditionalFormatting>
  <conditionalFormatting sqref="D48">
    <cfRule type="cellIs" priority="1" dxfId="10" operator="lessThan" stopIfTrue="1">
      <formula>0</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5"/>
  <sheetViews>
    <sheetView zoomScalePageLayoutView="0" workbookViewId="0" topLeftCell="A49">
      <selection activeCell="E48" sqref="E48"/>
    </sheetView>
  </sheetViews>
  <sheetFormatPr defaultColWidth="8.796875" defaultRowHeight="15"/>
  <cols>
    <col min="1" max="1" width="24.59765625" style="107" customWidth="1"/>
    <col min="2" max="2" width="20.796875" style="107" customWidth="1"/>
    <col min="3" max="3" width="9.796875" style="107" customWidth="1"/>
    <col min="4" max="4" width="12.296875" style="107" customWidth="1"/>
    <col min="5" max="5" width="15.796875" style="107" customWidth="1"/>
    <col min="6" max="16384" width="8.8984375" style="107" customWidth="1"/>
  </cols>
  <sheetData>
    <row r="1" spans="1:5" ht="15.75">
      <c r="A1" s="178" t="str">
        <f>inputPrYr!$D$2</f>
        <v>City of Paola</v>
      </c>
      <c r="B1" s="69"/>
      <c r="C1" s="69"/>
      <c r="D1" s="69"/>
      <c r="E1" s="177">
        <f>inputPrYr!C5</f>
        <v>2012</v>
      </c>
    </row>
    <row r="2" spans="1:5" ht="15">
      <c r="A2" s="69"/>
      <c r="B2" s="69"/>
      <c r="C2" s="69"/>
      <c r="D2" s="69"/>
      <c r="E2" s="69"/>
    </row>
    <row r="3" spans="1:5" ht="15.75">
      <c r="A3" s="700" t="s">
        <v>1046</v>
      </c>
      <c r="B3" s="701"/>
      <c r="C3" s="701"/>
      <c r="D3" s="701"/>
      <c r="E3" s="701"/>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46543382</v>
      </c>
    </row>
    <row r="8" spans="1:5" ht="15.75">
      <c r="A8" s="108" t="str">
        <f>CONCATENATE("New Improvements for ",E1-1,"")</f>
        <v>New Improvements for 2011</v>
      </c>
      <c r="B8" s="73"/>
      <c r="C8" s="73"/>
      <c r="D8" s="73"/>
      <c r="E8" s="109">
        <v>229933</v>
      </c>
    </row>
    <row r="9" spans="1:5" ht="15.75">
      <c r="A9" s="108" t="str">
        <f>CONCATENATE("Personal Property excluding oil, gas, mobile homes - ",E1-1,"")</f>
        <v>Personal Property excluding oil, gas, mobile homes - 2011</v>
      </c>
      <c r="B9" s="73"/>
      <c r="C9" s="73"/>
      <c r="D9" s="73"/>
      <c r="E9" s="109">
        <v>1835912</v>
      </c>
    </row>
    <row r="10" spans="1:5" ht="15.75">
      <c r="A10" s="110" t="s">
        <v>972</v>
      </c>
      <c r="B10" s="73"/>
      <c r="C10" s="73"/>
      <c r="D10" s="73"/>
      <c r="E10" s="88"/>
    </row>
    <row r="11" spans="1:5" ht="15.75">
      <c r="A11" s="108" t="s">
        <v>925</v>
      </c>
      <c r="B11" s="73"/>
      <c r="C11" s="73"/>
      <c r="D11" s="73"/>
      <c r="E11" s="109">
        <v>0</v>
      </c>
    </row>
    <row r="12" spans="1:5" ht="15.75">
      <c r="A12" s="108" t="s">
        <v>926</v>
      </c>
      <c r="B12" s="73"/>
      <c r="C12" s="73"/>
      <c r="D12" s="73"/>
      <c r="E12" s="109">
        <v>0</v>
      </c>
    </row>
    <row r="13" spans="1:5" ht="15.75">
      <c r="A13" s="108" t="s">
        <v>927</v>
      </c>
      <c r="B13" s="73"/>
      <c r="C13" s="73"/>
      <c r="D13" s="73"/>
      <c r="E13" s="109">
        <v>0</v>
      </c>
    </row>
    <row r="14" spans="1:5" ht="15.75">
      <c r="A14" s="108" t="str">
        <f>CONCATENATE("Property that has changed in use for ",E1-1,"")</f>
        <v>Property that has changed in use for 2011</v>
      </c>
      <c r="B14" s="73"/>
      <c r="C14" s="73"/>
      <c r="D14" s="73"/>
      <c r="E14" s="109">
        <v>26881</v>
      </c>
    </row>
    <row r="15" spans="1:5" ht="15.75">
      <c r="A15" s="108" t="str">
        <f>CONCATENATE("Personal Property  excluding oil, gas, mobile homes- ",E1-2,"")</f>
        <v>Personal Property  excluding oil, gas, mobile homes- 2010</v>
      </c>
      <c r="B15" s="73"/>
      <c r="C15" s="73"/>
      <c r="D15" s="73"/>
      <c r="E15" s="109">
        <v>1480351</v>
      </c>
    </row>
    <row r="16" spans="1:5" ht="15.75">
      <c r="A16" s="108" t="str">
        <f>CONCATENATE("Gross earnings (intangible) tax estimate for ",E1,"")</f>
        <v>Gross earnings (intangible) tax estimate for 2012</v>
      </c>
      <c r="B16" s="73"/>
      <c r="C16" s="73"/>
      <c r="D16" s="94"/>
      <c r="E16" s="68">
        <v>0</v>
      </c>
    </row>
    <row r="17" spans="1:5" ht="15.75">
      <c r="A17" s="108" t="s">
        <v>973</v>
      </c>
      <c r="B17" s="73"/>
      <c r="C17" s="73"/>
      <c r="D17" s="73"/>
      <c r="E17" s="104">
        <v>7431</v>
      </c>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706" t="s">
        <v>797</v>
      </c>
      <c r="B20" s="707"/>
      <c r="C20" s="69"/>
      <c r="D20" s="111" t="s">
        <v>849</v>
      </c>
      <c r="E20" s="85"/>
    </row>
    <row r="21" spans="1:5" ht="15.75">
      <c r="A21" s="71" t="s">
        <v>781</v>
      </c>
      <c r="B21" s="72"/>
      <c r="C21" s="77"/>
      <c r="D21" s="112">
        <v>24.401</v>
      </c>
      <c r="E21" s="85"/>
    </row>
    <row r="22" spans="1:5" ht="15.75">
      <c r="A22" s="108" t="s">
        <v>82</v>
      </c>
      <c r="B22" s="73"/>
      <c r="C22" s="77"/>
      <c r="D22" s="113">
        <v>4.739</v>
      </c>
      <c r="E22" s="85"/>
    </row>
    <row r="23" spans="1:5" ht="15.75">
      <c r="A23" s="108" t="str">
        <f>IF(inputPrYr!B20&gt;" ",(inputPrYr!B20)," ")</f>
        <v>Library - Fund 02</v>
      </c>
      <c r="B23" s="73"/>
      <c r="C23" s="77"/>
      <c r="D23" s="113">
        <v>4.613</v>
      </c>
      <c r="E23" s="85"/>
    </row>
    <row r="24" spans="1:5" ht="15.75">
      <c r="A24" s="108" t="str">
        <f>IF(inputPrYr!B21&gt;" ",(inputPrYr!B21)," ")</f>
        <v>Employee Benefits - Fund 05</v>
      </c>
      <c r="B24" s="73"/>
      <c r="C24" s="77"/>
      <c r="D24" s="113">
        <v>6.657</v>
      </c>
      <c r="E24" s="85"/>
    </row>
    <row r="25" spans="1:5" ht="15.75">
      <c r="A25" s="108" t="str">
        <f>IF(inputPrYr!B22&gt;" ",(inputPrYr!B22)," ")</f>
        <v> </v>
      </c>
      <c r="B25" s="73"/>
      <c r="C25" s="77"/>
      <c r="D25" s="113"/>
      <c r="E25" s="85"/>
    </row>
    <row r="26" spans="1:5" ht="15.75">
      <c r="A26" s="108" t="str">
        <f>IF(inputPrYr!B23&gt;" ",(inputPrYr!B23)," ")</f>
        <v> </v>
      </c>
      <c r="B26" s="114"/>
      <c r="C26" s="77"/>
      <c r="D26" s="115"/>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783</v>
      </c>
      <c r="C34" s="117"/>
      <c r="D34" s="118">
        <f>SUM(D21:D33)</f>
        <v>40.41</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47157929</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784</v>
      </c>
      <c r="B39" s="72"/>
      <c r="C39" s="72"/>
      <c r="D39" s="122"/>
      <c r="E39" s="68">
        <f>181745+143</f>
        <v>181888</v>
      </c>
    </row>
    <row r="40" spans="1:5" ht="15.75">
      <c r="A40" s="108" t="s">
        <v>785</v>
      </c>
      <c r="B40" s="73"/>
      <c r="C40" s="73"/>
      <c r="D40" s="123"/>
      <c r="E40" s="68">
        <v>2112</v>
      </c>
    </row>
    <row r="41" spans="1:5" ht="15.75">
      <c r="A41" s="108" t="s">
        <v>974</v>
      </c>
      <c r="B41" s="73"/>
      <c r="C41" s="73"/>
      <c r="D41" s="123"/>
      <c r="E41" s="68">
        <v>901</v>
      </c>
    </row>
    <row r="42" spans="1:5" ht="15.75">
      <c r="A42" s="108" t="s">
        <v>975</v>
      </c>
      <c r="B42" s="73"/>
      <c r="C42" s="73"/>
      <c r="D42" s="123"/>
      <c r="E42" s="68">
        <v>0</v>
      </c>
    </row>
    <row r="43" spans="1:5" ht="15.75">
      <c r="A43" s="108" t="s">
        <v>976</v>
      </c>
      <c r="B43" s="73"/>
      <c r="C43" s="73"/>
      <c r="D43" s="123"/>
      <c r="E43" s="68">
        <v>0</v>
      </c>
    </row>
    <row r="44" spans="1:5" ht="15.75">
      <c r="A44" s="71" t="s">
        <v>977</v>
      </c>
      <c r="B44" s="72"/>
      <c r="C44" s="72"/>
      <c r="D44" s="122"/>
      <c r="E44" s="68">
        <v>0</v>
      </c>
    </row>
    <row r="45" spans="1:5" ht="15.75">
      <c r="A45" s="48" t="s">
        <v>978</v>
      </c>
      <c r="B45" s="48"/>
      <c r="C45" s="48"/>
      <c r="D45" s="48"/>
      <c r="E45" s="48"/>
    </row>
    <row r="46" spans="1:5" ht="15.75">
      <c r="A46" s="47" t="s">
        <v>805</v>
      </c>
      <c r="B46" s="57"/>
      <c r="C46" s="57"/>
      <c r="D46" s="48"/>
      <c r="E46" s="48"/>
    </row>
    <row r="47" spans="1:5" ht="15.75">
      <c r="A47" s="76" t="str">
        <f>CONCATENATE("Actual Delinquency for ",E1-3," Tax - (round to three decimal places)")</f>
        <v>Actual Delinquency for 2009 Tax - (round to three decimal places)</v>
      </c>
      <c r="B47" s="77"/>
      <c r="C47" s="48"/>
      <c r="D47" s="48"/>
      <c r="E47" s="662"/>
    </row>
    <row r="48" spans="1:5" ht="15.75">
      <c r="A48" s="71" t="s">
        <v>979</v>
      </c>
      <c r="B48" s="71"/>
      <c r="C48" s="72"/>
      <c r="D48" s="72"/>
      <c r="E48" s="663">
        <v>0.06</v>
      </c>
    </row>
    <row r="49" spans="1:5" ht="15.75">
      <c r="A49" s="48"/>
      <c r="B49" s="48"/>
      <c r="C49" s="48"/>
      <c r="D49" s="48"/>
      <c r="E49" s="48"/>
    </row>
    <row r="50" spans="1:5" ht="15.75">
      <c r="A50" s="124" t="s">
        <v>36</v>
      </c>
      <c r="B50" s="125"/>
      <c r="C50" s="126"/>
      <c r="D50" s="126"/>
      <c r="E50" s="126"/>
    </row>
    <row r="51" spans="1:5" ht="15.75">
      <c r="A51" s="127" t="str">
        <f>CONCATENATE("",E1," State Distribution for Kansas Gas Tax")</f>
        <v>2012 State Distribution for Kansas Gas Tax</v>
      </c>
      <c r="B51" s="128"/>
      <c r="C51" s="128"/>
      <c r="D51" s="129"/>
      <c r="E51" s="104">
        <v>145490</v>
      </c>
    </row>
    <row r="52" spans="1:5" ht="15.75">
      <c r="A52" s="130" t="str">
        <f>CONCATENATE("",E1," County Transfers for Gas**")</f>
        <v>2012 County Transfers for Gas**</v>
      </c>
      <c r="B52" s="131"/>
      <c r="C52" s="131"/>
      <c r="D52" s="132"/>
      <c r="E52" s="104">
        <v>0</v>
      </c>
    </row>
    <row r="53" spans="1:5" ht="15.75">
      <c r="A53" s="130" t="str">
        <f>CONCATENATE("Adjusted ",E1-1," State Distribution for Kansas Gas Tax")</f>
        <v>Adjusted 2011 State Distribution for Kansas Gas Tax</v>
      </c>
      <c r="B53" s="131"/>
      <c r="C53" s="131"/>
      <c r="D53" s="132"/>
      <c r="E53" s="104">
        <v>142980</v>
      </c>
    </row>
    <row r="54" spans="1:5" ht="15.75">
      <c r="A54" s="130" t="str">
        <f>CONCATENATE("Adjusted ",E1-1," County Transfers for Gas**")</f>
        <v>Adjusted 2011 County Transfers for Gas**</v>
      </c>
      <c r="B54" s="131"/>
      <c r="C54" s="131"/>
      <c r="D54" s="132"/>
      <c r="E54" s="104">
        <v>0</v>
      </c>
    </row>
    <row r="55" spans="1:5" ht="15">
      <c r="A55" s="708" t="s">
        <v>1041</v>
      </c>
      <c r="B55" s="709"/>
      <c r="C55" s="709"/>
      <c r="D55" s="709"/>
      <c r="E55" s="709"/>
    </row>
    <row r="56" spans="1:5" ht="15">
      <c r="A56" s="133" t="s">
        <v>1042</v>
      </c>
      <c r="B56" s="133"/>
      <c r="C56" s="133"/>
      <c r="D56" s="133"/>
      <c r="E56" s="133"/>
    </row>
    <row r="57" spans="1:5" ht="15">
      <c r="A57" s="69"/>
      <c r="B57" s="69"/>
      <c r="C57" s="69"/>
      <c r="D57" s="69"/>
      <c r="E57" s="69"/>
    </row>
    <row r="58" spans="1:5" ht="15.75">
      <c r="A58" s="710" t="str">
        <f>CONCATENATE("From the ",E1-2," Budget Certificate Page")</f>
        <v>From the 2010 Budget Certificate Page</v>
      </c>
      <c r="B58" s="711"/>
      <c r="C58" s="69"/>
      <c r="D58" s="69"/>
      <c r="E58" s="69"/>
    </row>
    <row r="59" spans="1:5" ht="15.75">
      <c r="A59" s="134"/>
      <c r="B59" s="134" t="str">
        <f>CONCATENATE("",E1-2," Expenditure Amounts")</f>
        <v>2010 Expenditure Amounts</v>
      </c>
      <c r="C59" s="704" t="str">
        <f>CONCATENATE("Note: If the ",E1-2," budget was amended, then the")</f>
        <v>Note: If the 2010 budget was amended, then the</v>
      </c>
      <c r="D59" s="705"/>
      <c r="E59" s="705"/>
    </row>
    <row r="60" spans="1:5" ht="15.75">
      <c r="A60" s="135" t="s">
        <v>44</v>
      </c>
      <c r="B60" s="135" t="s">
        <v>45</v>
      </c>
      <c r="C60" s="136" t="s">
        <v>46</v>
      </c>
      <c r="D60" s="137"/>
      <c r="E60" s="137"/>
    </row>
    <row r="61" spans="1:5" ht="15.75">
      <c r="A61" s="138" t="str">
        <f>inputPrYr!B17</f>
        <v>General - Fund 01</v>
      </c>
      <c r="B61" s="104">
        <v>3998476</v>
      </c>
      <c r="C61" s="136" t="s">
        <v>47</v>
      </c>
      <c r="D61" s="137"/>
      <c r="E61" s="137"/>
    </row>
    <row r="62" spans="1:5" ht="15.75">
      <c r="A62" s="138" t="str">
        <f>inputPrYr!B18</f>
        <v>Bond &amp; Interest - Fund 06</v>
      </c>
      <c r="B62" s="104">
        <v>2189219</v>
      </c>
      <c r="C62" s="136"/>
      <c r="D62" s="137"/>
      <c r="E62" s="137"/>
    </row>
    <row r="63" spans="1:5" ht="15.75">
      <c r="A63" s="138" t="str">
        <f>inputPrYr!B20</f>
        <v>Library - Fund 02</v>
      </c>
      <c r="B63" s="104">
        <v>282120</v>
      </c>
      <c r="C63" s="69"/>
      <c r="D63" s="69"/>
      <c r="E63" s="69"/>
    </row>
    <row r="64" spans="1:5" ht="15.75">
      <c r="A64" s="138" t="str">
        <f>inputPrYr!B21</f>
        <v>Employee Benefits - Fund 05</v>
      </c>
      <c r="B64" s="104">
        <v>1083764</v>
      </c>
      <c r="C64" s="69"/>
      <c r="D64" s="69"/>
      <c r="E64" s="69"/>
    </row>
    <row r="65" spans="1:5" ht="15.75">
      <c r="A65" s="138">
        <f>inputPrYr!B22</f>
        <v>0</v>
      </c>
      <c r="B65" s="104"/>
      <c r="C65" s="69"/>
      <c r="D65" s="69"/>
      <c r="E65" s="69"/>
    </row>
    <row r="66" spans="1:5" ht="15.75">
      <c r="A66" s="138">
        <f>inputPrYr!B23</f>
        <v>0</v>
      </c>
      <c r="B66" s="104"/>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 - Fund 17</v>
      </c>
      <c r="B74" s="104">
        <v>206436</v>
      </c>
      <c r="C74" s="69"/>
      <c r="D74" s="69"/>
      <c r="E74" s="69"/>
    </row>
    <row r="75" spans="1:5" ht="15.75">
      <c r="A75" s="138" t="str">
        <f>inputPrYr!B35</f>
        <v>Sewer Service - Fund 04</v>
      </c>
      <c r="B75" s="104">
        <v>729323</v>
      </c>
      <c r="C75" s="69"/>
      <c r="D75" s="69"/>
      <c r="E75" s="69"/>
    </row>
    <row r="76" spans="1:5" ht="15.75">
      <c r="A76" s="138" t="str">
        <f>inputPrYr!B36</f>
        <v>Aquatics Center - Fund 07</v>
      </c>
      <c r="B76" s="104">
        <v>383465</v>
      </c>
      <c r="C76" s="69"/>
      <c r="D76" s="69"/>
      <c r="E76" s="69"/>
    </row>
    <row r="77" spans="1:5" ht="15.75">
      <c r="A77" s="138" t="str">
        <f>inputPrYr!B37</f>
        <v>Community Center - Fund 08</v>
      </c>
      <c r="B77" s="104">
        <v>157499</v>
      </c>
      <c r="C77" s="69"/>
      <c r="D77" s="69"/>
      <c r="E77" s="69"/>
    </row>
    <row r="78" spans="1:5" ht="15.75">
      <c r="A78" s="138" t="str">
        <f>inputPrYr!B38</f>
        <v>Water Utility - Fund 09</v>
      </c>
      <c r="B78" s="104">
        <v>2080349</v>
      </c>
      <c r="C78" s="69"/>
      <c r="D78" s="69"/>
      <c r="E78" s="69"/>
    </row>
    <row r="79" spans="1:5" ht="15.75">
      <c r="A79" s="138" t="str">
        <f>inputPrYr!B39</f>
        <v>Sewer Reserve - Fund 11</v>
      </c>
      <c r="B79" s="104">
        <v>136486</v>
      </c>
      <c r="C79" s="69"/>
      <c r="D79" s="69"/>
      <c r="E79" s="69"/>
    </row>
    <row r="80" spans="1:5" ht="15.75">
      <c r="A80" s="138" t="str">
        <f>inputPrYr!B40</f>
        <v>Stormwater - Fund 12</v>
      </c>
      <c r="B80" s="104">
        <v>184656</v>
      </c>
      <c r="C80" s="69"/>
      <c r="D80" s="69"/>
      <c r="E80" s="69"/>
    </row>
    <row r="81" spans="1:5" ht="15.75">
      <c r="A81" s="138" t="str">
        <f>inputPrYr!B41</f>
        <v>Health &amp; Sanitation - Fund 13</v>
      </c>
      <c r="B81" s="104">
        <v>335552</v>
      </c>
      <c r="C81" s="69"/>
      <c r="D81" s="69"/>
      <c r="E81" s="69"/>
    </row>
    <row r="82" spans="1:5" ht="15.75">
      <c r="A82" s="138" t="str">
        <f>inputPrYr!B42</f>
        <v>Special Parks &amp; Rec - Fund 14</v>
      </c>
      <c r="B82" s="104">
        <v>41013</v>
      </c>
      <c r="C82" s="69"/>
      <c r="D82" s="69"/>
      <c r="E82" s="69"/>
    </row>
    <row r="83" spans="1:5" ht="15.75">
      <c r="A83" s="138" t="str">
        <f>inputPrYr!B43</f>
        <v>Water Treatment Plant - Fund 15</v>
      </c>
      <c r="B83" s="104">
        <v>1045950</v>
      </c>
      <c r="C83" s="69"/>
      <c r="D83" s="69"/>
      <c r="E83" s="69"/>
    </row>
    <row r="84" spans="1:5" ht="15.75">
      <c r="A84" s="138" t="str">
        <f>inputPrYr!B44</f>
        <v>Waste Water TP - Fund 16 </v>
      </c>
      <c r="B84" s="104">
        <v>877405</v>
      </c>
      <c r="C84" s="69"/>
      <c r="D84" s="69"/>
      <c r="E84" s="69"/>
    </row>
    <row r="85" spans="1:5" ht="15.75">
      <c r="A85" s="138" t="str">
        <f>inputPrYr!B45</f>
        <v>Transient Guest Tax - Fund 20</v>
      </c>
      <c r="B85" s="104">
        <v>109071</v>
      </c>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row r="95" ht="15">
      <c r="B95" s="657"/>
    </row>
  </sheetData>
  <sheetProtection/>
  <mergeCells count="5">
    <mergeCell ref="C59:E59"/>
    <mergeCell ref="A20:B20"/>
    <mergeCell ref="A55:E55"/>
    <mergeCell ref="A3:E3"/>
    <mergeCell ref="A58:B58"/>
  </mergeCells>
  <printOptions horizontalCentered="1"/>
  <pageMargins left="0.75" right="0.75" top="0.62" bottom="0.55" header="0.5" footer="0.5"/>
  <pageSetup blackAndWhite="1" fitToHeight="1" fitToWidth="1" horizontalDpi="600" verticalDpi="600" orientation="portrait" scale="53"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Paola</v>
      </c>
      <c r="C1" s="48"/>
      <c r="D1" s="48"/>
      <c r="E1" s="222">
        <f>inputPrYr!$C$5</f>
        <v>2012</v>
      </c>
    </row>
    <row r="2" spans="2:5" ht="15.75">
      <c r="B2" s="48"/>
      <c r="C2" s="48"/>
      <c r="D2" s="48"/>
      <c r="E2" s="172"/>
    </row>
    <row r="3" spans="2:5" ht="15.75">
      <c r="B3" s="252" t="s">
        <v>879</v>
      </c>
      <c r="C3" s="302"/>
      <c r="D3" s="302"/>
      <c r="E3" s="303"/>
    </row>
    <row r="4" spans="2:5" ht="15.75">
      <c r="B4" s="53" t="s">
        <v>811</v>
      </c>
      <c r="C4" s="594" t="s">
        <v>830</v>
      </c>
      <c r="D4" s="595" t="s">
        <v>959</v>
      </c>
      <c r="E4" s="596" t="s">
        <v>960</v>
      </c>
    </row>
    <row r="5" spans="2:5" ht="15.75">
      <c r="B5" s="555">
        <f>(inputPrYr!B53)</f>
        <v>0</v>
      </c>
      <c r="C5" s="228">
        <f>E1-2</f>
        <v>2010</v>
      </c>
      <c r="D5" s="228">
        <f>E1-1</f>
        <v>2011</v>
      </c>
      <c r="E5" s="215">
        <f>inputPrYr!$C$5</f>
        <v>2012</v>
      </c>
    </row>
    <row r="6" spans="2:5" ht="15.75">
      <c r="B6" s="153" t="s">
        <v>932</v>
      </c>
      <c r="C6" s="260"/>
      <c r="D6" s="258">
        <f>C48</f>
        <v>0</v>
      </c>
      <c r="E6" s="231">
        <f>D48</f>
        <v>0</v>
      </c>
    </row>
    <row r="7" spans="2:5" ht="15.75">
      <c r="B7" s="289" t="s">
        <v>934</v>
      </c>
      <c r="C7" s="162"/>
      <c r="D7" s="162"/>
      <c r="E7" s="88"/>
    </row>
    <row r="8" spans="2:5" ht="15.75">
      <c r="B8" s="276"/>
      <c r="C8" s="260"/>
      <c r="D8" s="260"/>
      <c r="E8" s="263"/>
    </row>
    <row r="9" spans="2:5" ht="15.75">
      <c r="B9" s="276"/>
      <c r="C9" s="260"/>
      <c r="D9" s="260"/>
      <c r="E9" s="263"/>
    </row>
    <row r="10" spans="2:5" ht="15.75">
      <c r="B10" s="276"/>
      <c r="C10" s="260"/>
      <c r="D10" s="260"/>
      <c r="E10" s="263"/>
    </row>
    <row r="11" spans="2:5" ht="15.75">
      <c r="B11" s="276"/>
      <c r="C11" s="260"/>
      <c r="D11" s="260"/>
      <c r="E11" s="263"/>
    </row>
    <row r="12" spans="2:5" ht="15.75">
      <c r="B12" s="276"/>
      <c r="C12" s="260"/>
      <c r="D12" s="260"/>
      <c r="E12" s="263"/>
    </row>
    <row r="13" spans="2:5" ht="15.75">
      <c r="B13" s="276"/>
      <c r="C13" s="260"/>
      <c r="D13" s="260"/>
      <c r="E13" s="263"/>
    </row>
    <row r="14" spans="2:5" ht="15.75">
      <c r="B14" s="297"/>
      <c r="C14" s="260"/>
      <c r="D14" s="260"/>
      <c r="E14" s="109"/>
    </row>
    <row r="15" spans="2:5" ht="15.75">
      <c r="B15" s="276"/>
      <c r="C15" s="260"/>
      <c r="D15" s="260"/>
      <c r="E15" s="263"/>
    </row>
    <row r="16" spans="2:5" ht="15.75">
      <c r="B16" s="304" t="s">
        <v>816</v>
      </c>
      <c r="C16" s="260"/>
      <c r="D16" s="260"/>
      <c r="E16" s="263"/>
    </row>
    <row r="17" spans="2:5" ht="15.75">
      <c r="B17" s="162" t="s">
        <v>49</v>
      </c>
      <c r="C17" s="260"/>
      <c r="D17" s="260"/>
      <c r="E17" s="263"/>
    </row>
    <row r="18" spans="2:5" ht="15.75">
      <c r="B18" s="255" t="s">
        <v>138</v>
      </c>
      <c r="C18" s="265">
        <f>IF(C19*0.1&lt;C17,"Exceed 10% Rule","")</f>
      </c>
      <c r="D18" s="265">
        <f>IF(D19*0.1&lt;D17,"Exceed 10% Rule","")</f>
      </c>
      <c r="E18" s="305">
        <f>IF(E19*0.1&lt;E17,"Exceed 10% Rule","")</f>
      </c>
    </row>
    <row r="19" spans="2:5" ht="15.75">
      <c r="B19" s="267" t="s">
        <v>817</v>
      </c>
      <c r="C19" s="269">
        <f>SUM(C8:C17)</f>
        <v>0</v>
      </c>
      <c r="D19" s="269">
        <f>SUM(D8:D17)</f>
        <v>0</v>
      </c>
      <c r="E19" s="270">
        <f>SUM(E8:E17)</f>
        <v>0</v>
      </c>
    </row>
    <row r="20" spans="2:5" ht="15.75">
      <c r="B20" s="267" t="s">
        <v>818</v>
      </c>
      <c r="C20" s="269">
        <f>C6+C19</f>
        <v>0</v>
      </c>
      <c r="D20" s="269">
        <f>D6+D19</f>
        <v>0</v>
      </c>
      <c r="E20" s="270">
        <f>E6+E19</f>
        <v>0</v>
      </c>
    </row>
    <row r="21" spans="2:5" ht="15.75">
      <c r="B21" s="153" t="s">
        <v>820</v>
      </c>
      <c r="C21" s="162"/>
      <c r="D21" s="162"/>
      <c r="E21" s="88"/>
    </row>
    <row r="22" spans="2:5" ht="15.75">
      <c r="B22" s="276" t="s">
        <v>988</v>
      </c>
      <c r="C22" s="260"/>
      <c r="D22" s="260"/>
      <c r="E22" s="263"/>
    </row>
    <row r="23" spans="2:5" ht="15.75">
      <c r="B23" s="276" t="s">
        <v>58</v>
      </c>
      <c r="C23" s="260"/>
      <c r="D23" s="260"/>
      <c r="E23" s="263"/>
    </row>
    <row r="24" spans="2:5" ht="15.75">
      <c r="B24" s="276"/>
      <c r="C24" s="260"/>
      <c r="D24" s="260"/>
      <c r="E24" s="109"/>
    </row>
    <row r="25" spans="2:5" ht="15.75">
      <c r="B25" s="276"/>
      <c r="C25" s="260"/>
      <c r="D25" s="260"/>
      <c r="E25" s="109"/>
    </row>
    <row r="26" spans="2:5" ht="15.75">
      <c r="B26" s="276"/>
      <c r="C26" s="260"/>
      <c r="D26" s="260"/>
      <c r="E26" s="109"/>
    </row>
    <row r="27" spans="2:5" ht="15.75">
      <c r="B27" s="276"/>
      <c r="C27" s="260"/>
      <c r="D27" s="260"/>
      <c r="E27" s="109"/>
    </row>
    <row r="28" spans="2:5" ht="15.75">
      <c r="B28" s="276"/>
      <c r="C28" s="260"/>
      <c r="D28" s="260"/>
      <c r="E28" s="109"/>
    </row>
    <row r="29" spans="2:5" ht="15.75">
      <c r="B29" s="276"/>
      <c r="C29" s="260"/>
      <c r="D29" s="260"/>
      <c r="E29" s="109"/>
    </row>
    <row r="30" spans="2:5" ht="15.75">
      <c r="B30" s="276"/>
      <c r="C30" s="260"/>
      <c r="D30" s="260"/>
      <c r="E30" s="109"/>
    </row>
    <row r="31" spans="2:5" ht="15.75">
      <c r="B31" s="276"/>
      <c r="C31" s="260"/>
      <c r="D31" s="260"/>
      <c r="E31" s="109"/>
    </row>
    <row r="32" spans="2:5" ht="15.75">
      <c r="B32" s="276"/>
      <c r="C32" s="260"/>
      <c r="D32" s="260"/>
      <c r="E32" s="109"/>
    </row>
    <row r="33" spans="2:5" ht="15.75">
      <c r="B33" s="276"/>
      <c r="C33" s="260"/>
      <c r="D33" s="260"/>
      <c r="E33" s="109"/>
    </row>
    <row r="34" spans="2:5" ht="15.75">
      <c r="B34" s="276"/>
      <c r="C34" s="260"/>
      <c r="D34" s="260"/>
      <c r="E34" s="109"/>
    </row>
    <row r="35" spans="2:5" ht="15.75">
      <c r="B35" s="276"/>
      <c r="C35" s="260"/>
      <c r="D35" s="260"/>
      <c r="E35" s="263"/>
    </row>
    <row r="36" spans="2:5" ht="15.75">
      <c r="B36" s="276"/>
      <c r="C36" s="260"/>
      <c r="D36" s="260"/>
      <c r="E36" s="263"/>
    </row>
    <row r="37" spans="2:5" ht="15.75">
      <c r="B37" s="276"/>
      <c r="C37" s="260"/>
      <c r="D37" s="260"/>
      <c r="E37" s="263"/>
    </row>
    <row r="38" spans="2:5" ht="15.75">
      <c r="B38" s="276"/>
      <c r="C38" s="260"/>
      <c r="D38" s="260"/>
      <c r="E38" s="263"/>
    </row>
    <row r="39" spans="2:5" ht="15.75">
      <c r="B39" s="276"/>
      <c r="C39" s="260"/>
      <c r="D39" s="260"/>
      <c r="E39" s="263"/>
    </row>
    <row r="40" spans="2:5" ht="15.75">
      <c r="B40" s="276"/>
      <c r="C40" s="260"/>
      <c r="D40" s="260"/>
      <c r="E40" s="263"/>
    </row>
    <row r="41" spans="2:5" ht="15.75">
      <c r="B41" s="276"/>
      <c r="C41" s="260"/>
      <c r="D41" s="260"/>
      <c r="E41" s="263"/>
    </row>
    <row r="42" spans="2:5" ht="15.75">
      <c r="B42" s="276"/>
      <c r="C42" s="260"/>
      <c r="D42" s="260"/>
      <c r="E42" s="263"/>
    </row>
    <row r="43" spans="2:5" ht="15.75">
      <c r="B43" s="276"/>
      <c r="C43" s="260"/>
      <c r="D43" s="260"/>
      <c r="E43" s="263"/>
    </row>
    <row r="44" spans="2:5" ht="15.75">
      <c r="B44" s="276"/>
      <c r="C44" s="260"/>
      <c r="D44" s="260"/>
      <c r="E44" s="263"/>
    </row>
    <row r="45" spans="2:5" ht="15.75">
      <c r="B45" s="277" t="s">
        <v>49</v>
      </c>
      <c r="C45" s="260"/>
      <c r="D45" s="260"/>
      <c r="E45" s="263"/>
    </row>
    <row r="46" spans="2:5" ht="15.75">
      <c r="B46" s="277" t="s">
        <v>139</v>
      </c>
      <c r="C46" s="265">
        <f>IF(C47*0.1&lt;C45,"Exceed 10% Rule","")</f>
      </c>
      <c r="D46" s="265">
        <f>IF(D47*0.1&lt;D45,"Exceed 10% Rule","")</f>
      </c>
      <c r="E46" s="305">
        <f>IF(E47*0.1&lt;E45,"Exceed 10% Rule","")</f>
      </c>
    </row>
    <row r="47" spans="2:5" ht="15.75">
      <c r="B47" s="267" t="s">
        <v>824</v>
      </c>
      <c r="C47" s="269">
        <f>SUM(C22:C45)</f>
        <v>0</v>
      </c>
      <c r="D47" s="269">
        <f>SUM(D22:D45)</f>
        <v>0</v>
      </c>
      <c r="E47" s="270">
        <f>SUM(E22:E45)</f>
        <v>0</v>
      </c>
    </row>
    <row r="48" spans="2:5" ht="15.75">
      <c r="B48" s="153" t="s">
        <v>933</v>
      </c>
      <c r="C48" s="273">
        <f>C20-C47</f>
        <v>0</v>
      </c>
      <c r="D48" s="273">
        <f>D20-D47</f>
        <v>0</v>
      </c>
      <c r="E48" s="83">
        <f>E20-E47</f>
        <v>0</v>
      </c>
    </row>
    <row r="49" spans="2:5" ht="15.75">
      <c r="B49" s="139" t="str">
        <f>CONCATENATE("",E1-2,"/",E1-1," Budget Authority Amount:")</f>
        <v>2010/2011 Budget Authority Amount:</v>
      </c>
      <c r="C49" s="244">
        <f>inputOth!B92</f>
        <v>0</v>
      </c>
      <c r="D49" s="244">
        <f>inputPrYr!D53</f>
        <v>0</v>
      </c>
      <c r="E49" s="391">
        <f>IF(E48&lt;0,"See Tab E","")</f>
      </c>
    </row>
    <row r="50" spans="2:5" ht="15.75">
      <c r="B50" s="139"/>
      <c r="C50" s="280">
        <f>IF(C47&gt;C49,"See Tab A","")</f>
      </c>
      <c r="D50" s="280">
        <f>IF(D47&gt;D49,"See Tab C","")</f>
      </c>
      <c r="E50" s="69"/>
    </row>
    <row r="51" spans="2:5" ht="15.75">
      <c r="B51" s="139"/>
      <c r="C51" s="280">
        <f>IF(C48&lt;0,"See Tab B","")</f>
      </c>
      <c r="D51" s="280">
        <f>IF(D48&lt;0,"See Tab D","")</f>
      </c>
      <c r="E51" s="69"/>
    </row>
    <row r="52" spans="2:5" ht="15">
      <c r="B52" s="69"/>
      <c r="C52" s="69"/>
      <c r="D52" s="69"/>
      <c r="E52" s="69"/>
    </row>
    <row r="53" spans="2:5" ht="15.75">
      <c r="B53" s="416" t="s">
        <v>827</v>
      </c>
      <c r="C53" s="285"/>
      <c r="D53" s="69"/>
      <c r="E53" s="69"/>
    </row>
  </sheetData>
  <sheetProtection sheet="1"/>
  <conditionalFormatting sqref="E17">
    <cfRule type="cellIs" priority="4" dxfId="7" operator="greaterThan" stopIfTrue="1">
      <formula>$E$19*0.1</formula>
    </cfRule>
  </conditionalFormatting>
  <conditionalFormatting sqref="E45">
    <cfRule type="cellIs" priority="5" dxfId="7" operator="greaterThan" stopIfTrue="1">
      <formula>$E$47*0.1</formula>
    </cfRule>
  </conditionalFormatting>
  <conditionalFormatting sqref="C45">
    <cfRule type="cellIs" priority="6" dxfId="0" operator="greaterThan" stopIfTrue="1">
      <formula>$C$47*0.1</formula>
    </cfRule>
  </conditionalFormatting>
  <conditionalFormatting sqref="D45">
    <cfRule type="cellIs" priority="7" dxfId="0" operator="greaterThan" stopIfTrue="1">
      <formula>$D$47*0.1</formula>
    </cfRule>
  </conditionalFormatting>
  <conditionalFormatting sqref="D47">
    <cfRule type="cellIs" priority="8" dxfId="0" operator="greaterThan" stopIfTrue="1">
      <formula>$D$49</formula>
    </cfRule>
  </conditionalFormatting>
  <conditionalFormatting sqref="C47">
    <cfRule type="cellIs" priority="9" dxfId="0" operator="greaterThan" stopIfTrue="1">
      <formula>$C$49</formula>
    </cfRule>
  </conditionalFormatting>
  <conditionalFormatting sqref="C48 E48">
    <cfRule type="cellIs" priority="10" dxfId="0" operator="lessThan" stopIfTrue="1">
      <formula>0</formula>
    </cfRule>
  </conditionalFormatting>
  <conditionalFormatting sqref="D48">
    <cfRule type="cellIs" priority="3" dxfId="10" operator="lessThan" stopIfTrue="1">
      <formula>0</formula>
    </cfRule>
  </conditionalFormatting>
  <conditionalFormatting sqref="D17">
    <cfRule type="cellIs" priority="2" dxfId="10" operator="greaterThan" stopIfTrue="1">
      <formula>$D$19*0.1</formula>
    </cfRule>
  </conditionalFormatting>
  <conditionalFormatting sqref="C17">
    <cfRule type="cellIs" priority="1" dxfId="1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Paola</v>
      </c>
      <c r="C1" s="48"/>
      <c r="D1" s="48"/>
      <c r="E1" s="222">
        <f>inputPrYr!$C$5</f>
        <v>2012</v>
      </c>
    </row>
    <row r="2" spans="2:5" ht="15.75">
      <c r="B2" s="48"/>
      <c r="C2" s="48"/>
      <c r="D2" s="48"/>
      <c r="E2" s="172"/>
    </row>
    <row r="3" spans="2:5" ht="15.75">
      <c r="B3" s="252" t="s">
        <v>879</v>
      </c>
      <c r="C3" s="302"/>
      <c r="D3" s="302"/>
      <c r="E3" s="303"/>
    </row>
    <row r="4" spans="2:5" ht="15.75">
      <c r="B4" s="53" t="s">
        <v>811</v>
      </c>
      <c r="C4" s="594" t="s">
        <v>830</v>
      </c>
      <c r="D4" s="595" t="s">
        <v>959</v>
      </c>
      <c r="E4" s="596" t="s">
        <v>960</v>
      </c>
    </row>
    <row r="5" spans="2:5" ht="15.75">
      <c r="B5" s="555">
        <f>(inputPrYr!B54)</f>
        <v>0</v>
      </c>
      <c r="C5" s="228">
        <f>E1-2</f>
        <v>2010</v>
      </c>
      <c r="D5" s="228">
        <f>E1-1</f>
        <v>2011</v>
      </c>
      <c r="E5" s="215">
        <f>inputPrYr!$C$5</f>
        <v>2012</v>
      </c>
    </row>
    <row r="6" spans="2:5" ht="15.75">
      <c r="B6" s="153" t="s">
        <v>932</v>
      </c>
      <c r="C6" s="260"/>
      <c r="D6" s="258">
        <f>C48</f>
        <v>0</v>
      </c>
      <c r="E6" s="231">
        <f>D48</f>
        <v>0</v>
      </c>
    </row>
    <row r="7" spans="2:5" ht="15.75">
      <c r="B7" s="289" t="s">
        <v>934</v>
      </c>
      <c r="C7" s="162"/>
      <c r="D7" s="162"/>
      <c r="E7" s="88"/>
    </row>
    <row r="8" spans="2:5" ht="15.75">
      <c r="B8" s="276"/>
      <c r="C8" s="260"/>
      <c r="D8" s="260"/>
      <c r="E8" s="263"/>
    </row>
    <row r="9" spans="2:5" ht="15.75">
      <c r="B9" s="276"/>
      <c r="C9" s="260"/>
      <c r="D9" s="260"/>
      <c r="E9" s="263"/>
    </row>
    <row r="10" spans="2:5" ht="15.75">
      <c r="B10" s="276"/>
      <c r="C10" s="260"/>
      <c r="D10" s="260"/>
      <c r="E10" s="263"/>
    </row>
    <row r="11" spans="2:5" ht="15.75">
      <c r="B11" s="276"/>
      <c r="C11" s="260"/>
      <c r="D11" s="260"/>
      <c r="E11" s="263"/>
    </row>
    <row r="12" spans="2:5" ht="15.75">
      <c r="B12" s="276"/>
      <c r="C12" s="260"/>
      <c r="D12" s="260"/>
      <c r="E12" s="263"/>
    </row>
    <row r="13" spans="2:5" ht="15.75">
      <c r="B13" s="276"/>
      <c r="C13" s="260"/>
      <c r="D13" s="260"/>
      <c r="E13" s="263"/>
    </row>
    <row r="14" spans="2:5" ht="15.75">
      <c r="B14" s="297"/>
      <c r="C14" s="260"/>
      <c r="D14" s="260"/>
      <c r="E14" s="109"/>
    </row>
    <row r="15" spans="2:5" ht="15.75">
      <c r="B15" s="276"/>
      <c r="C15" s="260"/>
      <c r="D15" s="260"/>
      <c r="E15" s="263"/>
    </row>
    <row r="16" spans="2:5" ht="15.75">
      <c r="B16" s="304" t="s">
        <v>816</v>
      </c>
      <c r="C16" s="260"/>
      <c r="D16" s="260"/>
      <c r="E16" s="263"/>
    </row>
    <row r="17" spans="2:5" ht="15.75">
      <c r="B17" s="162" t="s">
        <v>49</v>
      </c>
      <c r="C17" s="260"/>
      <c r="D17" s="260"/>
      <c r="E17" s="263"/>
    </row>
    <row r="18" spans="2:5" ht="15.75">
      <c r="B18" s="255" t="s">
        <v>138</v>
      </c>
      <c r="C18" s="265">
        <f>IF(C19*0.1&lt;C17,"Exceed 10% Rule","")</f>
      </c>
      <c r="D18" s="265">
        <f>IF(D19*0.1&lt;D17,"Exceed 10% Rule","")</f>
      </c>
      <c r="E18" s="305">
        <f>IF(E19*0.1&lt;E17,"Exceed 10% Rule","")</f>
      </c>
    </row>
    <row r="19" spans="2:5" ht="15.75">
      <c r="B19" s="267" t="s">
        <v>817</v>
      </c>
      <c r="C19" s="269">
        <f>SUM(C8:C17)</f>
        <v>0</v>
      </c>
      <c r="D19" s="269">
        <f>SUM(D8:D17)</f>
        <v>0</v>
      </c>
      <c r="E19" s="270">
        <f>SUM(E8:E17)</f>
        <v>0</v>
      </c>
    </row>
    <row r="20" spans="2:5" ht="15.75">
      <c r="B20" s="267" t="s">
        <v>818</v>
      </c>
      <c r="C20" s="269">
        <f>C6+C19</f>
        <v>0</v>
      </c>
      <c r="D20" s="269">
        <f>D6+D19</f>
        <v>0</v>
      </c>
      <c r="E20" s="270">
        <f>E6+E19</f>
        <v>0</v>
      </c>
    </row>
    <row r="21" spans="2:5" ht="15.75">
      <c r="B21" s="153" t="s">
        <v>820</v>
      </c>
      <c r="C21" s="162"/>
      <c r="D21" s="162"/>
      <c r="E21" s="88"/>
    </row>
    <row r="22" spans="2:5" ht="15.75">
      <c r="B22" s="276" t="s">
        <v>988</v>
      </c>
      <c r="C22" s="260"/>
      <c r="D22" s="260"/>
      <c r="E22" s="263"/>
    </row>
    <row r="23" spans="2:5" ht="15.75">
      <c r="B23" s="276" t="s">
        <v>59</v>
      </c>
      <c r="C23" s="260"/>
      <c r="D23" s="260"/>
      <c r="E23" s="263"/>
    </row>
    <row r="24" spans="2:5" ht="15.75">
      <c r="B24" s="276"/>
      <c r="C24" s="260"/>
      <c r="D24" s="260"/>
      <c r="E24" s="109"/>
    </row>
    <row r="25" spans="2:5" ht="15.75">
      <c r="B25" s="276"/>
      <c r="C25" s="260"/>
      <c r="D25" s="260"/>
      <c r="E25" s="109"/>
    </row>
    <row r="26" spans="2:5" ht="15.75">
      <c r="B26" s="276"/>
      <c r="C26" s="260"/>
      <c r="D26" s="260"/>
      <c r="E26" s="109"/>
    </row>
    <row r="27" spans="2:5" ht="15.75">
      <c r="B27" s="276"/>
      <c r="C27" s="260"/>
      <c r="D27" s="260"/>
      <c r="E27" s="109"/>
    </row>
    <row r="28" spans="2:5" ht="15.75">
      <c r="B28" s="276"/>
      <c r="C28" s="260"/>
      <c r="D28" s="260"/>
      <c r="E28" s="109"/>
    </row>
    <row r="29" spans="2:5" ht="15.75">
      <c r="B29" s="276"/>
      <c r="C29" s="260"/>
      <c r="D29" s="260"/>
      <c r="E29" s="109"/>
    </row>
    <row r="30" spans="2:5" ht="15.75">
      <c r="B30" s="276"/>
      <c r="C30" s="260"/>
      <c r="D30" s="260"/>
      <c r="E30" s="109"/>
    </row>
    <row r="31" spans="2:5" ht="15.75">
      <c r="B31" s="276"/>
      <c r="C31" s="260"/>
      <c r="D31" s="260"/>
      <c r="E31" s="109"/>
    </row>
    <row r="32" spans="2:5" ht="15.75">
      <c r="B32" s="276"/>
      <c r="C32" s="260"/>
      <c r="D32" s="260"/>
      <c r="E32" s="109"/>
    </row>
    <row r="33" spans="2:5" ht="15.75">
      <c r="B33" s="276"/>
      <c r="C33" s="260"/>
      <c r="D33" s="260"/>
      <c r="E33" s="109"/>
    </row>
    <row r="34" spans="2:5" ht="15.75">
      <c r="B34" s="276"/>
      <c r="C34" s="260"/>
      <c r="D34" s="260"/>
      <c r="E34" s="109"/>
    </row>
    <row r="35" spans="2:5" ht="15.75">
      <c r="B35" s="276"/>
      <c r="C35" s="260"/>
      <c r="D35" s="260"/>
      <c r="E35" s="263"/>
    </row>
    <row r="36" spans="2:5" ht="15.75">
      <c r="B36" s="276"/>
      <c r="C36" s="260"/>
      <c r="D36" s="260"/>
      <c r="E36" s="263"/>
    </row>
    <row r="37" spans="2:5" ht="15.75">
      <c r="B37" s="276"/>
      <c r="C37" s="260"/>
      <c r="D37" s="260"/>
      <c r="E37" s="263"/>
    </row>
    <row r="38" spans="2:5" ht="15.75">
      <c r="B38" s="276"/>
      <c r="C38" s="260"/>
      <c r="D38" s="260"/>
      <c r="E38" s="263"/>
    </row>
    <row r="39" spans="2:5" ht="15.75">
      <c r="B39" s="276"/>
      <c r="C39" s="260"/>
      <c r="D39" s="260"/>
      <c r="E39" s="263"/>
    </row>
    <row r="40" spans="2:5" ht="15.75">
      <c r="B40" s="276"/>
      <c r="C40" s="260"/>
      <c r="D40" s="260"/>
      <c r="E40" s="263"/>
    </row>
    <row r="41" spans="2:5" ht="15.75">
      <c r="B41" s="276"/>
      <c r="C41" s="260"/>
      <c r="D41" s="260"/>
      <c r="E41" s="263"/>
    </row>
    <row r="42" spans="2:5" ht="15.75">
      <c r="B42" s="276"/>
      <c r="C42" s="260"/>
      <c r="D42" s="260"/>
      <c r="E42" s="263"/>
    </row>
    <row r="43" spans="2:5" ht="15.75">
      <c r="B43" s="276"/>
      <c r="C43" s="260"/>
      <c r="D43" s="260"/>
      <c r="E43" s="263"/>
    </row>
    <row r="44" spans="2:5" ht="15.75">
      <c r="B44" s="276"/>
      <c r="C44" s="260"/>
      <c r="D44" s="260"/>
      <c r="E44" s="263"/>
    </row>
    <row r="45" spans="2:5" ht="15.75">
      <c r="B45" s="277" t="s">
        <v>49</v>
      </c>
      <c r="C45" s="260"/>
      <c r="D45" s="260"/>
      <c r="E45" s="263"/>
    </row>
    <row r="46" spans="2:5" ht="15.75">
      <c r="B46" s="277" t="s">
        <v>139</v>
      </c>
      <c r="C46" s="265">
        <f>IF(C47*0.1&lt;C45,"Exceed 10% Rule","")</f>
      </c>
      <c r="D46" s="265">
        <f>IF(D47*0.1&lt;D45,"Exceed 10% Rule","")</f>
      </c>
      <c r="E46" s="305">
        <f>IF(E47*0.1&lt;E45,"Exceed 10% Rule","")</f>
      </c>
    </row>
    <row r="47" spans="2:5" ht="15.75">
      <c r="B47" s="267" t="s">
        <v>824</v>
      </c>
      <c r="C47" s="269">
        <f>SUM(C22:C45)</f>
        <v>0</v>
      </c>
      <c r="D47" s="269">
        <f>SUM(D22:D45)</f>
        <v>0</v>
      </c>
      <c r="E47" s="270">
        <f>SUM(E22:E45)</f>
        <v>0</v>
      </c>
    </row>
    <row r="48" spans="2:5" ht="15.75">
      <c r="B48" s="153" t="s">
        <v>933</v>
      </c>
      <c r="C48" s="273">
        <f>C20-C47</f>
        <v>0</v>
      </c>
      <c r="D48" s="273">
        <f>D20-D47</f>
        <v>0</v>
      </c>
      <c r="E48" s="83">
        <f>E20-E47</f>
        <v>0</v>
      </c>
    </row>
    <row r="49" spans="2:5" ht="15.75">
      <c r="B49" s="139" t="str">
        <f>CONCATENATE("",E1-2,"/",E1-1," Budget Authority Amount:")</f>
        <v>2010/2011 Budget Authority Amount:</v>
      </c>
      <c r="C49" s="244">
        <f>inputOth!B93</f>
        <v>0</v>
      </c>
      <c r="D49" s="244">
        <f>inputPrYr!D54</f>
        <v>0</v>
      </c>
      <c r="E49" s="391">
        <f>IF(E48&lt;0,"See Tab E","")</f>
      </c>
    </row>
    <row r="50" spans="2:5" ht="15.75">
      <c r="B50" s="139"/>
      <c r="C50" s="280">
        <f>IF(C47&gt;C49,"See Tab A","")</f>
      </c>
      <c r="D50" s="280">
        <f>IF(D47&gt;D49,"See Tab C","")</f>
      </c>
      <c r="E50" s="69"/>
    </row>
    <row r="51" spans="2:5" ht="15.75">
      <c r="B51" s="139"/>
      <c r="C51" s="280">
        <f>IF(C48&lt;0,"See Tab B","")</f>
      </c>
      <c r="D51" s="280">
        <f>IF(D48&lt;0,"See Tab D","")</f>
      </c>
      <c r="E51" s="69"/>
    </row>
    <row r="52" spans="2:5" ht="15">
      <c r="B52" s="69"/>
      <c r="C52" s="69"/>
      <c r="D52" s="69"/>
      <c r="E52" s="69"/>
    </row>
    <row r="53" spans="2:5" ht="15.75">
      <c r="B53" s="416" t="s">
        <v>827</v>
      </c>
      <c r="C53" s="285"/>
      <c r="D53" s="69"/>
      <c r="E53" s="69"/>
    </row>
  </sheetData>
  <sheetProtection sheet="1"/>
  <conditionalFormatting sqref="E17">
    <cfRule type="cellIs" priority="4" dxfId="7" operator="greaterThan" stopIfTrue="1">
      <formula>$E$19*0.1</formula>
    </cfRule>
  </conditionalFormatting>
  <conditionalFormatting sqref="E45">
    <cfRule type="cellIs" priority="5" dxfId="7" operator="greaterThan" stopIfTrue="1">
      <formula>$E$47*0.1</formula>
    </cfRule>
  </conditionalFormatting>
  <conditionalFormatting sqref="E48 C48">
    <cfRule type="cellIs" priority="6" dxfId="0" operator="lessThan" stopIfTrue="1">
      <formula>0</formula>
    </cfRule>
  </conditionalFormatting>
  <conditionalFormatting sqref="D45">
    <cfRule type="cellIs" priority="7" dxfId="0" operator="greaterThan" stopIfTrue="1">
      <formula>$D$47*0.1</formula>
    </cfRule>
  </conditionalFormatting>
  <conditionalFormatting sqref="C45">
    <cfRule type="cellIs" priority="8" dxfId="0" operator="greaterThan" stopIfTrue="1">
      <formula>$C$47*0.1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D48">
    <cfRule type="cellIs" priority="3" dxfId="10" operator="lessThan" stopIfTrue="1">
      <formula>0</formula>
    </cfRule>
  </conditionalFormatting>
  <conditionalFormatting sqref="D17">
    <cfRule type="cellIs" priority="2" dxfId="10" operator="greaterThan" stopIfTrue="1">
      <formula>$D$198*0.1</formula>
    </cfRule>
  </conditionalFormatting>
  <conditionalFormatting sqref="C17">
    <cfRule type="cellIs" priority="1" dxfId="10" operator="greaterThan" stopIfTrue="1">
      <formula>$C$19*0.1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A22" sqref="A22"/>
    </sheetView>
  </sheetViews>
  <sheetFormatPr defaultColWidth="8.796875" defaultRowHeight="15"/>
  <cols>
    <col min="1" max="1" width="12.398437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2.69921875" style="33" customWidth="1"/>
    <col min="10" max="11" width="8.8984375" style="33" customWidth="1"/>
    <col min="12" max="12" width="3.59765625" style="33" customWidth="1"/>
    <col min="13" max="13" width="1" style="33" customWidth="1"/>
    <col min="14" max="16384" width="8.8984375" style="33" customWidth="1"/>
  </cols>
  <sheetData>
    <row r="1" spans="1:11" ht="15.75">
      <c r="A1" s="178" t="str">
        <f>inputPrYr!$D$2</f>
        <v>City of Paola</v>
      </c>
      <c r="B1" s="306"/>
      <c r="C1" s="177"/>
      <c r="D1" s="177"/>
      <c r="E1" s="177"/>
      <c r="F1" s="179" t="s">
        <v>961</v>
      </c>
      <c r="G1" s="177"/>
      <c r="H1" s="177"/>
      <c r="I1" s="177"/>
      <c r="J1" s="177"/>
      <c r="K1" s="177">
        <f>inputPrYr!$C$5</f>
        <v>2012</v>
      </c>
    </row>
    <row r="2" spans="1:11" ht="15.75">
      <c r="A2" s="177"/>
      <c r="B2" s="177"/>
      <c r="C2" s="177"/>
      <c r="D2" s="177"/>
      <c r="E2" s="177"/>
      <c r="F2" s="307" t="str">
        <f>CONCATENATE("(Only the actual budget year for ",K1-2," is to be shown)")</f>
        <v>(Only the actual budget year for 2010 is to be shown)</v>
      </c>
      <c r="G2" s="177"/>
      <c r="H2" s="177"/>
      <c r="I2" s="177"/>
      <c r="J2" s="177"/>
      <c r="K2" s="177"/>
    </row>
    <row r="3" spans="1:11" ht="15.75">
      <c r="A3" s="177" t="s">
        <v>1013</v>
      </c>
      <c r="B3" s="177"/>
      <c r="C3" s="177"/>
      <c r="D3" s="177"/>
      <c r="E3" s="177"/>
      <c r="F3" s="308"/>
      <c r="G3" s="177"/>
      <c r="H3" s="177"/>
      <c r="I3" s="177"/>
      <c r="J3" s="177"/>
      <c r="K3" s="177"/>
    </row>
    <row r="4" spans="1:11" ht="15.75">
      <c r="A4" s="177" t="s">
        <v>962</v>
      </c>
      <c r="B4" s="177"/>
      <c r="C4" s="177" t="s">
        <v>963</v>
      </c>
      <c r="D4" s="177"/>
      <c r="E4" s="177" t="s">
        <v>964</v>
      </c>
      <c r="F4" s="306"/>
      <c r="G4" s="177" t="s">
        <v>965</v>
      </c>
      <c r="H4" s="177"/>
      <c r="I4" s="177" t="s">
        <v>966</v>
      </c>
      <c r="J4" s="177"/>
      <c r="K4" s="177"/>
    </row>
    <row r="5" spans="1:11" s="667" customFormat="1" ht="21.75" customHeight="1">
      <c r="A5" s="743" t="str">
        <f>IF(inputPrYr!B57&gt;" ",(inputPrYr!B57)," ")</f>
        <v>Pool Reserve Account</v>
      </c>
      <c r="B5" s="744"/>
      <c r="C5" s="743" t="str">
        <f>IF(inputPrYr!B58&gt;" ",(inputPrYr!B58)," ")</f>
        <v>Benefit Dist Const Funds</v>
      </c>
      <c r="D5" s="744"/>
      <c r="E5" s="743" t="str">
        <f>IF(inputPrYr!B59&gt;" ",(inputPrYr!B59)," ")</f>
        <v>Street Construction Funds</v>
      </c>
      <c r="F5" s="744"/>
      <c r="G5" s="743" t="str">
        <f>IF(inputPrYr!B60&gt;" ",(inputPrYr!B60)," ")</f>
        <v>WWTP Construction Fund</v>
      </c>
      <c r="H5" s="744"/>
      <c r="I5" s="743" t="str">
        <f>IF(inputPrYr!B61&gt;" ",(inputPrYr!B61)," ")</f>
        <v>Funds Held in Escrow</v>
      </c>
      <c r="J5" s="744"/>
      <c r="K5" s="666"/>
    </row>
    <row r="6" spans="1:11" ht="15.75">
      <c r="A6" s="310" t="s">
        <v>967</v>
      </c>
      <c r="B6" s="311"/>
      <c r="C6" s="312" t="s">
        <v>967</v>
      </c>
      <c r="D6" s="313"/>
      <c r="E6" s="312" t="s">
        <v>967</v>
      </c>
      <c r="F6" s="309"/>
      <c r="G6" s="312" t="s">
        <v>967</v>
      </c>
      <c r="H6" s="314"/>
      <c r="I6" s="312" t="s">
        <v>967</v>
      </c>
      <c r="J6" s="177"/>
      <c r="K6" s="315" t="s">
        <v>783</v>
      </c>
    </row>
    <row r="7" spans="1:11" ht="15.75">
      <c r="A7" s="316" t="s">
        <v>56</v>
      </c>
      <c r="B7" s="317">
        <v>1756990</v>
      </c>
      <c r="C7" s="318" t="s">
        <v>56</v>
      </c>
      <c r="D7" s="317">
        <v>0</v>
      </c>
      <c r="E7" s="318" t="s">
        <v>56</v>
      </c>
      <c r="F7" s="317">
        <v>11334</v>
      </c>
      <c r="G7" s="318" t="s">
        <v>56</v>
      </c>
      <c r="H7" s="317">
        <v>755531</v>
      </c>
      <c r="I7" s="318" t="s">
        <v>56</v>
      </c>
      <c r="J7" s="317">
        <v>0</v>
      </c>
      <c r="K7" s="319">
        <f>SUM(B7+D7+F7+H7+J7)</f>
        <v>2523855</v>
      </c>
    </row>
    <row r="8" spans="1:11" ht="15.75">
      <c r="A8" s="320" t="s">
        <v>934</v>
      </c>
      <c r="B8" s="321"/>
      <c r="C8" s="320" t="s">
        <v>934</v>
      </c>
      <c r="D8" s="322"/>
      <c r="E8" s="320" t="s">
        <v>934</v>
      </c>
      <c r="F8" s="306"/>
      <c r="G8" s="320" t="s">
        <v>934</v>
      </c>
      <c r="H8" s="177"/>
      <c r="I8" s="320" t="s">
        <v>934</v>
      </c>
      <c r="J8" s="177"/>
      <c r="K8" s="306"/>
    </row>
    <row r="9" spans="1:11" ht="15.75">
      <c r="A9" s="668" t="s">
        <v>861</v>
      </c>
      <c r="B9" s="669">
        <v>14815</v>
      </c>
      <c r="C9" s="668" t="s">
        <v>861</v>
      </c>
      <c r="D9" s="669">
        <v>0</v>
      </c>
      <c r="E9" s="668" t="s">
        <v>861</v>
      </c>
      <c r="F9" s="669">
        <f>38+51</f>
        <v>89</v>
      </c>
      <c r="G9" s="668" t="s">
        <v>861</v>
      </c>
      <c r="H9" s="669">
        <v>5918</v>
      </c>
      <c r="I9" s="668" t="s">
        <v>861</v>
      </c>
      <c r="J9" s="669">
        <v>0</v>
      </c>
      <c r="K9" s="306"/>
    </row>
    <row r="10" spans="1:11" ht="15.75">
      <c r="A10" s="668" t="s">
        <v>515</v>
      </c>
      <c r="B10" s="669">
        <v>19629</v>
      </c>
      <c r="C10" s="668"/>
      <c r="D10" s="669"/>
      <c r="E10" s="668"/>
      <c r="F10" s="669"/>
      <c r="G10" s="668"/>
      <c r="H10" s="669"/>
      <c r="I10" s="668" t="s">
        <v>567</v>
      </c>
      <c r="J10" s="669">
        <v>50368</v>
      </c>
      <c r="K10" s="306"/>
    </row>
    <row r="11" spans="1:11" ht="15.75">
      <c r="A11" s="323"/>
      <c r="B11" s="317"/>
      <c r="C11" s="324"/>
      <c r="D11" s="317"/>
      <c r="E11" s="324"/>
      <c r="F11" s="317"/>
      <c r="G11" s="324"/>
      <c r="H11" s="317"/>
      <c r="I11" s="325"/>
      <c r="J11" s="317"/>
      <c r="K11" s="306"/>
    </row>
    <row r="12" spans="1:11" ht="15.75">
      <c r="A12" s="323"/>
      <c r="B12" s="317"/>
      <c r="C12" s="323"/>
      <c r="D12" s="317"/>
      <c r="E12" s="326"/>
      <c r="F12" s="317"/>
      <c r="G12" s="326"/>
      <c r="H12" s="317"/>
      <c r="I12" s="326"/>
      <c r="J12" s="317"/>
      <c r="K12" s="306"/>
    </row>
    <row r="13" spans="1:11" ht="15.75">
      <c r="A13" s="327"/>
      <c r="B13" s="317"/>
      <c r="C13" s="328"/>
      <c r="D13" s="317"/>
      <c r="E13" s="328"/>
      <c r="F13" s="317"/>
      <c r="G13" s="328"/>
      <c r="H13" s="317"/>
      <c r="I13" s="325"/>
      <c r="J13" s="317"/>
      <c r="K13" s="306"/>
    </row>
    <row r="14" spans="1:11" ht="15.75">
      <c r="A14" s="323"/>
      <c r="B14" s="317"/>
      <c r="C14" s="326"/>
      <c r="D14" s="317"/>
      <c r="E14" s="326"/>
      <c r="F14" s="317"/>
      <c r="G14" s="326"/>
      <c r="H14" s="317"/>
      <c r="I14" s="326"/>
      <c r="J14" s="317"/>
      <c r="K14" s="306"/>
    </row>
    <row r="15" spans="1:11" ht="15.75">
      <c r="A15" s="323"/>
      <c r="B15" s="317"/>
      <c r="C15" s="326"/>
      <c r="D15" s="317"/>
      <c r="E15" s="326"/>
      <c r="F15" s="317"/>
      <c r="G15" s="326"/>
      <c r="H15" s="317"/>
      <c r="I15" s="326"/>
      <c r="J15" s="317"/>
      <c r="K15" s="306"/>
    </row>
    <row r="16" spans="1:11" ht="15.75">
      <c r="A16" s="323"/>
      <c r="B16" s="317"/>
      <c r="C16" s="323"/>
      <c r="D16" s="317"/>
      <c r="E16" s="323"/>
      <c r="F16" s="317"/>
      <c r="G16" s="326"/>
      <c r="H16" s="317"/>
      <c r="I16" s="323"/>
      <c r="J16" s="317"/>
      <c r="K16" s="306"/>
    </row>
    <row r="17" spans="1:11" ht="15.75">
      <c r="A17" s="320" t="s">
        <v>817</v>
      </c>
      <c r="B17" s="319">
        <f>SUM(B9:B16)</f>
        <v>34444</v>
      </c>
      <c r="C17" s="320" t="s">
        <v>817</v>
      </c>
      <c r="D17" s="319">
        <f>SUM(D9:D16)</f>
        <v>0</v>
      </c>
      <c r="E17" s="320" t="s">
        <v>817</v>
      </c>
      <c r="F17" s="388">
        <f>SUM(F9:F16)</f>
        <v>89</v>
      </c>
      <c r="G17" s="320" t="s">
        <v>817</v>
      </c>
      <c r="H17" s="319">
        <f>SUM(H9:H16)</f>
        <v>5918</v>
      </c>
      <c r="I17" s="320" t="s">
        <v>817</v>
      </c>
      <c r="J17" s="319">
        <f>SUM(J9:J16)</f>
        <v>50368</v>
      </c>
      <c r="K17" s="319">
        <f>SUM(B17+D17+F17+H17+J17)</f>
        <v>90819</v>
      </c>
    </row>
    <row r="18" spans="1:11" ht="15.75">
      <c r="A18" s="320" t="s">
        <v>818</v>
      </c>
      <c r="B18" s="319">
        <f>SUM(B7+B17)</f>
        <v>1791434</v>
      </c>
      <c r="C18" s="320" t="s">
        <v>818</v>
      </c>
      <c r="D18" s="319">
        <f>SUM(D7+D17)</f>
        <v>0</v>
      </c>
      <c r="E18" s="320" t="s">
        <v>818</v>
      </c>
      <c r="F18" s="319">
        <f>SUM(F7+F17)</f>
        <v>11423</v>
      </c>
      <c r="G18" s="320" t="s">
        <v>818</v>
      </c>
      <c r="H18" s="319">
        <f>SUM(H7+H17)</f>
        <v>761449</v>
      </c>
      <c r="I18" s="320" t="s">
        <v>818</v>
      </c>
      <c r="J18" s="319">
        <f>SUM(J7+J17)</f>
        <v>50368</v>
      </c>
      <c r="K18" s="319">
        <f>SUM(B18+D18+F18+H18+J18)</f>
        <v>2614674</v>
      </c>
    </row>
    <row r="19" spans="1:11" ht="15.75">
      <c r="A19" s="320" t="s">
        <v>820</v>
      </c>
      <c r="B19" s="321"/>
      <c r="C19" s="320" t="s">
        <v>820</v>
      </c>
      <c r="D19" s="322"/>
      <c r="E19" s="320" t="s">
        <v>820</v>
      </c>
      <c r="F19" s="306"/>
      <c r="G19" s="320" t="s">
        <v>820</v>
      </c>
      <c r="H19" s="177"/>
      <c r="I19" s="320" t="s">
        <v>820</v>
      </c>
      <c r="J19" s="177"/>
      <c r="K19" s="306"/>
    </row>
    <row r="20" spans="1:11" ht="15.75">
      <c r="A20" s="668" t="s">
        <v>517</v>
      </c>
      <c r="B20" s="669">
        <v>39573</v>
      </c>
      <c r="C20" s="670" t="s">
        <v>568</v>
      </c>
      <c r="D20" s="669">
        <v>0</v>
      </c>
      <c r="E20" s="670" t="s">
        <v>517</v>
      </c>
      <c r="F20" s="669">
        <v>0</v>
      </c>
      <c r="G20" s="670" t="s">
        <v>568</v>
      </c>
      <c r="H20" s="669">
        <v>0</v>
      </c>
      <c r="I20" s="670" t="s">
        <v>569</v>
      </c>
      <c r="J20" s="669">
        <v>27308</v>
      </c>
      <c r="K20" s="306"/>
    </row>
    <row r="21" spans="1:11" ht="15.75">
      <c r="A21" s="668" t="s">
        <v>571</v>
      </c>
      <c r="B21" s="669">
        <v>150000</v>
      </c>
      <c r="C21" s="670"/>
      <c r="D21" s="669"/>
      <c r="E21" s="670" t="s">
        <v>570</v>
      </c>
      <c r="F21" s="669">
        <v>0</v>
      </c>
      <c r="G21" s="670"/>
      <c r="H21" s="669"/>
      <c r="I21" s="670"/>
      <c r="J21" s="669"/>
      <c r="K21" s="306"/>
    </row>
    <row r="22" spans="1:11" ht="15.75">
      <c r="A22" s="323"/>
      <c r="B22" s="317"/>
      <c r="C22" s="328"/>
      <c r="D22" s="317"/>
      <c r="E22" s="328"/>
      <c r="F22" s="317"/>
      <c r="G22" s="328"/>
      <c r="H22" s="317"/>
      <c r="I22" s="325"/>
      <c r="J22" s="317"/>
      <c r="K22" s="306"/>
    </row>
    <row r="23" spans="1:11" ht="15.75">
      <c r="A23" s="323"/>
      <c r="B23" s="317"/>
      <c r="C23" s="326"/>
      <c r="D23" s="317"/>
      <c r="E23" s="326"/>
      <c r="F23" s="317"/>
      <c r="G23" s="326"/>
      <c r="H23" s="317"/>
      <c r="I23" s="326"/>
      <c r="J23" s="317"/>
      <c r="K23" s="306"/>
    </row>
    <row r="24" spans="1:11" ht="15.75">
      <c r="A24" s="323"/>
      <c r="B24" s="317"/>
      <c r="C24" s="328"/>
      <c r="D24" s="317"/>
      <c r="E24" s="328"/>
      <c r="F24" s="317"/>
      <c r="G24" s="328"/>
      <c r="H24" s="317"/>
      <c r="I24" s="325"/>
      <c r="J24" s="317"/>
      <c r="K24" s="306"/>
    </row>
    <row r="25" spans="1:11" ht="15.75">
      <c r="A25" s="323"/>
      <c r="B25" s="317"/>
      <c r="C25" s="326"/>
      <c r="D25" s="317"/>
      <c r="E25" s="326"/>
      <c r="F25" s="317"/>
      <c r="G25" s="326"/>
      <c r="H25" s="317"/>
      <c r="I25" s="326"/>
      <c r="J25" s="317"/>
      <c r="K25" s="306"/>
    </row>
    <row r="26" spans="1:11" ht="15.75">
      <c r="A26" s="323"/>
      <c r="B26" s="317"/>
      <c r="C26" s="326"/>
      <c r="D26" s="317"/>
      <c r="E26" s="326"/>
      <c r="F26" s="317"/>
      <c r="G26" s="326"/>
      <c r="H26" s="317"/>
      <c r="I26" s="326"/>
      <c r="J26" s="317"/>
      <c r="K26" s="306"/>
    </row>
    <row r="27" spans="1:11" ht="15.75">
      <c r="A27" s="323"/>
      <c r="B27" s="317"/>
      <c r="C27" s="323"/>
      <c r="D27" s="317"/>
      <c r="E27" s="323"/>
      <c r="F27" s="317"/>
      <c r="G27" s="326"/>
      <c r="H27" s="317"/>
      <c r="I27" s="326"/>
      <c r="J27" s="317"/>
      <c r="K27" s="306"/>
    </row>
    <row r="28" spans="1:11" ht="15.75">
      <c r="A28" s="320" t="s">
        <v>824</v>
      </c>
      <c r="B28" s="319">
        <f>SUM(B20:B27)</f>
        <v>189573</v>
      </c>
      <c r="C28" s="320" t="s">
        <v>824</v>
      </c>
      <c r="D28" s="319">
        <f>SUM(D20:D27)</f>
        <v>0</v>
      </c>
      <c r="E28" s="320" t="s">
        <v>824</v>
      </c>
      <c r="F28" s="388">
        <f>SUM(F20:F27)</f>
        <v>0</v>
      </c>
      <c r="G28" s="320" t="s">
        <v>824</v>
      </c>
      <c r="H28" s="388">
        <f>SUM(H20:H27)</f>
        <v>0</v>
      </c>
      <c r="I28" s="320" t="s">
        <v>824</v>
      </c>
      <c r="J28" s="319">
        <f>SUM(J20:J27)</f>
        <v>27308</v>
      </c>
      <c r="K28" s="319">
        <f>SUM(B28+D28+F28+H28+J28)</f>
        <v>216881</v>
      </c>
    </row>
    <row r="29" spans="1:12" ht="15.75">
      <c r="A29" s="320" t="s">
        <v>968</v>
      </c>
      <c r="B29" s="319">
        <f>SUM(B18-B28)</f>
        <v>1601861</v>
      </c>
      <c r="C29" s="320" t="s">
        <v>968</v>
      </c>
      <c r="D29" s="319">
        <f>SUM(D18-D28)</f>
        <v>0</v>
      </c>
      <c r="E29" s="320" t="s">
        <v>968</v>
      </c>
      <c r="F29" s="319">
        <f>SUM(F18-F28)</f>
        <v>11423</v>
      </c>
      <c r="G29" s="320" t="s">
        <v>968</v>
      </c>
      <c r="H29" s="319">
        <f>SUM(H18-H28)</f>
        <v>761449</v>
      </c>
      <c r="I29" s="320" t="s">
        <v>968</v>
      </c>
      <c r="J29" s="319">
        <f>SUM(J18-J28)</f>
        <v>23060</v>
      </c>
      <c r="K29" s="329">
        <f>SUM(B29+D29+F29+H29+J29)</f>
        <v>2397793</v>
      </c>
      <c r="L29" s="33" t="s">
        <v>1050</v>
      </c>
    </row>
    <row r="30" spans="1:12" ht="15.75">
      <c r="A30" s="320"/>
      <c r="B30" s="352">
        <f>IF(B29&lt;0,"See Tab B","")</f>
      </c>
      <c r="C30" s="320"/>
      <c r="D30" s="352">
        <f>IF(D29&lt;0,"See Tab B","")</f>
      </c>
      <c r="E30" s="320"/>
      <c r="F30" s="352">
        <f>IF(F29&lt;0,"See Tab B","")</f>
      </c>
      <c r="G30" s="177"/>
      <c r="H30" s="352">
        <f>IF(H29&lt;0,"See Tab B","")</f>
      </c>
      <c r="I30" s="177"/>
      <c r="J30" s="352">
        <f>IF(J29&lt;0,"See Tab B","")</f>
      </c>
      <c r="K30" s="329">
        <f>SUM(K7+K17-K28)</f>
        <v>2397793</v>
      </c>
      <c r="L30" s="33" t="s">
        <v>1050</v>
      </c>
    </row>
    <row r="31" spans="1:11" ht="15.75">
      <c r="A31" s="177"/>
      <c r="B31" s="182"/>
      <c r="C31" s="177"/>
      <c r="D31" s="306"/>
      <c r="E31" s="177"/>
      <c r="F31" s="177"/>
      <c r="G31" s="44" t="s">
        <v>1052</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827</v>
      </c>
      <c r="F33" s="285">
        <v>16</v>
      </c>
      <c r="G33" s="177"/>
      <c r="H33" s="177"/>
      <c r="I33" s="177"/>
      <c r="J33" s="177"/>
      <c r="K33" s="177"/>
    </row>
    <row r="34" ht="15.75">
      <c r="B34" s="330"/>
    </row>
    <row r="35" ht="15.75">
      <c r="B35" s="330"/>
    </row>
    <row r="36" ht="15.75">
      <c r="B36" s="330"/>
    </row>
    <row r="37" ht="15.75">
      <c r="B37" s="330"/>
    </row>
    <row r="38" ht="15.75">
      <c r="B38" s="330"/>
    </row>
    <row r="39" ht="15.75">
      <c r="B39" s="330"/>
    </row>
    <row r="40" ht="15.75">
      <c r="B40" s="330"/>
    </row>
    <row r="41" ht="15.75">
      <c r="B41" s="330"/>
    </row>
  </sheetData>
  <sheetProtection/>
  <mergeCells count="5">
    <mergeCell ref="I5:J5"/>
    <mergeCell ref="A5:B5"/>
    <mergeCell ref="C5:D5"/>
    <mergeCell ref="E5:F5"/>
    <mergeCell ref="G5:H5"/>
  </mergeCells>
  <printOptions horizontalCentered="1"/>
  <pageMargins left="0.41" right="0.38" top="0.83" bottom="0.56" header="0.5" footer="0.5"/>
  <pageSetup blackAndWhite="1" fitToHeight="1" fitToWidth="1" horizontalDpi="600" verticalDpi="600" orientation="landscape" scale="92"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G15" sqref="G15:H15"/>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3.296875" style="33" customWidth="1"/>
    <col min="8" max="8" width="7.3984375" style="33" customWidth="1"/>
    <col min="9" max="9" width="11.59765625" style="33" customWidth="1"/>
    <col min="10" max="11" width="8.8984375" style="33" customWidth="1"/>
    <col min="12" max="12" width="2.69921875" style="33" customWidth="1"/>
    <col min="13" max="13" width="0.59375" style="33" customWidth="1"/>
    <col min="14" max="16384" width="8.8984375" style="33" customWidth="1"/>
  </cols>
  <sheetData>
    <row r="1" spans="1:11" ht="15.75">
      <c r="A1" s="178" t="str">
        <f>inputPrYr!$D$2</f>
        <v>City of Paola</v>
      </c>
      <c r="B1" s="306"/>
      <c r="C1" s="177"/>
      <c r="D1" s="177"/>
      <c r="E1" s="177"/>
      <c r="F1" s="179" t="s">
        <v>969</v>
      </c>
      <c r="G1" s="177"/>
      <c r="H1" s="177"/>
      <c r="I1" s="177"/>
      <c r="J1" s="177"/>
      <c r="K1" s="177">
        <f>inputPrYr!$C$5</f>
        <v>2012</v>
      </c>
    </row>
    <row r="2" spans="1:11" ht="15.75">
      <c r="A2" s="177"/>
      <c r="B2" s="177"/>
      <c r="C2" s="177"/>
      <c r="D2" s="177"/>
      <c r="E2" s="177"/>
      <c r="F2" s="307" t="str">
        <f>CONCATENATE("(Only the actual budget year for ",K1-2," is to be shown)")</f>
        <v>(Only the actual budget year for 2010 is to be shown)</v>
      </c>
      <c r="G2" s="177"/>
      <c r="H2" s="177"/>
      <c r="I2" s="177"/>
      <c r="J2" s="177"/>
      <c r="K2" s="177"/>
    </row>
    <row r="3" spans="1:11" ht="15.75">
      <c r="A3" s="177" t="s">
        <v>1012</v>
      </c>
      <c r="B3" s="177"/>
      <c r="C3" s="177"/>
      <c r="D3" s="177"/>
      <c r="E3" s="177"/>
      <c r="F3" s="306"/>
      <c r="G3" s="177"/>
      <c r="H3" s="177"/>
      <c r="I3" s="177"/>
      <c r="J3" s="177"/>
      <c r="K3" s="177"/>
    </row>
    <row r="4" spans="1:11" ht="15.75">
      <c r="A4" s="177" t="s">
        <v>962</v>
      </c>
      <c r="B4" s="177"/>
      <c r="C4" s="177" t="s">
        <v>963</v>
      </c>
      <c r="D4" s="177"/>
      <c r="E4" s="177" t="s">
        <v>964</v>
      </c>
      <c r="F4" s="306"/>
      <c r="G4" s="177" t="s">
        <v>965</v>
      </c>
      <c r="H4" s="177"/>
      <c r="I4" s="177" t="s">
        <v>966</v>
      </c>
      <c r="J4" s="177"/>
      <c r="K4" s="177"/>
    </row>
    <row r="5" spans="1:11" s="667" customFormat="1" ht="21.75" customHeight="1">
      <c r="A5" s="743" t="str">
        <f>IF(inputPrYr!B63&gt;" ",(inputPrYr!B63)," ")</f>
        <v>Cemetery Benefit Fund</v>
      </c>
      <c r="B5" s="744"/>
      <c r="C5" s="743" t="str">
        <f>IF(inputPrYr!B64&gt;" ",(inputPrYr!B64)," ")</f>
        <v>Special Grants</v>
      </c>
      <c r="D5" s="744"/>
      <c r="E5" s="743" t="str">
        <f>IF(inputPrYr!B65&gt;" ",(inputPrYr!B65)," ")</f>
        <v>Equipment Reserve MERF</v>
      </c>
      <c r="F5" s="744"/>
      <c r="G5" s="743" t="str">
        <f>IF(inputPrYr!B66&gt;" ",(inputPrYr!B66)," ")</f>
        <v>Capital Improvements CIP</v>
      </c>
      <c r="H5" s="744"/>
      <c r="I5" s="743" t="str">
        <f>IF(inputPrYr!B67&gt;" ",(inputPrYr!B67)," ")</f>
        <v>Drug Tax Fund</v>
      </c>
      <c r="J5" s="744"/>
      <c r="K5" s="666"/>
    </row>
    <row r="6" spans="1:11" ht="15.75">
      <c r="A6" s="310" t="s">
        <v>967</v>
      </c>
      <c r="B6" s="311"/>
      <c r="C6" s="312" t="s">
        <v>967</v>
      </c>
      <c r="D6" s="313"/>
      <c r="E6" s="312" t="s">
        <v>967</v>
      </c>
      <c r="F6" s="309"/>
      <c r="G6" s="312" t="s">
        <v>967</v>
      </c>
      <c r="H6" s="314"/>
      <c r="I6" s="312" t="s">
        <v>967</v>
      </c>
      <c r="J6" s="177"/>
      <c r="K6" s="315" t="s">
        <v>783</v>
      </c>
    </row>
    <row r="7" spans="1:11" ht="15.75">
      <c r="A7" s="316" t="s">
        <v>56</v>
      </c>
      <c r="B7" s="317">
        <v>35811</v>
      </c>
      <c r="C7" s="318" t="s">
        <v>56</v>
      </c>
      <c r="D7" s="317">
        <v>10852</v>
      </c>
      <c r="E7" s="318" t="s">
        <v>56</v>
      </c>
      <c r="F7" s="317">
        <v>151712</v>
      </c>
      <c r="G7" s="318" t="s">
        <v>56</v>
      </c>
      <c r="H7" s="317">
        <v>1510560</v>
      </c>
      <c r="I7" s="318" t="s">
        <v>56</v>
      </c>
      <c r="J7" s="317">
        <v>1807</v>
      </c>
      <c r="K7" s="319">
        <f>SUM(B7+D7+F7+H7+J7)</f>
        <v>1710742</v>
      </c>
    </row>
    <row r="8" spans="1:11" ht="15.75">
      <c r="A8" s="320" t="s">
        <v>934</v>
      </c>
      <c r="B8" s="321"/>
      <c r="C8" s="320" t="s">
        <v>934</v>
      </c>
      <c r="D8" s="322"/>
      <c r="E8" s="320" t="s">
        <v>934</v>
      </c>
      <c r="F8" s="306"/>
      <c r="G8" s="320" t="s">
        <v>934</v>
      </c>
      <c r="H8" s="177"/>
      <c r="I8" s="320" t="s">
        <v>934</v>
      </c>
      <c r="J8" s="177"/>
      <c r="K8" s="306"/>
    </row>
    <row r="9" spans="1:11" ht="15.75">
      <c r="A9" s="668" t="s">
        <v>861</v>
      </c>
      <c r="B9" s="669">
        <v>285</v>
      </c>
      <c r="C9" s="668" t="s">
        <v>861</v>
      </c>
      <c r="D9" s="669">
        <v>152</v>
      </c>
      <c r="E9" s="668" t="s">
        <v>572</v>
      </c>
      <c r="F9" s="669">
        <v>115000</v>
      </c>
      <c r="G9" s="668" t="s">
        <v>861</v>
      </c>
      <c r="H9" s="669">
        <v>9433</v>
      </c>
      <c r="I9" s="668" t="s">
        <v>861</v>
      </c>
      <c r="J9" s="669">
        <v>18</v>
      </c>
      <c r="K9" s="306"/>
    </row>
    <row r="10" spans="1:11" ht="15.75">
      <c r="A10" s="668" t="s">
        <v>507</v>
      </c>
      <c r="B10" s="669">
        <v>5881</v>
      </c>
      <c r="C10" s="668" t="s">
        <v>573</v>
      </c>
      <c r="D10" s="669">
        <v>80501</v>
      </c>
      <c r="E10" s="668" t="s">
        <v>49</v>
      </c>
      <c r="F10" s="669">
        <v>17590</v>
      </c>
      <c r="G10" s="668" t="s">
        <v>731</v>
      </c>
      <c r="H10" s="669">
        <v>942125</v>
      </c>
      <c r="I10" s="668" t="s">
        <v>574</v>
      </c>
      <c r="J10" s="669">
        <v>4312</v>
      </c>
      <c r="K10" s="306"/>
    </row>
    <row r="11" spans="1:11" ht="15.75">
      <c r="A11" s="668"/>
      <c r="B11" s="669"/>
      <c r="C11" s="671"/>
      <c r="D11" s="669"/>
      <c r="E11" s="671"/>
      <c r="F11" s="669"/>
      <c r="G11" s="670" t="s">
        <v>507</v>
      </c>
      <c r="H11" s="669">
        <v>3750</v>
      </c>
      <c r="I11" s="672"/>
      <c r="J11" s="669"/>
      <c r="K11" s="306"/>
    </row>
    <row r="12" spans="1:11" ht="15.75">
      <c r="A12" s="668"/>
      <c r="B12" s="669"/>
      <c r="C12" s="668"/>
      <c r="D12" s="669"/>
      <c r="E12" s="670"/>
      <c r="F12" s="669"/>
      <c r="G12" s="674" t="s">
        <v>579</v>
      </c>
      <c r="H12" s="669">
        <v>46200</v>
      </c>
      <c r="I12" s="670"/>
      <c r="J12" s="669"/>
      <c r="K12" s="306"/>
    </row>
    <row r="13" spans="1:11" ht="15.75">
      <c r="A13" s="673"/>
      <c r="B13" s="669"/>
      <c r="C13" s="674"/>
      <c r="D13" s="669"/>
      <c r="E13" s="674"/>
      <c r="F13" s="669"/>
      <c r="G13" s="670" t="s">
        <v>49</v>
      </c>
      <c r="H13" s="669">
        <v>775</v>
      </c>
      <c r="I13" s="672"/>
      <c r="J13" s="669"/>
      <c r="K13" s="306"/>
    </row>
    <row r="14" spans="1:11" ht="15.75">
      <c r="A14" s="668"/>
      <c r="B14" s="669"/>
      <c r="C14" s="670"/>
      <c r="D14" s="669"/>
      <c r="E14" s="670"/>
      <c r="F14" s="669"/>
      <c r="G14" s="670" t="s">
        <v>575</v>
      </c>
      <c r="H14" s="669">
        <v>0</v>
      </c>
      <c r="I14" s="670"/>
      <c r="J14" s="669"/>
      <c r="K14" s="306"/>
    </row>
    <row r="15" spans="1:11" ht="15.75">
      <c r="A15" s="668"/>
      <c r="B15" s="669"/>
      <c r="C15" s="670"/>
      <c r="D15" s="669"/>
      <c r="E15" s="670"/>
      <c r="F15" s="669"/>
      <c r="G15" s="670"/>
      <c r="H15" s="669"/>
      <c r="I15" s="670"/>
      <c r="J15" s="669"/>
      <c r="K15" s="306"/>
    </row>
    <row r="16" spans="1:11" ht="15.75">
      <c r="A16" s="668"/>
      <c r="B16" s="669"/>
      <c r="C16" s="668"/>
      <c r="D16" s="669"/>
      <c r="E16" s="668"/>
      <c r="F16" s="669"/>
      <c r="G16" s="670"/>
      <c r="H16" s="669"/>
      <c r="I16" s="668"/>
      <c r="J16" s="669"/>
      <c r="K16" s="306"/>
    </row>
    <row r="17" spans="1:11" ht="15.75">
      <c r="A17" s="320" t="s">
        <v>817</v>
      </c>
      <c r="B17" s="319">
        <f>SUM(B9:B16)</f>
        <v>6166</v>
      </c>
      <c r="C17" s="320" t="s">
        <v>817</v>
      </c>
      <c r="D17" s="319">
        <f>SUM(D9:D16)</f>
        <v>80653</v>
      </c>
      <c r="E17" s="320" t="s">
        <v>817</v>
      </c>
      <c r="F17" s="388">
        <f>SUM(F9:F16)</f>
        <v>132590</v>
      </c>
      <c r="G17" s="320" t="s">
        <v>817</v>
      </c>
      <c r="H17" s="319">
        <f>SUM(H9:H16)</f>
        <v>1002283</v>
      </c>
      <c r="I17" s="320" t="s">
        <v>817</v>
      </c>
      <c r="J17" s="319">
        <f>SUM(J9:J16)</f>
        <v>4330</v>
      </c>
      <c r="K17" s="319">
        <f>SUM(B17+D17+F17+H17+J17)</f>
        <v>1226022</v>
      </c>
    </row>
    <row r="18" spans="1:11" ht="15.75">
      <c r="A18" s="320" t="s">
        <v>818</v>
      </c>
      <c r="B18" s="319">
        <f>SUM(B7+B17)</f>
        <v>41977</v>
      </c>
      <c r="C18" s="320" t="s">
        <v>818</v>
      </c>
      <c r="D18" s="319">
        <f>SUM(D7+D17)</f>
        <v>91505</v>
      </c>
      <c r="E18" s="320" t="s">
        <v>818</v>
      </c>
      <c r="F18" s="319">
        <f>SUM(F7+F17)</f>
        <v>284302</v>
      </c>
      <c r="G18" s="320" t="s">
        <v>818</v>
      </c>
      <c r="H18" s="319">
        <f>SUM(H7+H17)</f>
        <v>2512843</v>
      </c>
      <c r="I18" s="320" t="s">
        <v>818</v>
      </c>
      <c r="J18" s="319">
        <f>SUM(J7+J17)</f>
        <v>6137</v>
      </c>
      <c r="K18" s="319">
        <f>SUM(B18+D18+F18+H18+J18)</f>
        <v>2936764</v>
      </c>
    </row>
    <row r="19" spans="1:11" ht="15.75">
      <c r="A19" s="320" t="s">
        <v>820</v>
      </c>
      <c r="B19" s="321"/>
      <c r="C19" s="320" t="s">
        <v>820</v>
      </c>
      <c r="D19" s="322"/>
      <c r="E19" s="320" t="s">
        <v>820</v>
      </c>
      <c r="F19" s="306"/>
      <c r="G19" s="320" t="s">
        <v>820</v>
      </c>
      <c r="H19" s="177"/>
      <c r="I19" s="320" t="s">
        <v>820</v>
      </c>
      <c r="J19" s="177"/>
      <c r="K19" s="306"/>
    </row>
    <row r="20" spans="1:11" ht="15.75">
      <c r="A20" s="668" t="s">
        <v>576</v>
      </c>
      <c r="B20" s="669">
        <v>5450</v>
      </c>
      <c r="C20" s="670" t="s">
        <v>517</v>
      </c>
      <c r="D20" s="669">
        <v>83026</v>
      </c>
      <c r="E20" s="670" t="s">
        <v>577</v>
      </c>
      <c r="F20" s="669">
        <v>220822</v>
      </c>
      <c r="G20" s="670" t="s">
        <v>578</v>
      </c>
      <c r="H20" s="669">
        <v>28391</v>
      </c>
      <c r="I20" s="670" t="s">
        <v>577</v>
      </c>
      <c r="J20" s="669">
        <v>1425</v>
      </c>
      <c r="K20" s="306"/>
    </row>
    <row r="21" spans="1:11" ht="15.75">
      <c r="A21" s="668"/>
      <c r="B21" s="669"/>
      <c r="C21" s="670"/>
      <c r="D21" s="669"/>
      <c r="E21" s="670"/>
      <c r="F21" s="669"/>
      <c r="G21" s="670" t="s">
        <v>576</v>
      </c>
      <c r="H21" s="669">
        <v>361183</v>
      </c>
      <c r="I21" s="670"/>
      <c r="J21" s="669"/>
      <c r="K21" s="306"/>
    </row>
    <row r="22" spans="1:11" ht="15.75">
      <c r="A22" s="668"/>
      <c r="B22" s="669"/>
      <c r="C22" s="674"/>
      <c r="D22" s="669"/>
      <c r="E22" s="674"/>
      <c r="F22" s="669"/>
      <c r="G22" s="674" t="s">
        <v>566</v>
      </c>
      <c r="H22" s="669">
        <v>28933</v>
      </c>
      <c r="I22" s="672"/>
      <c r="J22" s="669"/>
      <c r="K22" s="306"/>
    </row>
    <row r="23" spans="1:11" ht="15.75">
      <c r="A23" s="668"/>
      <c r="B23" s="669"/>
      <c r="C23" s="670"/>
      <c r="D23" s="669"/>
      <c r="E23" s="670"/>
      <c r="F23" s="669"/>
      <c r="G23" s="670" t="s">
        <v>1</v>
      </c>
      <c r="H23" s="669">
        <v>740079</v>
      </c>
      <c r="I23" s="670"/>
      <c r="J23" s="669"/>
      <c r="K23" s="306"/>
    </row>
    <row r="24" spans="1:11" ht="15.75">
      <c r="A24" s="668"/>
      <c r="B24" s="669"/>
      <c r="C24" s="674"/>
      <c r="D24" s="669"/>
      <c r="E24" s="674"/>
      <c r="F24" s="669"/>
      <c r="G24" s="674" t="s">
        <v>0</v>
      </c>
      <c r="H24" s="669">
        <v>40000</v>
      </c>
      <c r="I24" s="672"/>
      <c r="J24" s="669"/>
      <c r="K24" s="306"/>
    </row>
    <row r="25" spans="1:11" ht="15.75">
      <c r="A25" s="668"/>
      <c r="B25" s="669"/>
      <c r="C25" s="670"/>
      <c r="D25" s="669"/>
      <c r="E25" s="670"/>
      <c r="F25" s="669"/>
      <c r="G25" s="670"/>
      <c r="H25" s="669"/>
      <c r="I25" s="670"/>
      <c r="J25" s="669"/>
      <c r="K25" s="306"/>
    </row>
    <row r="26" spans="1:11" ht="15.75">
      <c r="A26" s="323"/>
      <c r="B26" s="317"/>
      <c r="C26" s="326"/>
      <c r="D26" s="317"/>
      <c r="E26" s="326"/>
      <c r="F26" s="317"/>
      <c r="G26" s="326"/>
      <c r="H26" s="317"/>
      <c r="I26" s="326"/>
      <c r="J26" s="317"/>
      <c r="K26" s="306"/>
    </row>
    <row r="27" spans="1:11" ht="15.75">
      <c r="A27" s="323"/>
      <c r="B27" s="317"/>
      <c r="C27" s="323"/>
      <c r="D27" s="317"/>
      <c r="E27" s="323"/>
      <c r="F27" s="317"/>
      <c r="G27" s="326"/>
      <c r="H27" s="317"/>
      <c r="I27" s="326"/>
      <c r="J27" s="317"/>
      <c r="K27" s="306"/>
    </row>
    <row r="28" spans="1:11" ht="15.75">
      <c r="A28" s="320" t="s">
        <v>824</v>
      </c>
      <c r="B28" s="319">
        <f>SUM(B20:B27)</f>
        <v>5450</v>
      </c>
      <c r="C28" s="320" t="s">
        <v>824</v>
      </c>
      <c r="D28" s="319">
        <f>SUM(D20:D27)</f>
        <v>83026</v>
      </c>
      <c r="E28" s="320" t="s">
        <v>824</v>
      </c>
      <c r="F28" s="388">
        <f>SUM(F20:F27)</f>
        <v>220822</v>
      </c>
      <c r="G28" s="320" t="s">
        <v>824</v>
      </c>
      <c r="H28" s="388">
        <f>SUM(H20:H27)</f>
        <v>1198586</v>
      </c>
      <c r="I28" s="320" t="s">
        <v>824</v>
      </c>
      <c r="J28" s="319">
        <f>SUM(J20:J27)</f>
        <v>1425</v>
      </c>
      <c r="K28" s="319">
        <f>SUM(B28+D28+F28+H28+J28)</f>
        <v>1509309</v>
      </c>
    </row>
    <row r="29" spans="1:12" ht="15.75">
      <c r="A29" s="320" t="s">
        <v>968</v>
      </c>
      <c r="B29" s="319">
        <f>SUM(B18-B28)</f>
        <v>36527</v>
      </c>
      <c r="C29" s="320" t="s">
        <v>968</v>
      </c>
      <c r="D29" s="319">
        <f>SUM(D18-D28)</f>
        <v>8479</v>
      </c>
      <c r="E29" s="320" t="s">
        <v>968</v>
      </c>
      <c r="F29" s="319">
        <f>SUM(F18-F28)</f>
        <v>63480</v>
      </c>
      <c r="G29" s="320" t="s">
        <v>968</v>
      </c>
      <c r="H29" s="319">
        <f>SUM(H18-H28)</f>
        <v>1314257</v>
      </c>
      <c r="I29" s="320" t="s">
        <v>968</v>
      </c>
      <c r="J29" s="319">
        <f>SUM(J18-J28)</f>
        <v>4712</v>
      </c>
      <c r="K29" s="329">
        <f>SUM(B29+D29+F29+H29+J29)</f>
        <v>1427455</v>
      </c>
      <c r="L29" s="33" t="s">
        <v>1050</v>
      </c>
    </row>
    <row r="30" spans="1:12" ht="15.75">
      <c r="A30" s="320"/>
      <c r="B30" s="352">
        <f>IF(B29&lt;0,"See Tab B","")</f>
      </c>
      <c r="C30" s="320"/>
      <c r="D30" s="352">
        <f>IF(D29&lt;0,"See Tab B","")</f>
      </c>
      <c r="E30" s="320"/>
      <c r="F30" s="352">
        <f>IF(F29&lt;0,"See Tab B","")</f>
      </c>
      <c r="G30" s="177"/>
      <c r="H30" s="352">
        <f>IF(H29&lt;0,"See Tab B","")</f>
      </c>
      <c r="I30" s="177"/>
      <c r="J30" s="352">
        <f>IF(J29&lt;0,"See Tab B","")</f>
      </c>
      <c r="K30" s="329">
        <f>SUM(K7+K17-K28)</f>
        <v>1427455</v>
      </c>
      <c r="L30" s="33" t="s">
        <v>1050</v>
      </c>
    </row>
    <row r="31" spans="1:11" ht="15.75">
      <c r="A31" s="177"/>
      <c r="B31" s="182"/>
      <c r="C31" s="177"/>
      <c r="D31" s="306"/>
      <c r="E31" s="177"/>
      <c r="F31" s="177"/>
      <c r="G31" s="44" t="s">
        <v>1052</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827</v>
      </c>
      <c r="F33" s="285">
        <v>17</v>
      </c>
      <c r="G33" s="177"/>
      <c r="H33" s="177"/>
      <c r="I33" s="177"/>
      <c r="J33" s="177"/>
      <c r="K33" s="177"/>
    </row>
    <row r="34" ht="15.75">
      <c r="B34" s="330"/>
    </row>
    <row r="35" ht="15.75">
      <c r="B35" s="330"/>
    </row>
    <row r="36" ht="15.75">
      <c r="B36" s="330"/>
    </row>
    <row r="37" ht="15.75">
      <c r="B37" s="330"/>
    </row>
    <row r="38" ht="15.75">
      <c r="B38" s="330"/>
    </row>
    <row r="39" ht="15.75">
      <c r="B39" s="330"/>
    </row>
    <row r="40" ht="15.75">
      <c r="B40" s="330"/>
    </row>
    <row r="41" ht="15.75">
      <c r="B41" s="330"/>
    </row>
  </sheetData>
  <sheetProtection/>
  <mergeCells count="5">
    <mergeCell ref="I5:J5"/>
    <mergeCell ref="A5:B5"/>
    <mergeCell ref="C5:D5"/>
    <mergeCell ref="E5:F5"/>
    <mergeCell ref="G5:H5"/>
  </mergeCells>
  <printOptions horizontalCentered="1"/>
  <pageMargins left="0.51" right="0.42" top="0.88" bottom="1" header="0.5" footer="0.5"/>
  <pageSetup blackAndWhite="1" fitToHeight="1" fitToWidth="1" horizontalDpi="600" verticalDpi="600" orientation="landscape" scale="90"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Paola</v>
      </c>
      <c r="B1" s="306"/>
      <c r="C1" s="177"/>
      <c r="D1" s="177"/>
      <c r="E1" s="177"/>
      <c r="F1" s="179" t="s">
        <v>970</v>
      </c>
      <c r="G1" s="177"/>
      <c r="H1" s="177"/>
      <c r="I1" s="177"/>
      <c r="J1" s="177"/>
      <c r="K1" s="177">
        <f>inputPrYr!$C$5</f>
        <v>2012</v>
      </c>
    </row>
    <row r="2" spans="1:11" ht="15.75">
      <c r="A2" s="177"/>
      <c r="B2" s="177"/>
      <c r="C2" s="177"/>
      <c r="D2" s="177"/>
      <c r="E2" s="177"/>
      <c r="F2" s="307" t="str">
        <f>CONCATENATE("(Only the actual budget year for ",K1-2," is to be shown)")</f>
        <v>(Only the actual budget year for 2010 is to be shown)</v>
      </c>
      <c r="G2" s="177"/>
      <c r="H2" s="177"/>
      <c r="I2" s="177"/>
      <c r="J2" s="177"/>
      <c r="K2" s="177"/>
    </row>
    <row r="3" spans="1:11" ht="15.75">
      <c r="A3" s="177" t="s">
        <v>1010</v>
      </c>
      <c r="B3" s="177"/>
      <c r="C3" s="177"/>
      <c r="D3" s="177"/>
      <c r="E3" s="177"/>
      <c r="F3" s="306"/>
      <c r="G3" s="177"/>
      <c r="H3" s="177"/>
      <c r="I3" s="177"/>
      <c r="J3" s="177"/>
      <c r="K3" s="177"/>
    </row>
    <row r="4" spans="1:11" ht="15.75">
      <c r="A4" s="177" t="s">
        <v>962</v>
      </c>
      <c r="B4" s="177"/>
      <c r="C4" s="177" t="s">
        <v>963</v>
      </c>
      <c r="D4" s="177"/>
      <c r="E4" s="177" t="s">
        <v>964</v>
      </c>
      <c r="F4" s="306"/>
      <c r="G4" s="177" t="s">
        <v>965</v>
      </c>
      <c r="H4" s="177"/>
      <c r="I4" s="177" t="s">
        <v>966</v>
      </c>
      <c r="J4" s="177"/>
      <c r="K4" s="177"/>
    </row>
    <row r="5" spans="1:11" ht="15.75">
      <c r="A5" s="745" t="str">
        <f>IF(inputPrYr!B69&gt;" ",(inputPrYr!B69)," ")</f>
        <v> </v>
      </c>
      <c r="B5" s="746"/>
      <c r="C5" s="745" t="str">
        <f>IF(inputPrYr!B70&gt;" ",(inputPrYr!B70)," ")</f>
        <v> </v>
      </c>
      <c r="D5" s="746"/>
      <c r="E5" s="745" t="str">
        <f>IF(inputPrYr!B71&gt;" ",(inputPrYr!B71)," ")</f>
        <v> </v>
      </c>
      <c r="F5" s="746"/>
      <c r="G5" s="745" t="str">
        <f>IF(inputPrYr!B72&gt;" ",(inputPrYr!B72)," ")</f>
        <v> </v>
      </c>
      <c r="H5" s="746"/>
      <c r="I5" s="745" t="str">
        <f>IF(inputPrYr!B73&gt;" ",(inputPrYr!B73)," ")</f>
        <v> </v>
      </c>
      <c r="J5" s="746"/>
      <c r="K5" s="127"/>
    </row>
    <row r="6" spans="1:11" ht="15.75">
      <c r="A6" s="310" t="s">
        <v>967</v>
      </c>
      <c r="B6" s="311"/>
      <c r="C6" s="312" t="s">
        <v>967</v>
      </c>
      <c r="D6" s="313"/>
      <c r="E6" s="312" t="s">
        <v>967</v>
      </c>
      <c r="F6" s="309"/>
      <c r="G6" s="312" t="s">
        <v>967</v>
      </c>
      <c r="H6" s="314"/>
      <c r="I6" s="312" t="s">
        <v>967</v>
      </c>
      <c r="J6" s="177"/>
      <c r="K6" s="315" t="s">
        <v>783</v>
      </c>
    </row>
    <row r="7" spans="1:11" ht="15.75">
      <c r="A7" s="316" t="s">
        <v>56</v>
      </c>
      <c r="B7" s="317"/>
      <c r="C7" s="318" t="s">
        <v>56</v>
      </c>
      <c r="D7" s="317"/>
      <c r="E7" s="318" t="s">
        <v>56</v>
      </c>
      <c r="F7" s="317"/>
      <c r="G7" s="318" t="s">
        <v>56</v>
      </c>
      <c r="H7" s="317"/>
      <c r="I7" s="318" t="s">
        <v>56</v>
      </c>
      <c r="J7" s="317"/>
      <c r="K7" s="319">
        <f>SUM(B7+D7+F7+H7+J7)</f>
        <v>0</v>
      </c>
    </row>
    <row r="8" spans="1:11" ht="15.75">
      <c r="A8" s="320" t="s">
        <v>934</v>
      </c>
      <c r="B8" s="321"/>
      <c r="C8" s="320" t="s">
        <v>934</v>
      </c>
      <c r="D8" s="322"/>
      <c r="E8" s="320" t="s">
        <v>934</v>
      </c>
      <c r="F8" s="306"/>
      <c r="G8" s="320" t="s">
        <v>934</v>
      </c>
      <c r="H8" s="177"/>
      <c r="I8" s="320" t="s">
        <v>934</v>
      </c>
      <c r="J8" s="177"/>
      <c r="K8" s="306"/>
    </row>
    <row r="9" spans="1:11" ht="15.75">
      <c r="A9" s="323"/>
      <c r="B9" s="317"/>
      <c r="C9" s="323"/>
      <c r="D9" s="317"/>
      <c r="E9" s="323"/>
      <c r="F9" s="317"/>
      <c r="G9" s="323"/>
      <c r="H9" s="317"/>
      <c r="I9" s="323"/>
      <c r="J9" s="317"/>
      <c r="K9" s="306"/>
    </row>
    <row r="10" spans="1:11" ht="15.75">
      <c r="A10" s="323"/>
      <c r="B10" s="317"/>
      <c r="C10" s="323"/>
      <c r="D10" s="317"/>
      <c r="E10" s="323"/>
      <c r="F10" s="317"/>
      <c r="G10" s="323"/>
      <c r="H10" s="317"/>
      <c r="I10" s="323"/>
      <c r="J10" s="317"/>
      <c r="K10" s="306"/>
    </row>
    <row r="11" spans="1:11" ht="15.75">
      <c r="A11" s="323"/>
      <c r="B11" s="317"/>
      <c r="C11" s="324"/>
      <c r="D11" s="317"/>
      <c r="E11" s="324"/>
      <c r="F11" s="317"/>
      <c r="G11" s="324"/>
      <c r="H11" s="317"/>
      <c r="I11" s="325"/>
      <c r="J11" s="317"/>
      <c r="K11" s="306"/>
    </row>
    <row r="12" spans="1:11" ht="15.75">
      <c r="A12" s="323"/>
      <c r="B12" s="317"/>
      <c r="C12" s="323"/>
      <c r="D12" s="317"/>
      <c r="E12" s="326"/>
      <c r="F12" s="317"/>
      <c r="G12" s="326"/>
      <c r="H12" s="317"/>
      <c r="I12" s="326"/>
      <c r="J12" s="317"/>
      <c r="K12" s="306"/>
    </row>
    <row r="13" spans="1:11" ht="15.75">
      <c r="A13" s="327"/>
      <c r="B13" s="317"/>
      <c r="C13" s="328"/>
      <c r="D13" s="317"/>
      <c r="E13" s="328"/>
      <c r="F13" s="317"/>
      <c r="G13" s="328"/>
      <c r="H13" s="317"/>
      <c r="I13" s="325"/>
      <c r="J13" s="317"/>
      <c r="K13" s="306"/>
    </row>
    <row r="14" spans="1:11" ht="15.75">
      <c r="A14" s="323"/>
      <c r="B14" s="317"/>
      <c r="C14" s="326"/>
      <c r="D14" s="317"/>
      <c r="E14" s="326"/>
      <c r="F14" s="317"/>
      <c r="G14" s="326"/>
      <c r="H14" s="317"/>
      <c r="I14" s="326"/>
      <c r="J14" s="317"/>
      <c r="K14" s="306"/>
    </row>
    <row r="15" spans="1:11" ht="15.75">
      <c r="A15" s="323"/>
      <c r="B15" s="317"/>
      <c r="C15" s="326"/>
      <c r="D15" s="317"/>
      <c r="E15" s="326"/>
      <c r="F15" s="317"/>
      <c r="G15" s="326"/>
      <c r="H15" s="317"/>
      <c r="I15" s="326"/>
      <c r="J15" s="317"/>
      <c r="K15" s="306"/>
    </row>
    <row r="16" spans="1:11" ht="15.75">
      <c r="A16" s="323"/>
      <c r="B16" s="317"/>
      <c r="C16" s="323"/>
      <c r="D16" s="317"/>
      <c r="E16" s="323"/>
      <c r="F16" s="317"/>
      <c r="G16" s="326"/>
      <c r="H16" s="317"/>
      <c r="I16" s="323"/>
      <c r="J16" s="317"/>
      <c r="K16" s="306"/>
    </row>
    <row r="17" spans="1:11" ht="15.75">
      <c r="A17" s="320" t="s">
        <v>817</v>
      </c>
      <c r="B17" s="319">
        <f>SUM(B9:B16)</f>
        <v>0</v>
      </c>
      <c r="C17" s="320" t="s">
        <v>817</v>
      </c>
      <c r="D17" s="319">
        <f>SUM(D9:D16)</f>
        <v>0</v>
      </c>
      <c r="E17" s="320" t="s">
        <v>817</v>
      </c>
      <c r="F17" s="388">
        <f>SUM(F9:F16)</f>
        <v>0</v>
      </c>
      <c r="G17" s="320" t="s">
        <v>817</v>
      </c>
      <c r="H17" s="319">
        <f>SUM(H9:H16)</f>
        <v>0</v>
      </c>
      <c r="I17" s="320" t="s">
        <v>817</v>
      </c>
      <c r="J17" s="319">
        <f>SUM(J9:J16)</f>
        <v>0</v>
      </c>
      <c r="K17" s="319">
        <f>SUM(B17+D17+F17+H17+J17)</f>
        <v>0</v>
      </c>
    </row>
    <row r="18" spans="1:11" ht="15.75">
      <c r="A18" s="320" t="s">
        <v>818</v>
      </c>
      <c r="B18" s="319">
        <f>SUM(B7+B17)</f>
        <v>0</v>
      </c>
      <c r="C18" s="320" t="s">
        <v>818</v>
      </c>
      <c r="D18" s="319">
        <f>SUM(D7+D17)</f>
        <v>0</v>
      </c>
      <c r="E18" s="320" t="s">
        <v>818</v>
      </c>
      <c r="F18" s="319">
        <f>SUM(F7+F17)</f>
        <v>0</v>
      </c>
      <c r="G18" s="320" t="s">
        <v>818</v>
      </c>
      <c r="H18" s="319">
        <f>SUM(H7+H17)</f>
        <v>0</v>
      </c>
      <c r="I18" s="320" t="s">
        <v>818</v>
      </c>
      <c r="J18" s="319">
        <f>SUM(J7+J17)</f>
        <v>0</v>
      </c>
      <c r="K18" s="319">
        <f>SUM(B18+D18+F18+H18+J18)</f>
        <v>0</v>
      </c>
    </row>
    <row r="19" spans="1:11" ht="15.75">
      <c r="A19" s="320" t="s">
        <v>820</v>
      </c>
      <c r="B19" s="321"/>
      <c r="C19" s="320" t="s">
        <v>820</v>
      </c>
      <c r="D19" s="322"/>
      <c r="E19" s="320" t="s">
        <v>820</v>
      </c>
      <c r="F19" s="306"/>
      <c r="G19" s="320" t="s">
        <v>820</v>
      </c>
      <c r="H19" s="177"/>
      <c r="I19" s="320" t="s">
        <v>820</v>
      </c>
      <c r="J19" s="177"/>
      <c r="K19" s="306"/>
    </row>
    <row r="20" spans="1:11" ht="15.75">
      <c r="A20" s="323"/>
      <c r="B20" s="317"/>
      <c r="C20" s="326"/>
      <c r="D20" s="317"/>
      <c r="E20" s="326"/>
      <c r="F20" s="317"/>
      <c r="G20" s="326"/>
      <c r="H20" s="317"/>
      <c r="I20" s="326"/>
      <c r="J20" s="317"/>
      <c r="K20" s="306"/>
    </row>
    <row r="21" spans="1:11" ht="15.75">
      <c r="A21" s="323"/>
      <c r="B21" s="317"/>
      <c r="C21" s="326"/>
      <c r="D21" s="317"/>
      <c r="E21" s="326"/>
      <c r="F21" s="317"/>
      <c r="G21" s="326"/>
      <c r="H21" s="317"/>
      <c r="I21" s="326"/>
      <c r="J21" s="317"/>
      <c r="K21" s="306"/>
    </row>
    <row r="22" spans="1:11" ht="15.75">
      <c r="A22" s="323"/>
      <c r="B22" s="317"/>
      <c r="C22" s="328"/>
      <c r="D22" s="317"/>
      <c r="E22" s="328"/>
      <c r="F22" s="317"/>
      <c r="G22" s="328"/>
      <c r="H22" s="317"/>
      <c r="I22" s="325"/>
      <c r="J22" s="317"/>
      <c r="K22" s="306"/>
    </row>
    <row r="23" spans="1:11" ht="15.75">
      <c r="A23" s="323"/>
      <c r="B23" s="317"/>
      <c r="C23" s="326"/>
      <c r="D23" s="317"/>
      <c r="E23" s="326"/>
      <c r="F23" s="317"/>
      <c r="G23" s="326"/>
      <c r="H23" s="317"/>
      <c r="I23" s="326"/>
      <c r="J23" s="317"/>
      <c r="K23" s="306"/>
    </row>
    <row r="24" spans="1:11" ht="15.75">
      <c r="A24" s="323"/>
      <c r="B24" s="317"/>
      <c r="C24" s="328"/>
      <c r="D24" s="317"/>
      <c r="E24" s="328"/>
      <c r="F24" s="317"/>
      <c r="G24" s="328"/>
      <c r="H24" s="317"/>
      <c r="I24" s="325"/>
      <c r="J24" s="317"/>
      <c r="K24" s="306"/>
    </row>
    <row r="25" spans="1:11" ht="15.75">
      <c r="A25" s="323"/>
      <c r="B25" s="317"/>
      <c r="C25" s="326"/>
      <c r="D25" s="317"/>
      <c r="E25" s="326"/>
      <c r="F25" s="317"/>
      <c r="G25" s="326"/>
      <c r="H25" s="317"/>
      <c r="I25" s="326"/>
      <c r="J25" s="317"/>
      <c r="K25" s="306"/>
    </row>
    <row r="26" spans="1:11" ht="15.75">
      <c r="A26" s="323"/>
      <c r="B26" s="317"/>
      <c r="C26" s="326"/>
      <c r="D26" s="317"/>
      <c r="E26" s="326"/>
      <c r="F26" s="317"/>
      <c r="G26" s="326"/>
      <c r="H26" s="317"/>
      <c r="I26" s="326"/>
      <c r="J26" s="317"/>
      <c r="K26" s="306"/>
    </row>
    <row r="27" spans="1:11" ht="15.75">
      <c r="A27" s="323"/>
      <c r="B27" s="317"/>
      <c r="C27" s="323"/>
      <c r="D27" s="317"/>
      <c r="E27" s="323"/>
      <c r="F27" s="317"/>
      <c r="G27" s="326"/>
      <c r="H27" s="317"/>
      <c r="I27" s="326"/>
      <c r="J27" s="317"/>
      <c r="K27" s="306"/>
    </row>
    <row r="28" spans="1:11" ht="15.75">
      <c r="A28" s="320" t="s">
        <v>824</v>
      </c>
      <c r="B28" s="319">
        <f>SUM(B20:B27)</f>
        <v>0</v>
      </c>
      <c r="C28" s="320" t="s">
        <v>824</v>
      </c>
      <c r="D28" s="319">
        <f>SUM(D20:D27)</f>
        <v>0</v>
      </c>
      <c r="E28" s="320" t="s">
        <v>824</v>
      </c>
      <c r="F28" s="388">
        <f>SUM(F20:F27)</f>
        <v>0</v>
      </c>
      <c r="G28" s="320" t="s">
        <v>824</v>
      </c>
      <c r="H28" s="388">
        <f>SUM(H20:H27)</f>
        <v>0</v>
      </c>
      <c r="I28" s="320" t="s">
        <v>824</v>
      </c>
      <c r="J28" s="319">
        <f>SUM(J20:J27)</f>
        <v>0</v>
      </c>
      <c r="K28" s="319">
        <f>SUM(B28+D28+F28+H28+J28)</f>
        <v>0</v>
      </c>
    </row>
    <row r="29" spans="1:12" ht="15.75">
      <c r="A29" s="320" t="s">
        <v>968</v>
      </c>
      <c r="B29" s="319">
        <f>SUM(B18-B28)</f>
        <v>0</v>
      </c>
      <c r="C29" s="320" t="s">
        <v>968</v>
      </c>
      <c r="D29" s="319">
        <f>SUM(D18-D28)</f>
        <v>0</v>
      </c>
      <c r="E29" s="320" t="s">
        <v>968</v>
      </c>
      <c r="F29" s="319">
        <f>SUM(F18-F28)</f>
        <v>0</v>
      </c>
      <c r="G29" s="320" t="s">
        <v>968</v>
      </c>
      <c r="H29" s="319">
        <f>SUM(H18-H28)</f>
        <v>0</v>
      </c>
      <c r="I29" s="320" t="s">
        <v>968</v>
      </c>
      <c r="J29" s="319">
        <f>SUM(J18-J28)</f>
        <v>0</v>
      </c>
      <c r="K29" s="329">
        <f>SUM(B29+D29+F29+H29+J29)</f>
        <v>0</v>
      </c>
      <c r="L29" s="33" t="s">
        <v>1050</v>
      </c>
    </row>
    <row r="30" spans="1:12" ht="15.75">
      <c r="A30" s="320"/>
      <c r="B30" s="352">
        <f>IF(B29&lt;0,"See Tab B","")</f>
      </c>
      <c r="C30" s="320"/>
      <c r="D30" s="352">
        <f>IF(D29&lt;0,"See Tab B","")</f>
      </c>
      <c r="E30" s="320"/>
      <c r="F30" s="352">
        <f>IF(F29&lt;0,"See Tab B","")</f>
      </c>
      <c r="G30" s="177"/>
      <c r="H30" s="352">
        <f>IF(H29&lt;0,"See Tab B","")</f>
      </c>
      <c r="I30" s="177"/>
      <c r="J30" s="352">
        <f>IF(J29&lt;0,"See Tab B","")</f>
      </c>
      <c r="K30" s="329">
        <f>SUM(K7+K17-K28)</f>
        <v>0</v>
      </c>
      <c r="L30" s="33" t="s">
        <v>1050</v>
      </c>
    </row>
    <row r="31" spans="1:11" ht="15.75">
      <c r="A31" s="177"/>
      <c r="B31" s="182"/>
      <c r="C31" s="177"/>
      <c r="D31" s="306"/>
      <c r="E31" s="177"/>
      <c r="F31" s="177"/>
      <c r="G31" s="44" t="s">
        <v>1052</v>
      </c>
      <c r="H31" s="44"/>
      <c r="I31" s="44"/>
      <c r="J31" s="44"/>
      <c r="K31" s="177"/>
    </row>
    <row r="32" spans="1:11" ht="15.75">
      <c r="A32" s="177"/>
      <c r="B32" s="182"/>
      <c r="C32" s="177"/>
      <c r="D32" s="177"/>
      <c r="E32" s="177"/>
      <c r="F32" s="177"/>
      <c r="G32" s="331"/>
      <c r="H32" s="177"/>
      <c r="I32" s="177"/>
      <c r="J32" s="177"/>
      <c r="K32" s="177"/>
    </row>
    <row r="33" spans="1:11" ht="15.75">
      <c r="A33" s="177"/>
      <c r="B33" s="182"/>
      <c r="C33" s="177"/>
      <c r="D33" s="177"/>
      <c r="E33" s="191" t="s">
        <v>827</v>
      </c>
      <c r="F33" s="285"/>
      <c r="G33" s="177"/>
      <c r="H33" s="177"/>
      <c r="I33" s="177"/>
      <c r="J33" s="177"/>
      <c r="K33" s="177"/>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Paola</v>
      </c>
      <c r="B1" s="306"/>
      <c r="C1" s="177"/>
      <c r="D1" s="177"/>
      <c r="E1" s="177"/>
      <c r="F1" s="179" t="s">
        <v>971</v>
      </c>
      <c r="G1" s="177"/>
      <c r="H1" s="177"/>
      <c r="I1" s="177"/>
      <c r="J1" s="177"/>
      <c r="K1" s="177">
        <f>inputPrYr!$C$5</f>
        <v>2012</v>
      </c>
    </row>
    <row r="2" spans="1:11" ht="15.75">
      <c r="A2" s="177"/>
      <c r="B2" s="177"/>
      <c r="C2" s="177"/>
      <c r="D2" s="177"/>
      <c r="E2" s="177"/>
      <c r="F2" s="307" t="str">
        <f>CONCATENATE("(Only the actual budget year for ",K1-2," is to be shown)")</f>
        <v>(Only the actual budget year for 2010 is to be shown)</v>
      </c>
      <c r="G2" s="177"/>
      <c r="H2" s="177"/>
      <c r="I2" s="177"/>
      <c r="J2" s="177"/>
      <c r="K2" s="177"/>
    </row>
    <row r="3" spans="1:11" ht="15.75">
      <c r="A3" s="177" t="s">
        <v>1011</v>
      </c>
      <c r="B3" s="177"/>
      <c r="C3" s="177"/>
      <c r="D3" s="177"/>
      <c r="E3" s="177"/>
      <c r="F3" s="306"/>
      <c r="G3" s="177"/>
      <c r="H3" s="177"/>
      <c r="I3" s="177"/>
      <c r="J3" s="177"/>
      <c r="K3" s="177"/>
    </row>
    <row r="4" spans="1:11" ht="15.75">
      <c r="A4" s="177" t="s">
        <v>962</v>
      </c>
      <c r="B4" s="177"/>
      <c r="C4" s="177" t="s">
        <v>963</v>
      </c>
      <c r="D4" s="177"/>
      <c r="E4" s="177" t="s">
        <v>964</v>
      </c>
      <c r="F4" s="306"/>
      <c r="G4" s="177" t="s">
        <v>965</v>
      </c>
      <c r="H4" s="177"/>
      <c r="I4" s="177" t="s">
        <v>966</v>
      </c>
      <c r="J4" s="177"/>
      <c r="K4" s="177"/>
    </row>
    <row r="5" spans="1:11" ht="15.75">
      <c r="A5" s="745" t="str">
        <f>IF(inputPrYr!B75&gt;" ",(inputPrYr!B75)," ")</f>
        <v> </v>
      </c>
      <c r="B5" s="746"/>
      <c r="C5" s="745" t="str">
        <f>IF(inputPrYr!B76&gt;" ",(inputPrYr!B76)," ")</f>
        <v> </v>
      </c>
      <c r="D5" s="746"/>
      <c r="E5" s="745" t="str">
        <f>IF(inputPrYr!B77&gt;" ",(inputPrYr!B77)," ")</f>
        <v> </v>
      </c>
      <c r="F5" s="746"/>
      <c r="G5" s="745" t="str">
        <f>IF(inputPrYr!B78&gt;" ",(inputPrYr!B78)," ")</f>
        <v> </v>
      </c>
      <c r="H5" s="746"/>
      <c r="I5" s="745" t="str">
        <f>IF(inputPrYr!B79&gt;" ",(inputPrYr!B79)," ")</f>
        <v> </v>
      </c>
      <c r="J5" s="746"/>
      <c r="K5" s="127"/>
    </row>
    <row r="6" spans="1:11" ht="15.75">
      <c r="A6" s="310" t="s">
        <v>967</v>
      </c>
      <c r="B6" s="311"/>
      <c r="C6" s="312" t="s">
        <v>967</v>
      </c>
      <c r="D6" s="313"/>
      <c r="E6" s="312" t="s">
        <v>967</v>
      </c>
      <c r="F6" s="309"/>
      <c r="G6" s="312" t="s">
        <v>967</v>
      </c>
      <c r="H6" s="314"/>
      <c r="I6" s="312" t="s">
        <v>967</v>
      </c>
      <c r="J6" s="177"/>
      <c r="K6" s="315" t="s">
        <v>783</v>
      </c>
    </row>
    <row r="7" spans="1:11" ht="15.75">
      <c r="A7" s="316" t="s">
        <v>56</v>
      </c>
      <c r="B7" s="317"/>
      <c r="C7" s="318" t="s">
        <v>56</v>
      </c>
      <c r="D7" s="317"/>
      <c r="E7" s="318" t="s">
        <v>56</v>
      </c>
      <c r="F7" s="317"/>
      <c r="G7" s="318" t="s">
        <v>56</v>
      </c>
      <c r="H7" s="317"/>
      <c r="I7" s="318" t="s">
        <v>56</v>
      </c>
      <c r="J7" s="317"/>
      <c r="K7" s="319">
        <f>SUM(B7+D7+F7+H7+J7)</f>
        <v>0</v>
      </c>
    </row>
    <row r="8" spans="1:11" ht="15.75">
      <c r="A8" s="320" t="s">
        <v>934</v>
      </c>
      <c r="B8" s="321"/>
      <c r="C8" s="320" t="s">
        <v>934</v>
      </c>
      <c r="D8" s="322"/>
      <c r="E8" s="320" t="s">
        <v>934</v>
      </c>
      <c r="F8" s="306"/>
      <c r="G8" s="320" t="s">
        <v>934</v>
      </c>
      <c r="H8" s="177"/>
      <c r="I8" s="320" t="s">
        <v>934</v>
      </c>
      <c r="J8" s="177"/>
      <c r="K8" s="306"/>
    </row>
    <row r="9" spans="1:11" ht="15.75">
      <c r="A9" s="323"/>
      <c r="B9" s="317"/>
      <c r="C9" s="323"/>
      <c r="D9" s="317"/>
      <c r="E9" s="323"/>
      <c r="F9" s="317"/>
      <c r="G9" s="323"/>
      <c r="H9" s="317"/>
      <c r="I9" s="323"/>
      <c r="J9" s="317"/>
      <c r="K9" s="306"/>
    </row>
    <row r="10" spans="1:11" ht="15.75">
      <c r="A10" s="323"/>
      <c r="B10" s="317"/>
      <c r="C10" s="323"/>
      <c r="D10" s="317"/>
      <c r="E10" s="323"/>
      <c r="F10" s="317"/>
      <c r="G10" s="323"/>
      <c r="H10" s="317"/>
      <c r="I10" s="323"/>
      <c r="J10" s="317"/>
      <c r="K10" s="306"/>
    </row>
    <row r="11" spans="1:11" ht="15.75">
      <c r="A11" s="323"/>
      <c r="B11" s="317"/>
      <c r="C11" s="324"/>
      <c r="D11" s="317"/>
      <c r="E11" s="324"/>
      <c r="F11" s="317"/>
      <c r="G11" s="324"/>
      <c r="H11" s="317"/>
      <c r="I11" s="325"/>
      <c r="J11" s="317"/>
      <c r="K11" s="306"/>
    </row>
    <row r="12" spans="1:11" ht="15.75">
      <c r="A12" s="323"/>
      <c r="B12" s="317"/>
      <c r="C12" s="323"/>
      <c r="D12" s="317"/>
      <c r="E12" s="326"/>
      <c r="F12" s="317"/>
      <c r="G12" s="326"/>
      <c r="H12" s="317"/>
      <c r="I12" s="326"/>
      <c r="J12" s="317"/>
      <c r="K12" s="306"/>
    </row>
    <row r="13" spans="1:11" ht="15.75">
      <c r="A13" s="327"/>
      <c r="B13" s="317"/>
      <c r="C13" s="328"/>
      <c r="D13" s="317"/>
      <c r="E13" s="328"/>
      <c r="F13" s="317"/>
      <c r="G13" s="328"/>
      <c r="H13" s="317"/>
      <c r="I13" s="325"/>
      <c r="J13" s="317"/>
      <c r="K13" s="306"/>
    </row>
    <row r="14" spans="1:11" ht="15.75">
      <c r="A14" s="323"/>
      <c r="B14" s="317"/>
      <c r="C14" s="326"/>
      <c r="D14" s="317"/>
      <c r="E14" s="326"/>
      <c r="F14" s="317"/>
      <c r="G14" s="326"/>
      <c r="H14" s="317"/>
      <c r="I14" s="326"/>
      <c r="J14" s="317"/>
      <c r="K14" s="306"/>
    </row>
    <row r="15" spans="1:11" ht="15.75">
      <c r="A15" s="323"/>
      <c r="B15" s="317"/>
      <c r="C15" s="326"/>
      <c r="D15" s="317"/>
      <c r="E15" s="326"/>
      <c r="F15" s="317"/>
      <c r="G15" s="326"/>
      <c r="H15" s="317"/>
      <c r="I15" s="326"/>
      <c r="J15" s="317"/>
      <c r="K15" s="306"/>
    </row>
    <row r="16" spans="1:11" ht="15.75">
      <c r="A16" s="323"/>
      <c r="B16" s="317"/>
      <c r="C16" s="323"/>
      <c r="D16" s="317"/>
      <c r="E16" s="323"/>
      <c r="F16" s="317"/>
      <c r="G16" s="326"/>
      <c r="H16" s="317"/>
      <c r="I16" s="323"/>
      <c r="J16" s="317"/>
      <c r="K16" s="306"/>
    </row>
    <row r="17" spans="1:11" ht="15.75">
      <c r="A17" s="320" t="s">
        <v>817</v>
      </c>
      <c r="B17" s="319">
        <f>SUM(B9:B16)</f>
        <v>0</v>
      </c>
      <c r="C17" s="320" t="s">
        <v>817</v>
      </c>
      <c r="D17" s="319">
        <f>SUM(D9:D16)</f>
        <v>0</v>
      </c>
      <c r="E17" s="320" t="s">
        <v>817</v>
      </c>
      <c r="F17" s="388">
        <f>SUM(F9:F16)</f>
        <v>0</v>
      </c>
      <c r="G17" s="320" t="s">
        <v>817</v>
      </c>
      <c r="H17" s="319">
        <f>SUM(H9:H16)</f>
        <v>0</v>
      </c>
      <c r="I17" s="320" t="s">
        <v>817</v>
      </c>
      <c r="J17" s="319">
        <f>SUM(J9:J16)</f>
        <v>0</v>
      </c>
      <c r="K17" s="319">
        <f>SUM(B17+D17+F17+H17+J17)</f>
        <v>0</v>
      </c>
    </row>
    <row r="18" spans="1:11" ht="15.75">
      <c r="A18" s="320" t="s">
        <v>818</v>
      </c>
      <c r="B18" s="319">
        <f>SUM(B7+B17)</f>
        <v>0</v>
      </c>
      <c r="C18" s="320" t="s">
        <v>818</v>
      </c>
      <c r="D18" s="319">
        <f>SUM(D7+D17)</f>
        <v>0</v>
      </c>
      <c r="E18" s="320" t="s">
        <v>818</v>
      </c>
      <c r="F18" s="319">
        <f>SUM(F7+F17)</f>
        <v>0</v>
      </c>
      <c r="G18" s="320" t="s">
        <v>818</v>
      </c>
      <c r="H18" s="319">
        <f>SUM(H7+H17)</f>
        <v>0</v>
      </c>
      <c r="I18" s="320" t="s">
        <v>818</v>
      </c>
      <c r="J18" s="319">
        <f>SUM(J7+J17)</f>
        <v>0</v>
      </c>
      <c r="K18" s="319">
        <f>SUM(B18+D18+F18+H18+J18)</f>
        <v>0</v>
      </c>
    </row>
    <row r="19" spans="1:11" ht="15.75">
      <c r="A19" s="320" t="s">
        <v>820</v>
      </c>
      <c r="B19" s="321"/>
      <c r="C19" s="320" t="s">
        <v>820</v>
      </c>
      <c r="D19" s="322"/>
      <c r="E19" s="320" t="s">
        <v>820</v>
      </c>
      <c r="F19" s="306"/>
      <c r="G19" s="320" t="s">
        <v>820</v>
      </c>
      <c r="H19" s="177"/>
      <c r="I19" s="320" t="s">
        <v>820</v>
      </c>
      <c r="J19" s="177"/>
      <c r="K19" s="306"/>
    </row>
    <row r="20" spans="1:11" ht="15.75">
      <c r="A20" s="323"/>
      <c r="B20" s="317"/>
      <c r="C20" s="326"/>
      <c r="D20" s="317"/>
      <c r="E20" s="326"/>
      <c r="F20" s="317"/>
      <c r="G20" s="326"/>
      <c r="H20" s="317"/>
      <c r="I20" s="326"/>
      <c r="J20" s="317"/>
      <c r="K20" s="306"/>
    </row>
    <row r="21" spans="1:11" ht="15.75">
      <c r="A21" s="323"/>
      <c r="B21" s="317"/>
      <c r="C21" s="326"/>
      <c r="D21" s="317"/>
      <c r="E21" s="326"/>
      <c r="F21" s="317"/>
      <c r="G21" s="326"/>
      <c r="H21" s="317"/>
      <c r="I21" s="326"/>
      <c r="J21" s="317"/>
      <c r="K21" s="306"/>
    </row>
    <row r="22" spans="1:11" ht="15.75">
      <c r="A22" s="323"/>
      <c r="B22" s="317"/>
      <c r="C22" s="328"/>
      <c r="D22" s="317"/>
      <c r="E22" s="328"/>
      <c r="F22" s="317"/>
      <c r="G22" s="328"/>
      <c r="H22" s="317"/>
      <c r="I22" s="325"/>
      <c r="J22" s="317"/>
      <c r="K22" s="306"/>
    </row>
    <row r="23" spans="1:11" ht="15.75">
      <c r="A23" s="323"/>
      <c r="B23" s="317"/>
      <c r="C23" s="326"/>
      <c r="D23" s="317"/>
      <c r="E23" s="326"/>
      <c r="F23" s="317"/>
      <c r="G23" s="326"/>
      <c r="H23" s="317"/>
      <c r="I23" s="326"/>
      <c r="J23" s="317"/>
      <c r="K23" s="306"/>
    </row>
    <row r="24" spans="1:11" ht="15.75">
      <c r="A24" s="323"/>
      <c r="B24" s="317"/>
      <c r="C24" s="328"/>
      <c r="D24" s="317"/>
      <c r="E24" s="328"/>
      <c r="F24" s="317"/>
      <c r="G24" s="328"/>
      <c r="H24" s="317"/>
      <c r="I24" s="325"/>
      <c r="J24" s="317"/>
      <c r="K24" s="306"/>
    </row>
    <row r="25" spans="1:11" ht="15.75">
      <c r="A25" s="323"/>
      <c r="B25" s="317"/>
      <c r="C25" s="326"/>
      <c r="D25" s="317"/>
      <c r="E25" s="326"/>
      <c r="F25" s="317"/>
      <c r="G25" s="326"/>
      <c r="H25" s="317"/>
      <c r="I25" s="326"/>
      <c r="J25" s="317"/>
      <c r="K25" s="306"/>
    </row>
    <row r="26" spans="1:11" ht="15.75">
      <c r="A26" s="323"/>
      <c r="B26" s="317"/>
      <c r="C26" s="326"/>
      <c r="D26" s="317"/>
      <c r="E26" s="326"/>
      <c r="F26" s="317"/>
      <c r="G26" s="326"/>
      <c r="H26" s="317"/>
      <c r="I26" s="326"/>
      <c r="J26" s="317"/>
      <c r="K26" s="306"/>
    </row>
    <row r="27" spans="1:11" ht="15.75">
      <c r="A27" s="323"/>
      <c r="B27" s="317"/>
      <c r="C27" s="323"/>
      <c r="D27" s="317"/>
      <c r="E27" s="323"/>
      <c r="F27" s="317"/>
      <c r="G27" s="326"/>
      <c r="H27" s="317"/>
      <c r="I27" s="326"/>
      <c r="J27" s="317"/>
      <c r="K27" s="306"/>
    </row>
    <row r="28" spans="1:11" ht="15.75">
      <c r="A28" s="320" t="s">
        <v>824</v>
      </c>
      <c r="B28" s="319">
        <f>SUM(B20:B27)</f>
        <v>0</v>
      </c>
      <c r="C28" s="320" t="s">
        <v>824</v>
      </c>
      <c r="D28" s="319">
        <f>SUM(D20:D27)</f>
        <v>0</v>
      </c>
      <c r="E28" s="320" t="s">
        <v>824</v>
      </c>
      <c r="F28" s="388">
        <f>SUM(F20:F27)</f>
        <v>0</v>
      </c>
      <c r="G28" s="320" t="s">
        <v>824</v>
      </c>
      <c r="H28" s="388">
        <f>SUM(H20:H27)</f>
        <v>0</v>
      </c>
      <c r="I28" s="320" t="s">
        <v>824</v>
      </c>
      <c r="J28" s="319">
        <f>SUM(J20:J27)</f>
        <v>0</v>
      </c>
      <c r="K28" s="319">
        <f>SUM(B28+D28+F28+H28+J28)</f>
        <v>0</v>
      </c>
    </row>
    <row r="29" spans="1:12" ht="15.75">
      <c r="A29" s="320" t="s">
        <v>968</v>
      </c>
      <c r="B29" s="319">
        <f>SUM(B18-B28)</f>
        <v>0</v>
      </c>
      <c r="C29" s="320" t="s">
        <v>968</v>
      </c>
      <c r="D29" s="319">
        <f>SUM(D18-D28)</f>
        <v>0</v>
      </c>
      <c r="E29" s="320" t="s">
        <v>968</v>
      </c>
      <c r="F29" s="319">
        <f>SUM(F18-F28)</f>
        <v>0</v>
      </c>
      <c r="G29" s="320" t="s">
        <v>968</v>
      </c>
      <c r="H29" s="319">
        <f>SUM(H18-H28)</f>
        <v>0</v>
      </c>
      <c r="I29" s="320" t="s">
        <v>968</v>
      </c>
      <c r="J29" s="319">
        <f>SUM(J18-J28)</f>
        <v>0</v>
      </c>
      <c r="K29" s="329">
        <f>SUM(B29+D29+F29+H29+J29)</f>
        <v>0</v>
      </c>
      <c r="L29" s="33" t="s">
        <v>1050</v>
      </c>
    </row>
    <row r="30" spans="1:12" ht="15.75">
      <c r="A30" s="320"/>
      <c r="B30" s="352">
        <f>IF(B29&lt;0,"See Tab B","")</f>
      </c>
      <c r="C30" s="320"/>
      <c r="D30" s="352">
        <f>IF(D29&lt;0,"See Tab B","")</f>
      </c>
      <c r="E30" s="320"/>
      <c r="F30" s="352">
        <f>IF(F29&lt;0,"See Tab B","")</f>
      </c>
      <c r="G30" s="177"/>
      <c r="H30" s="352">
        <f>IF(H29&lt;0,"See Tab B","")</f>
      </c>
      <c r="I30" s="177"/>
      <c r="J30" s="352">
        <f>IF(J29&lt;0,"See Tab B","")</f>
      </c>
      <c r="K30" s="329">
        <f>SUM(K7+K17-K28)</f>
        <v>0</v>
      </c>
      <c r="L30" s="33" t="s">
        <v>1050</v>
      </c>
    </row>
    <row r="31" spans="1:11" ht="15.75">
      <c r="A31" s="177"/>
      <c r="B31" s="182"/>
      <c r="C31" s="177"/>
      <c r="D31" s="306"/>
      <c r="E31" s="177"/>
      <c r="F31" s="177"/>
      <c r="G31" s="44" t="s">
        <v>1051</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827</v>
      </c>
      <c r="F33" s="285"/>
      <c r="G33" s="177"/>
      <c r="H33" s="177"/>
      <c r="I33" s="177"/>
      <c r="J33" s="177"/>
      <c r="K33" s="177"/>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14" t="s">
        <v>1074</v>
      </c>
    </row>
    <row r="2" ht="15.75">
      <c r="A2" s="1"/>
    </row>
    <row r="3" ht="57" customHeight="1">
      <c r="A3" s="515" t="s">
        <v>1075</v>
      </c>
    </row>
    <row r="4" ht="15.75">
      <c r="A4" s="513"/>
    </row>
    <row r="5" ht="15.75">
      <c r="A5" s="1"/>
    </row>
    <row r="6" ht="44.25" customHeight="1">
      <c r="A6" s="515" t="s">
        <v>1076</v>
      </c>
    </row>
    <row r="7" ht="15.75">
      <c r="A7" s="1"/>
    </row>
    <row r="8" ht="15.75">
      <c r="A8" s="513"/>
    </row>
    <row r="9" ht="46.5" customHeight="1">
      <c r="A9" s="515" t="s">
        <v>1077</v>
      </c>
    </row>
    <row r="10" ht="15.75">
      <c r="A10" s="1"/>
    </row>
    <row r="11" ht="15.75">
      <c r="A11" s="513"/>
    </row>
    <row r="12" ht="60" customHeight="1">
      <c r="A12" s="515" t="s">
        <v>1078</v>
      </c>
    </row>
    <row r="13" ht="15.75">
      <c r="A13" s="1"/>
    </row>
    <row r="14" ht="15.75">
      <c r="A14" s="1"/>
    </row>
    <row r="15" ht="61.5" customHeight="1">
      <c r="A15" s="515" t="s">
        <v>1079</v>
      </c>
    </row>
    <row r="16" ht="15.75">
      <c r="A16" s="1"/>
    </row>
    <row r="17" ht="15.75">
      <c r="A17" s="1"/>
    </row>
    <row r="18" ht="59.25" customHeight="1">
      <c r="A18" s="515" t="s">
        <v>1080</v>
      </c>
    </row>
    <row r="19" ht="15.75">
      <c r="A19" s="1"/>
    </row>
    <row r="20" ht="15.75">
      <c r="A20" s="1"/>
    </row>
    <row r="21" ht="61.5" customHeight="1">
      <c r="A21" s="515" t="s">
        <v>1081</v>
      </c>
    </row>
    <row r="22" ht="15.75">
      <c r="A22" s="513"/>
    </row>
    <row r="23" ht="15.75">
      <c r="A23" s="513"/>
    </row>
    <row r="24" ht="63" customHeight="1">
      <c r="A24" s="515" t="s">
        <v>1082</v>
      </c>
    </row>
    <row r="25" ht="15.75">
      <c r="A25" s="1"/>
    </row>
    <row r="26" ht="15.75">
      <c r="A26" s="1"/>
    </row>
    <row r="27" ht="52.5" customHeight="1">
      <c r="A27" s="526" t="s">
        <v>115</v>
      </c>
    </row>
    <row r="28" ht="15.75">
      <c r="A28" s="1"/>
    </row>
    <row r="29" ht="15.75">
      <c r="A29" s="1"/>
    </row>
    <row r="30" ht="44.25" customHeight="1">
      <c r="A30" s="515" t="s">
        <v>1083</v>
      </c>
    </row>
    <row r="31" ht="15.75">
      <c r="A31" s="1"/>
    </row>
    <row r="32" ht="15.75">
      <c r="A32" s="1"/>
    </row>
    <row r="33" ht="42.75" customHeight="1">
      <c r="A33" s="515" t="s">
        <v>1084</v>
      </c>
    </row>
    <row r="34" ht="15.75">
      <c r="A34" s="513"/>
    </row>
    <row r="35" ht="15.75">
      <c r="A35" s="513"/>
    </row>
    <row r="36" ht="38.25" customHeight="1">
      <c r="A36" s="515" t="s">
        <v>1085</v>
      </c>
    </row>
    <row r="37" ht="15.75">
      <c r="A37" s="513"/>
    </row>
    <row r="38" ht="15.75">
      <c r="A38" s="1"/>
    </row>
    <row r="39" ht="75.75" customHeight="1">
      <c r="A39" s="515" t="s">
        <v>343</v>
      </c>
    </row>
    <row r="40" ht="15.75">
      <c r="A40" s="1"/>
    </row>
    <row r="41" ht="15.75">
      <c r="A41" s="1"/>
    </row>
    <row r="42" ht="57.75" customHeight="1">
      <c r="A42" s="515" t="s">
        <v>344</v>
      </c>
    </row>
    <row r="43" ht="15.75">
      <c r="A43" s="513"/>
    </row>
    <row r="44" ht="15.75">
      <c r="A44" s="1"/>
    </row>
    <row r="45" ht="57.75" customHeight="1">
      <c r="A45" s="515" t="s">
        <v>345</v>
      </c>
    </row>
    <row r="46" ht="15.75">
      <c r="A46" s="1"/>
    </row>
    <row r="47" ht="15.75">
      <c r="A47" s="1"/>
    </row>
    <row r="48" ht="41.25" customHeight="1">
      <c r="A48" s="515" t="s">
        <v>346</v>
      </c>
    </row>
    <row r="49" ht="15.75">
      <c r="A49" s="1"/>
    </row>
    <row r="50" ht="15.75">
      <c r="A50" s="1"/>
    </row>
    <row r="51" ht="75" customHeight="1">
      <c r="A51" s="515" t="s">
        <v>347</v>
      </c>
    </row>
    <row r="52" ht="15.75">
      <c r="A52" s="513"/>
    </row>
    <row r="53" ht="15.75">
      <c r="A53" s="513"/>
    </row>
    <row r="54" ht="57.75" customHeight="1">
      <c r="A54" s="515" t="s">
        <v>348</v>
      </c>
    </row>
    <row r="55" ht="15.75">
      <c r="A55" s="1"/>
    </row>
    <row r="56" ht="15.75">
      <c r="A56" s="1"/>
    </row>
    <row r="57" ht="44.25" customHeight="1">
      <c r="A57" s="515" t="s">
        <v>349</v>
      </c>
    </row>
    <row r="58" ht="15.75">
      <c r="A58" s="1"/>
    </row>
    <row r="59" ht="15.75">
      <c r="A59" s="1"/>
    </row>
    <row r="60" ht="60" customHeight="1">
      <c r="A60" s="515" t="s">
        <v>350</v>
      </c>
    </row>
    <row r="61" ht="15.75">
      <c r="A61" s="513"/>
    </row>
    <row r="62" ht="15.75">
      <c r="A62" s="513"/>
    </row>
    <row r="63" ht="57.75" customHeight="1">
      <c r="A63" s="515" t="s">
        <v>351</v>
      </c>
    </row>
    <row r="64" ht="15.75">
      <c r="A64" s="1"/>
    </row>
    <row r="65" ht="15.75">
      <c r="A65" s="1"/>
    </row>
    <row r="66" ht="60" customHeight="1">
      <c r="A66" s="515" t="s">
        <v>352</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54"/>
  <sheetViews>
    <sheetView zoomScale="75" zoomScaleNormal="75" zoomScalePageLayoutView="0" workbookViewId="0" topLeftCell="A10">
      <selection activeCell="D29" sqref="D29"/>
    </sheetView>
  </sheetViews>
  <sheetFormatPr defaultColWidth="8.796875" defaultRowHeight="15"/>
  <cols>
    <col min="1" max="1" width="25.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718" t="s">
        <v>875</v>
      </c>
      <c r="B1" s="718"/>
      <c r="C1" s="718"/>
      <c r="D1" s="718"/>
      <c r="E1" s="718"/>
      <c r="F1" s="718"/>
      <c r="G1" s="718"/>
      <c r="H1" s="718"/>
      <c r="I1" s="332"/>
    </row>
    <row r="2" spans="1:8" ht="18" customHeight="1">
      <c r="A2" s="48"/>
      <c r="B2" s="48"/>
      <c r="C2" s="48"/>
      <c r="D2" s="48"/>
      <c r="E2" s="48"/>
      <c r="F2" s="48"/>
      <c r="G2" s="48"/>
      <c r="H2" s="48">
        <f>inputPrYr!$C$5</f>
        <v>2012</v>
      </c>
    </row>
    <row r="3" spans="1:8" ht="18" customHeight="1">
      <c r="A3" s="698" t="s">
        <v>829</v>
      </c>
      <c r="B3" s="698"/>
      <c r="C3" s="698"/>
      <c r="D3" s="698"/>
      <c r="E3" s="698"/>
      <c r="F3" s="698"/>
      <c r="G3" s="698"/>
      <c r="H3" s="698"/>
    </row>
    <row r="4" spans="1:8" ht="15.75">
      <c r="A4" s="696" t="str">
        <f>inputPrYr!D2</f>
        <v>City of Paola</v>
      </c>
      <c r="B4" s="696"/>
      <c r="C4" s="696"/>
      <c r="D4" s="696"/>
      <c r="E4" s="696"/>
      <c r="F4" s="696"/>
      <c r="G4" s="696"/>
      <c r="H4" s="696"/>
    </row>
    <row r="5" spans="1:8" ht="18" customHeight="1">
      <c r="A5" s="752" t="str">
        <f>CONCATENATE("will meet on ",inputBudSum!B6," at ",inputBudSum!B8," at ",inputBudSum!B10," for the purpose of hearing and")</f>
        <v>will meet on August 9, 2011 at 6:00 pm at Municipal Court Room at the Paola Justice Center Located at 805 N Pearl Street for the purpose of hearing and</v>
      </c>
      <c r="B5" s="752"/>
      <c r="C5" s="752"/>
      <c r="D5" s="752"/>
      <c r="E5" s="752"/>
      <c r="F5" s="752"/>
      <c r="G5" s="752"/>
      <c r="H5" s="752"/>
    </row>
    <row r="6" spans="1:8" ht="16.5" customHeight="1">
      <c r="A6" s="698" t="s">
        <v>645</v>
      </c>
      <c r="B6" s="698"/>
      <c r="C6" s="698"/>
      <c r="D6" s="698"/>
      <c r="E6" s="698"/>
      <c r="F6" s="698"/>
      <c r="G6" s="698"/>
      <c r="H6" s="698"/>
    </row>
    <row r="7" spans="1:8" ht="16.5" customHeight="1">
      <c r="A7" s="698" t="str">
        <f>CONCATENATE("Detailed budget information is available at ",inputBudSum!B13," and will be available at this hearing.")</f>
        <v>Detailed budget information is available at Paola City Hall located at 19 E Peoria Street and will be available at this hearing.</v>
      </c>
      <c r="B7" s="698"/>
      <c r="C7" s="698"/>
      <c r="D7" s="698"/>
      <c r="E7" s="698"/>
      <c r="F7" s="698"/>
      <c r="G7" s="698"/>
      <c r="H7" s="698"/>
    </row>
    <row r="8" spans="1:8" ht="15.75">
      <c r="A8" s="56" t="s">
        <v>876</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939</v>
      </c>
      <c r="B10" s="57"/>
      <c r="C10" s="57"/>
      <c r="D10" s="57"/>
      <c r="E10" s="57"/>
      <c r="F10" s="57"/>
      <c r="G10" s="57"/>
      <c r="H10" s="57"/>
    </row>
    <row r="11" spans="1:8" ht="15.75">
      <c r="A11" s="48"/>
      <c r="B11" s="294"/>
      <c r="C11" s="294"/>
      <c r="D11" s="294"/>
      <c r="E11" s="294"/>
      <c r="F11" s="294"/>
      <c r="G11" s="294"/>
      <c r="H11" s="294"/>
    </row>
    <row r="12" spans="1:8" ht="22.5" customHeight="1">
      <c r="A12" s="48"/>
      <c r="B12" s="333" t="str">
        <f>CONCATENATE("Prior Year Actual for ",H2-2,"")</f>
        <v>Prior Year Actual for 2010</v>
      </c>
      <c r="C12" s="144"/>
      <c r="D12" s="333" t="str">
        <f>CONCATENATE("Current Year Estimate for ",H2-1,"")</f>
        <v>Current Year Estimate for 2011</v>
      </c>
      <c r="E12" s="144"/>
      <c r="F12" s="142" t="str">
        <f>CONCATENATE("Proposed Budget for ",H2,"")</f>
        <v>Proposed Budget for 2012</v>
      </c>
      <c r="G12" s="143"/>
      <c r="H12" s="144"/>
    </row>
    <row r="13" spans="1:8" ht="21" customHeight="1">
      <c r="A13" s="48"/>
      <c r="B13" s="282"/>
      <c r="C13" s="147" t="s">
        <v>831</v>
      </c>
      <c r="D13" s="147"/>
      <c r="E13" s="147" t="s">
        <v>831</v>
      </c>
      <c r="F13" s="584" t="s">
        <v>45</v>
      </c>
      <c r="G13" s="147" t="str">
        <f>CONCATENATE("Amount of ",H2-1,"")</f>
        <v>Amount of 2011</v>
      </c>
      <c r="H13" s="147" t="s">
        <v>1014</v>
      </c>
    </row>
    <row r="14" spans="1:8" ht="15.75">
      <c r="A14" s="65" t="s">
        <v>832</v>
      </c>
      <c r="B14" s="151" t="s">
        <v>833</v>
      </c>
      <c r="C14" s="151" t="s">
        <v>834</v>
      </c>
      <c r="D14" s="151" t="s">
        <v>833</v>
      </c>
      <c r="E14" s="151" t="s">
        <v>834</v>
      </c>
      <c r="F14" s="585" t="s">
        <v>669</v>
      </c>
      <c r="G14" s="152" t="s">
        <v>812</v>
      </c>
      <c r="H14" s="151" t="s">
        <v>834</v>
      </c>
    </row>
    <row r="15" spans="1:8" ht="18.75" customHeight="1">
      <c r="A15" s="88" t="str">
        <f>inputPrYr!B17</f>
        <v>General - Fund 01</v>
      </c>
      <c r="B15" s="88">
        <f>IF(general!$C$101&lt;&gt;0,general!$C$101,"  ")</f>
        <v>3507107</v>
      </c>
      <c r="C15" s="334">
        <f>IF(inputPrYr!D84&gt;0,inputPrYr!D84,"  ")</f>
        <v>24.379</v>
      </c>
      <c r="D15" s="88">
        <f>IF(general!$D$101&lt;&gt;0,general!$D$101,"  ")</f>
        <v>3547501</v>
      </c>
      <c r="E15" s="334">
        <f>IF(inputOth!D21&gt;0,inputOth!D21,"  ")</f>
        <v>24.401</v>
      </c>
      <c r="F15" s="88">
        <f>IF(general!$E$101&lt;&gt;0,general!$E$101,"  ")</f>
        <v>3964319</v>
      </c>
      <c r="G15" s="88">
        <f>IF(general!$E$108&lt;&gt;0,general!$E$108,"  ")</f>
        <v>1161648</v>
      </c>
      <c r="H15" s="334">
        <f>IF(general!E108&gt;0,ROUND(G15/$F$38*1000,3),"  ")</f>
        <v>24.958</v>
      </c>
    </row>
    <row r="16" spans="1:8" ht="18.75" customHeight="1">
      <c r="A16" s="88" t="str">
        <f>inputPrYr!B18</f>
        <v>Bond &amp; Interest - Fund 06</v>
      </c>
      <c r="B16" s="665">
        <f>IF('DebtSvs-levy page 8'!C39&lt;&gt;0,'DebtSvs-levy page 8'!C39,"  ")</f>
        <v>1492686</v>
      </c>
      <c r="C16" s="675">
        <f>IF(inputPrYr!D85&gt;0,inputPrYr!D85,"  ")</f>
        <v>4.735</v>
      </c>
      <c r="D16" s="665">
        <f>IF('DebtSvs-levy page 8'!D39&lt;&gt;0,'DebtSvs-levy page 8'!D39,"  ")</f>
        <v>1381506</v>
      </c>
      <c r="E16" s="675">
        <f>IF(inputOth!D22&gt;0,inputOth!D22,"  ")</f>
        <v>4.739</v>
      </c>
      <c r="F16" s="665">
        <f>IF('DebtSvs-levy page 8'!E39&lt;&gt;0,'DebtSvs-levy page 8'!E39,"  ")</f>
        <v>2129781</v>
      </c>
      <c r="G16" s="665">
        <f>IF('DebtSvs-levy page 8'!E46&lt;&gt;0,'DebtSvs-levy page 8'!E46,"  ")</f>
        <v>220586</v>
      </c>
      <c r="H16" s="675">
        <f>IF('DebtSvs-levy page 8'!E46&gt;0,ROUND(G16/$F$38*1000,3),"  ")</f>
        <v>4.739</v>
      </c>
    </row>
    <row r="17" spans="1:8" ht="18.75" customHeight="1">
      <c r="A17" s="88" t="str">
        <f>IF(inputPrYr!$B20&gt;"  ",(inputPrYr!$B20),"  ")</f>
        <v>Library - Fund 02</v>
      </c>
      <c r="B17" s="665">
        <f>IF('DebtSvs-levy page 8'!C77&lt;&gt;0,'DebtSvs-levy page 8'!C77,"  ")</f>
        <v>272795</v>
      </c>
      <c r="C17" s="675">
        <f>IF(inputPrYr!D86&gt;0,inputPrYr!D86,"  ")</f>
        <v>4.609</v>
      </c>
      <c r="D17" s="665">
        <f>IF('DebtSvs-levy page 8'!D77&lt;&gt;0,'DebtSvs-levy page 8'!D77,"  ")</f>
        <v>263098</v>
      </c>
      <c r="E17" s="675">
        <f>IF(inputOth!D23&gt;0,inputOth!D23,"  ")</f>
        <v>4.613</v>
      </c>
      <c r="F17" s="665">
        <f>IF('DebtSvs-levy page 8'!E77&lt;&gt;0,'DebtSvs-levy page 8'!E77,"  ")</f>
        <v>287288</v>
      </c>
      <c r="G17" s="665">
        <f>IF('DebtSvs-levy page 8'!E84&lt;&gt;0,'DebtSvs-levy page 8'!E84,"  ")</f>
        <v>219619</v>
      </c>
      <c r="H17" s="675">
        <f>IF('DebtSvs-levy page 8'!E84&lt;&gt;0,ROUND(G17/$F$38*1000,3),"  ")</f>
        <v>4.719</v>
      </c>
    </row>
    <row r="18" spans="1:8" ht="18.75" customHeight="1">
      <c r="A18" s="88" t="str">
        <f>IF(inputPrYr!$B21&gt;"  ",(inputPrYr!$B21),"  ")</f>
        <v>Employee Benefits - Fund 05</v>
      </c>
      <c r="B18" s="665">
        <f>IF('levy page9'!$C$51&gt;0,'levy page9'!$C$51,"  ")</f>
        <v>861258</v>
      </c>
      <c r="C18" s="675">
        <f>IF(inputPrYr!D87&gt;0,inputPrYr!D87,"  ")</f>
        <v>6.651</v>
      </c>
      <c r="D18" s="665">
        <f>IF('levy page9'!$D$51&gt;0,'levy page9'!$D$51,"  ")</f>
        <v>947763</v>
      </c>
      <c r="E18" s="675">
        <f>IF(inputOth!D24&gt;0,inputOth!D24,"  ")</f>
        <v>6.657</v>
      </c>
      <c r="F18" s="665">
        <f>IF('levy page9'!$E$51&gt;0,'levy page9'!$E$51,"  ")</f>
        <v>1403785</v>
      </c>
      <c r="G18" s="665">
        <f>IF('levy page9'!$E$58&lt;&gt;0,'levy page9'!$E$58,"  ")</f>
        <v>316919</v>
      </c>
      <c r="H18" s="675">
        <f>IF('levy page9'!E58&lt;&gt;0,ROUND(G18/$F$38*1000,3),"  ")</f>
        <v>6.809</v>
      </c>
    </row>
    <row r="19" spans="1:8" ht="18.75" customHeight="1">
      <c r="A19" s="88" t="str">
        <f>IF(inputPrYr!$B34&gt;"  ",(inputPrYr!$B34),"  ")</f>
        <v>Special Highway - Fund 17</v>
      </c>
      <c r="B19" s="665">
        <f>IF('Sp Hiway'!$C$25&gt;0,'Sp Hiway'!$C$25,"  ")</f>
        <v>107796</v>
      </c>
      <c r="C19" s="676"/>
      <c r="D19" s="665">
        <f>IF('Sp Hiway'!$D$25&gt;0,'Sp Hiway'!$D$25,"  ")</f>
        <v>186286</v>
      </c>
      <c r="E19" s="676"/>
      <c r="F19" s="665">
        <f>IF('Sp Hiway'!$E$25&gt;0,'Sp Hiway'!$E$25,"  ")</f>
        <v>191582</v>
      </c>
      <c r="G19" s="665"/>
      <c r="H19" s="675"/>
    </row>
    <row r="20" spans="1:8" ht="18.75" customHeight="1">
      <c r="A20" s="88" t="str">
        <f>IF(inputPrYr!$B35&gt;"  ",(inputPrYr!$B35),"  ")</f>
        <v>Sewer Service - Fund 04</v>
      </c>
      <c r="B20" s="665">
        <f>IF('Sp Hiway'!$C$56&gt;0,'Sp Hiway'!$C$56,"  ")</f>
        <v>599107</v>
      </c>
      <c r="C20" s="676"/>
      <c r="D20" s="665">
        <f>IF('Sp Hiway'!$D$56&gt;0,'Sp Hiway'!$D$56,"  ")</f>
        <v>660280</v>
      </c>
      <c r="E20" s="676"/>
      <c r="F20" s="665">
        <f>IF('Sp Hiway'!$E$56&gt;0,'Sp Hiway'!$E$56,"  ")</f>
        <v>801217</v>
      </c>
      <c r="G20" s="665"/>
      <c r="H20" s="675"/>
    </row>
    <row r="21" spans="1:8" ht="18.75" customHeight="1">
      <c r="A21" s="88" t="str">
        <f>IF(inputPrYr!$B36&gt;"  ",(inputPrYr!$B36),"  ")</f>
        <v>Aquatics Center - Fund 07</v>
      </c>
      <c r="B21" s="665">
        <f>IF('no levy page15'!$C$33&gt;0,'no levy page15'!$C$33,"  ")</f>
        <v>229351</v>
      </c>
      <c r="C21" s="676"/>
      <c r="D21" s="665">
        <f>IF('no levy page15'!$D$33&gt;0,'no levy page15'!$D$33,"  ")</f>
        <v>247887</v>
      </c>
      <c r="E21" s="676"/>
      <c r="F21" s="665">
        <f>IF('no levy page15'!$E$33&gt;0,'no levy page15'!$E$33,"  ")</f>
        <v>384840</v>
      </c>
      <c r="G21" s="665"/>
      <c r="H21" s="675"/>
    </row>
    <row r="22" spans="1:8" ht="18.75" customHeight="1">
      <c r="A22" s="88" t="str">
        <f>IF(inputPrYr!$B37&gt;"  ",(inputPrYr!$B37),"  ")</f>
        <v>Community Center - Fund 08</v>
      </c>
      <c r="B22" s="665">
        <f>IF('no levy page15'!$C$71&gt;0,'no levy page15'!$C$71,"  ")</f>
        <v>115674</v>
      </c>
      <c r="C22" s="676"/>
      <c r="D22" s="665">
        <f>IF('no levy page15'!$D$71&gt;0,'no levy page15'!$D$71,"  ")</f>
        <v>123314</v>
      </c>
      <c r="E22" s="676"/>
      <c r="F22" s="665">
        <f>IF('no levy page15'!$E$71&gt;0,'no levy page15'!$E$71,"  ")</f>
        <v>160071</v>
      </c>
      <c r="G22" s="665"/>
      <c r="H22" s="675"/>
    </row>
    <row r="23" spans="1:8" ht="18.75" customHeight="1">
      <c r="A23" s="88" t="str">
        <f>IF(inputPrYr!$B38&gt;"  ",(inputPrYr!$B38),"  ")</f>
        <v>Water Utility - Fund 09</v>
      </c>
      <c r="B23" s="665">
        <f>IF('no levy page16'!$C$33&gt;0,'no levy page16'!$C$33,"  ")</f>
        <v>1850559</v>
      </c>
      <c r="C23" s="676"/>
      <c r="D23" s="665">
        <f>IF('no levy page16'!$D$33&gt;0,'no levy page16'!$D$33,"  ")</f>
        <v>1767129</v>
      </c>
      <c r="E23" s="676"/>
      <c r="F23" s="665">
        <f>IF('no levy page16'!$E$33&gt;0,'no levy page16'!$E$33,"  ")</f>
        <v>2261886</v>
      </c>
      <c r="G23" s="676"/>
      <c r="H23" s="676"/>
    </row>
    <row r="24" spans="1:8" ht="18.75" customHeight="1">
      <c r="A24" s="88" t="str">
        <f>IF(inputPrYr!$B39&gt;"  ",(inputPrYr!$B39),"  ")</f>
        <v>Sewer Reserve - Fund 11</v>
      </c>
      <c r="B24" s="665" t="str">
        <f>IF('no levy page16'!$C$54&gt;0,'no levy page16'!$C$54," 0 ")</f>
        <v> 0 </v>
      </c>
      <c r="C24" s="676"/>
      <c r="D24" s="665" t="str">
        <f>IF('no levy page16'!$D$54&gt;0,'no levy page16'!$D$54," 0 ")</f>
        <v> 0 </v>
      </c>
      <c r="E24" s="676"/>
      <c r="F24" s="665">
        <f>IF('no levy page16'!$E$54&gt;0,'no levy page16'!$E$54,"  ")</f>
        <v>152671</v>
      </c>
      <c r="G24" s="676"/>
      <c r="H24" s="676"/>
    </row>
    <row r="25" spans="1:8" ht="18.75" customHeight="1">
      <c r="A25" s="88" t="str">
        <f>IF(inputPrYr!$B40&gt;"  ",(inputPrYr!$B40),"  ")</f>
        <v>Stormwater - Fund 12</v>
      </c>
      <c r="B25" s="665">
        <f>IF('no levy page17'!$C$25&gt;0,'no levy page17'!$C$25,"  ")</f>
        <v>74052</v>
      </c>
      <c r="C25" s="676"/>
      <c r="D25" s="665">
        <f>IF('no levy page17'!$D$25&gt;0,'no levy page17'!$D$25,"  ")</f>
        <v>78600</v>
      </c>
      <c r="E25" s="676"/>
      <c r="F25" s="665">
        <f>IF('no levy page17'!$E$25&gt;0,'no levy page17'!$E$25,"  ")</f>
        <v>262778</v>
      </c>
      <c r="G25" s="676"/>
      <c r="H25" s="676"/>
    </row>
    <row r="26" spans="1:8" ht="18.75" customHeight="1">
      <c r="A26" s="88" t="str">
        <f>IF(inputPrYr!$B41&gt;"  ",(inputPrYr!$B41),"  ")</f>
        <v>Health &amp; Sanitation - Fund 13</v>
      </c>
      <c r="B26" s="665">
        <f>IF('no levy page17'!$C$54&gt;0,'no levy page17'!$C$54,"  ")</f>
        <v>302302</v>
      </c>
      <c r="C26" s="676"/>
      <c r="D26" s="665">
        <f>IF('no levy page17'!$D$54&gt;0,'no levy page17'!$D$54,"  ")</f>
        <v>310630</v>
      </c>
      <c r="E26" s="676"/>
      <c r="F26" s="665">
        <f>IF('no levy page17'!$E$54&gt;0,'no levy page17'!$E$54,"  ")</f>
        <v>343023</v>
      </c>
      <c r="G26" s="676"/>
      <c r="H26" s="676"/>
    </row>
    <row r="27" spans="1:10" ht="18.75" customHeight="1">
      <c r="A27" s="88" t="str">
        <f>IF(inputPrYr!$B42&gt;"  ",(inputPrYr!$B42),"  ")</f>
        <v>Special Parks &amp; Rec - Fund 14</v>
      </c>
      <c r="B27" s="665">
        <f>IF('no levy page18'!$C$22&gt;0,'no levy page18'!$C$22,"  ")</f>
        <v>18148</v>
      </c>
      <c r="C27" s="676"/>
      <c r="D27" s="665">
        <f>IF('no levy page18'!$D$22&gt;0,'no levy page18'!$D$22,"  ")</f>
        <v>21500</v>
      </c>
      <c r="E27" s="676"/>
      <c r="F27" s="665">
        <f>IF('no levy page18'!$E$22&gt;0,'no levy page18'!$E$22,"  ")</f>
        <v>28581</v>
      </c>
      <c r="G27" s="676"/>
      <c r="H27" s="676"/>
      <c r="J27" s="688"/>
    </row>
    <row r="28" spans="1:8" ht="18.75" customHeight="1">
      <c r="A28" s="88" t="str">
        <f>IF(inputPrYr!$B43&gt;"  ",(inputPrYr!$B43),"  ")</f>
        <v>Water Treatment Plant - Fund 15</v>
      </c>
      <c r="B28" s="665">
        <f>IF('no levy page18'!$C$47&gt;0,'no levy page18'!$C$47,"  ")</f>
        <v>323124</v>
      </c>
      <c r="C28" s="676"/>
      <c r="D28" s="665" t="str">
        <f>IF('no levy page18'!$D$47&gt;0,'no levy page18'!$D$47," 0 ")</f>
        <v> 0 </v>
      </c>
      <c r="E28" s="676"/>
      <c r="F28" s="665">
        <f>IF('no levy page18'!$E$47&gt;0,'no levy page18'!$E$47,"  ")</f>
        <v>267954</v>
      </c>
      <c r="G28" s="676"/>
      <c r="H28" s="676"/>
    </row>
    <row r="29" spans="1:8" ht="18.75" customHeight="1">
      <c r="A29" s="88" t="str">
        <f>IF(inputPrYr!$B44&gt;"  ",(inputPrYr!$B44),"  ")</f>
        <v>Waste Water TP - Fund 16 </v>
      </c>
      <c r="B29" s="665">
        <f>IF('no levy page19'!$C$29&gt;0,'no levy page19'!$C$29,"  ")</f>
        <v>345186</v>
      </c>
      <c r="C29" s="676"/>
      <c r="D29" s="665">
        <f>IF('no levy page19'!$D$29&gt;0,'no levy page19'!$D$29,"  ")</f>
        <v>408000</v>
      </c>
      <c r="E29" s="676"/>
      <c r="F29" s="665">
        <f>IF('no levy page19'!$E$29&gt;0,'no levy page19'!$E$29,"  ")</f>
        <v>1035830</v>
      </c>
      <c r="G29" s="676"/>
      <c r="H29" s="676"/>
    </row>
    <row r="30" spans="1:8" ht="18.75" customHeight="1">
      <c r="A30" s="88" t="str">
        <f>IF(inputPrYr!$B45&gt;"  ",(inputPrYr!$B45),"  ")</f>
        <v>Transient Guest Tax - Fund 20</v>
      </c>
      <c r="B30" s="665">
        <f>IF('no levy page19'!$C$54&gt;0,'no levy page19'!$C$54,"  ")</f>
        <v>25442</v>
      </c>
      <c r="C30" s="676"/>
      <c r="D30" s="665">
        <f>IF('no levy page19'!$D$54&gt;0,'no levy page19'!$D$54," 0 ")</f>
        <v>69500</v>
      </c>
      <c r="E30" s="676"/>
      <c r="F30" s="665">
        <f>IF('no levy page19'!$E$54&gt;0,'no levy page19'!$E$54," 0 ")</f>
        <v>81686</v>
      </c>
      <c r="G30" s="676"/>
      <c r="H30" s="676"/>
    </row>
    <row r="31" spans="1:8" ht="18.75" customHeight="1">
      <c r="A31" s="88" t="str">
        <f>IF(inputPrYr!$B57&gt;"  ",(NonBudA!$A3),"  ")</f>
        <v>Non-Budgeted Funds-A</v>
      </c>
      <c r="B31" s="665">
        <f>IF(NonBudA!$K$28&gt;0,NonBudA!$K$28,"  ")</f>
        <v>216881</v>
      </c>
      <c r="C31" s="676"/>
      <c r="D31" s="665"/>
      <c r="E31" s="676"/>
      <c r="F31" s="665"/>
      <c r="G31" s="676"/>
      <c r="H31" s="676"/>
    </row>
    <row r="32" spans="1:8" ht="18.75" customHeight="1" thickBot="1">
      <c r="A32" s="88" t="str">
        <f>IF(inputPrYr!$B63&gt;"  ",(NonBudB!$A3),"  ")</f>
        <v>Non-Budgeted Funds-B</v>
      </c>
      <c r="B32" s="665">
        <f>IF(NonBudB!$K$28&gt;0,NonBudB!$K$28,"  ")</f>
        <v>1509309</v>
      </c>
      <c r="C32" s="676"/>
      <c r="D32" s="665"/>
      <c r="E32" s="676"/>
      <c r="F32" s="665"/>
      <c r="G32" s="676"/>
      <c r="H32" s="676"/>
    </row>
    <row r="33" spans="1:13" ht="30" customHeight="1">
      <c r="A33" s="65" t="s">
        <v>126</v>
      </c>
      <c r="B33" s="677">
        <f>SUM(B15:B32)</f>
        <v>11850777</v>
      </c>
      <c r="C33" s="678">
        <f>SUM(C15:C18)</f>
        <v>40.373999999999995</v>
      </c>
      <c r="D33" s="677">
        <f>SUM(D15:D32)</f>
        <v>10012994</v>
      </c>
      <c r="E33" s="678">
        <f>SUM(E15:E18)</f>
        <v>40.41</v>
      </c>
      <c r="F33" s="677">
        <f>SUM(F15:F32)</f>
        <v>13757292</v>
      </c>
      <c r="G33" s="677">
        <f>SUM(G15:G32)</f>
        <v>1918772</v>
      </c>
      <c r="H33" s="678">
        <f>SUM(H15:H18)</f>
        <v>41.224999999999994</v>
      </c>
      <c r="J33" s="529"/>
      <c r="K33" s="530"/>
      <c r="L33" s="530"/>
      <c r="M33" s="531"/>
    </row>
    <row r="34" spans="1:13" ht="19.5" customHeight="1">
      <c r="A34" s="53" t="s">
        <v>835</v>
      </c>
      <c r="B34" s="679">
        <f>transfers!C38</f>
        <v>2101326</v>
      </c>
      <c r="C34" s="680"/>
      <c r="D34" s="679">
        <f>transfers!D38</f>
        <v>1766398</v>
      </c>
      <c r="E34" s="681"/>
      <c r="F34" s="679">
        <f>transfers!E38</f>
        <v>2164774</v>
      </c>
      <c r="G34" s="682"/>
      <c r="H34" s="681"/>
      <c r="I34" s="547"/>
      <c r="J34" s="532" t="s">
        <v>117</v>
      </c>
      <c r="K34" s="533"/>
      <c r="L34" s="533"/>
      <c r="M34" s="534">
        <f>ROUND(F38/1000,0)</f>
        <v>46543</v>
      </c>
    </row>
    <row r="35" spans="1:8" ht="19.5" customHeight="1" thickBot="1">
      <c r="A35" s="53" t="s">
        <v>836</v>
      </c>
      <c r="B35" s="683">
        <f>B33-B34</f>
        <v>9749451</v>
      </c>
      <c r="C35" s="139"/>
      <c r="D35" s="683">
        <f>D33-D34</f>
        <v>8246596</v>
      </c>
      <c r="E35" s="139"/>
      <c r="F35" s="683">
        <f>F33-F34</f>
        <v>11592518</v>
      </c>
      <c r="G35" s="139"/>
      <c r="H35" s="139"/>
    </row>
    <row r="36" spans="1:13" ht="19.5" customHeight="1" thickTop="1">
      <c r="A36" s="53" t="s">
        <v>837</v>
      </c>
      <c r="B36" s="679">
        <f>inputPrYr!$E$99</f>
        <v>1951535</v>
      </c>
      <c r="C36" s="172"/>
      <c r="D36" s="679">
        <f>inputPrYr!$E$31</f>
        <v>1905568</v>
      </c>
      <c r="E36" s="172"/>
      <c r="F36" s="684" t="s">
        <v>800</v>
      </c>
      <c r="G36" s="139"/>
      <c r="H36" s="139"/>
      <c r="J36" s="747" t="str">
        <f>CONCATENATE("Want The Mill Rate The Same As For ",H2-1,"?")</f>
        <v>Want The Mill Rate The Same As For 2011?</v>
      </c>
      <c r="K36" s="748"/>
      <c r="L36" s="748"/>
      <c r="M36" s="749"/>
    </row>
    <row r="37" spans="1:13" ht="15.75">
      <c r="A37" s="53" t="s">
        <v>838</v>
      </c>
      <c r="B37" s="685"/>
      <c r="C37" s="139"/>
      <c r="D37" s="686"/>
      <c r="E37" s="687"/>
      <c r="F37" s="685"/>
      <c r="G37" s="139"/>
      <c r="H37" s="139"/>
      <c r="J37" s="536"/>
      <c r="K37" s="530"/>
      <c r="L37" s="530"/>
      <c r="M37" s="537"/>
    </row>
    <row r="38" spans="1:13" ht="15.75">
      <c r="A38" s="53" t="s">
        <v>839</v>
      </c>
      <c r="B38" s="679">
        <f>inputPrYr!$E$100</f>
        <v>48337291</v>
      </c>
      <c r="C38" s="174"/>
      <c r="D38" s="679">
        <f>inputOth!$E$36</f>
        <v>47157929</v>
      </c>
      <c r="E38" s="174"/>
      <c r="F38" s="679">
        <f>inputOth!$E$7</f>
        <v>46543382</v>
      </c>
      <c r="G38" s="139"/>
      <c r="H38" s="139"/>
      <c r="J38" s="536" t="str">
        <f>CONCATENATE("",H2-1," Mill Rate Was:")</f>
        <v>2011 Mill Rate Was:</v>
      </c>
      <c r="K38" s="530"/>
      <c r="L38" s="530"/>
      <c r="M38" s="538">
        <f>E33</f>
        <v>40.41</v>
      </c>
    </row>
    <row r="39" spans="1:13" ht="15.75">
      <c r="A39" s="53" t="s">
        <v>840</v>
      </c>
      <c r="B39" s="48"/>
      <c r="C39" s="48"/>
      <c r="D39" s="48"/>
      <c r="E39" s="48"/>
      <c r="F39" s="48"/>
      <c r="G39" s="48"/>
      <c r="H39" s="48"/>
      <c r="J39" s="539" t="str">
        <f>CONCATENATE("",H2," Tax Levy Fund Expenditures Must Be")</f>
        <v>2012 Tax Levy Fund Expenditures Must Be</v>
      </c>
      <c r="K39" s="540"/>
      <c r="L39" s="540"/>
      <c r="M39" s="537"/>
    </row>
    <row r="40" spans="1:13" ht="15.75">
      <c r="A40" s="53" t="s">
        <v>841</v>
      </c>
      <c r="B40" s="335">
        <f>$H$2-3</f>
        <v>2009</v>
      </c>
      <c r="C40" s="48"/>
      <c r="D40" s="335">
        <f>$H$2-2</f>
        <v>2010</v>
      </c>
      <c r="E40" s="48"/>
      <c r="F40" s="335">
        <f>$H$2-1</f>
        <v>2011</v>
      </c>
      <c r="G40" s="48"/>
      <c r="H40" s="48"/>
      <c r="J40" s="539">
        <f>IF(M40&gt;0,"Increased By:","")</f>
      </c>
      <c r="K40" s="540"/>
      <c r="L40" s="540"/>
      <c r="M40" s="625">
        <f>IF(M47&lt;0,M47*-1,0)</f>
        <v>0</v>
      </c>
    </row>
    <row r="41" spans="1:13" ht="18.75" customHeight="1">
      <c r="A41" s="53" t="s">
        <v>842</v>
      </c>
      <c r="B41" s="244">
        <f>inputPrYr!$D$104</f>
        <v>6310000</v>
      </c>
      <c r="C41" s="176"/>
      <c r="D41" s="244">
        <f>inputPrYr!$E$104</f>
        <v>5725000</v>
      </c>
      <c r="E41" s="176"/>
      <c r="F41" s="244">
        <f>debt!$F$20</f>
        <v>5200000</v>
      </c>
      <c r="G41" s="48"/>
      <c r="H41" s="48"/>
      <c r="J41" s="626" t="str">
        <f>IF(M41&lt;0,"Reduced By:","")</f>
        <v>Reduced By:</v>
      </c>
      <c r="K41" s="627"/>
      <c r="L41" s="627"/>
      <c r="M41" s="628">
        <f>IF(M47&gt;0,M47*-1,0)</f>
        <v>-37954</v>
      </c>
    </row>
    <row r="42" spans="1:13" ht="18.75" customHeight="1">
      <c r="A42" s="53" t="s">
        <v>843</v>
      </c>
      <c r="B42" s="508">
        <f>inputPrYr!$D$105</f>
        <v>7255000</v>
      </c>
      <c r="C42" s="176"/>
      <c r="D42" s="508">
        <f>inputPrYr!$E$105</f>
        <v>6760000</v>
      </c>
      <c r="E42" s="176"/>
      <c r="F42" s="244">
        <f>debt!$F$32</f>
        <v>6290000</v>
      </c>
      <c r="G42" s="48"/>
      <c r="H42" s="48"/>
      <c r="J42" s="543"/>
      <c r="K42" s="543"/>
      <c r="L42" s="543"/>
      <c r="M42" s="543"/>
    </row>
    <row r="43" spans="1:13" ht="18.75" customHeight="1">
      <c r="A43" s="48" t="s">
        <v>862</v>
      </c>
      <c r="B43" s="508">
        <f>inputPrYr!$D$106</f>
        <v>6733835</v>
      </c>
      <c r="C43" s="176"/>
      <c r="D43" s="508">
        <f>inputPrYr!$E$106</f>
        <v>6618901</v>
      </c>
      <c r="E43" s="176"/>
      <c r="F43" s="244">
        <f>debt!$F$42</f>
        <v>6500773</v>
      </c>
      <c r="G43" s="48"/>
      <c r="H43" s="48"/>
      <c r="J43" s="747" t="str">
        <f>CONCATENATE("Impact On Keeping The Same Mill Rate As For ",H2-1,"")</f>
        <v>Impact On Keeping The Same Mill Rate As For 2011</v>
      </c>
      <c r="K43" s="750"/>
      <c r="L43" s="750"/>
      <c r="M43" s="751"/>
    </row>
    <row r="44" spans="1:13" ht="18.75" customHeight="1">
      <c r="A44" s="53" t="s">
        <v>940</v>
      </c>
      <c r="B44" s="508">
        <f>inputPrYr!$D$107</f>
        <v>452627</v>
      </c>
      <c r="C44" s="176"/>
      <c r="D44" s="508">
        <f>inputPrYr!$E$107</f>
        <v>299849</v>
      </c>
      <c r="E44" s="176"/>
      <c r="F44" s="244">
        <f>lpform!$F$28</f>
        <v>345346</v>
      </c>
      <c r="G44" s="48"/>
      <c r="H44" s="48"/>
      <c r="J44" s="536"/>
      <c r="K44" s="530"/>
      <c r="L44" s="530"/>
      <c r="M44" s="537"/>
    </row>
    <row r="45" spans="1:13" ht="18.75" customHeight="1" thickBot="1">
      <c r="A45" s="53" t="s">
        <v>844</v>
      </c>
      <c r="B45" s="207">
        <f>SUM(B41:B44)</f>
        <v>20751462</v>
      </c>
      <c r="C45" s="176"/>
      <c r="D45" s="207">
        <f>SUM(D41:D44)</f>
        <v>19403750</v>
      </c>
      <c r="E45" s="176"/>
      <c r="F45" s="207">
        <f>SUM(F41:F44)</f>
        <v>18336119</v>
      </c>
      <c r="G45" s="48"/>
      <c r="H45" s="48"/>
      <c r="J45" s="536" t="str">
        <f>CONCATENATE("",H2," Ad Valorem Tax Revenue:")</f>
        <v>2012 Ad Valorem Tax Revenue:</v>
      </c>
      <c r="K45" s="530"/>
      <c r="L45" s="530"/>
      <c r="M45" s="531">
        <f>G33</f>
        <v>1918772</v>
      </c>
    </row>
    <row r="46" spans="1:13" ht="18.75" customHeight="1" thickTop="1">
      <c r="A46" s="53" t="s">
        <v>845</v>
      </c>
      <c r="B46" s="48"/>
      <c r="C46" s="48"/>
      <c r="D46" s="48"/>
      <c r="E46" s="48"/>
      <c r="F46" s="48"/>
      <c r="G46" s="48"/>
      <c r="H46" s="48"/>
      <c r="J46" s="536" t="str">
        <f>CONCATENATE("",H2-1," Ad Valorem Tax Revenue:")</f>
        <v>2011 Ad Valorem Tax Revenue:</v>
      </c>
      <c r="K46" s="530"/>
      <c r="L46" s="530"/>
      <c r="M46" s="544">
        <f>ROUND(F38*M38/1000,0)</f>
        <v>1880818</v>
      </c>
    </row>
    <row r="47" spans="1:13" ht="15.75">
      <c r="A47" s="48"/>
      <c r="B47" s="48"/>
      <c r="C47" s="48"/>
      <c r="D47" s="48"/>
      <c r="E47" s="48"/>
      <c r="F47" s="48"/>
      <c r="G47" s="48"/>
      <c r="H47" s="48"/>
      <c r="J47" s="541" t="s">
        <v>118</v>
      </c>
      <c r="K47" s="542"/>
      <c r="L47" s="542"/>
      <c r="M47" s="534">
        <f>SUM(M45-M46)</f>
        <v>37954</v>
      </c>
    </row>
    <row r="48" spans="1:13" ht="45" customHeight="1">
      <c r="A48" s="753"/>
      <c r="B48" s="753"/>
      <c r="C48" s="77"/>
      <c r="D48" s="48"/>
      <c r="E48" s="48"/>
      <c r="F48" s="48"/>
      <c r="G48" s="48"/>
      <c r="H48" s="48"/>
      <c r="J48" s="535"/>
      <c r="K48" s="535"/>
      <c r="L48" s="535"/>
      <c r="M48" s="543"/>
    </row>
    <row r="49" spans="1:13" ht="15.75">
      <c r="A49" s="172" t="s">
        <v>987</v>
      </c>
      <c r="B49" s="553" t="str">
        <f>inputBudSum!B4</f>
        <v>City Manager</v>
      </c>
      <c r="C49" s="48"/>
      <c r="D49" s="48"/>
      <c r="E49" s="48"/>
      <c r="F49" s="48"/>
      <c r="G49" s="48"/>
      <c r="H49" s="48"/>
      <c r="J49" s="747" t="s">
        <v>119</v>
      </c>
      <c r="K49" s="750"/>
      <c r="L49" s="750"/>
      <c r="M49" s="751"/>
    </row>
    <row r="50" spans="1:13" ht="15.75">
      <c r="A50" s="48"/>
      <c r="B50" s="48"/>
      <c r="C50" s="48"/>
      <c r="D50" s="48"/>
      <c r="E50" s="48"/>
      <c r="F50" s="48"/>
      <c r="G50" s="48"/>
      <c r="H50" s="48"/>
      <c r="J50" s="536"/>
      <c r="K50" s="530"/>
      <c r="L50" s="530"/>
      <c r="M50" s="537"/>
    </row>
    <row r="51" spans="1:13" ht="15.75">
      <c r="A51" s="48"/>
      <c r="B51" s="48"/>
      <c r="C51" s="139" t="s">
        <v>819</v>
      </c>
      <c r="D51" s="285">
        <v>18</v>
      </c>
      <c r="E51" s="48"/>
      <c r="F51" s="48"/>
      <c r="G51" s="48"/>
      <c r="H51" s="48"/>
      <c r="J51" s="536" t="str">
        <f>CONCATENATE("Current ",H2," Estimated Mill Rate:")</f>
        <v>Current 2012 Estimated Mill Rate:</v>
      </c>
      <c r="K51" s="530"/>
      <c r="L51" s="530"/>
      <c r="M51" s="538">
        <f>H33</f>
        <v>41.224999999999994</v>
      </c>
    </row>
    <row r="52" spans="10:13" ht="15.75">
      <c r="J52" s="536" t="str">
        <f>CONCATENATE("Desired ",H2," Mill Rate:")</f>
        <v>Desired 2012 Mill Rate:</v>
      </c>
      <c r="K52" s="530"/>
      <c r="L52" s="530"/>
      <c r="M52" s="528">
        <v>0</v>
      </c>
    </row>
    <row r="53" spans="10:13" ht="15.75">
      <c r="J53" s="536" t="str">
        <f>CONCATENATE("",H2," Ad Valorem Tax:")</f>
        <v>2012 Ad Valorem Tax:</v>
      </c>
      <c r="K53" s="530"/>
      <c r="L53" s="530"/>
      <c r="M53" s="544">
        <f>ROUND(F38*M52/1000,0)</f>
        <v>0</v>
      </c>
    </row>
    <row r="54" spans="10:13" ht="15.75">
      <c r="J54" s="541" t="str">
        <f>CONCATENATE("",H2," Tax Levy Fund Exp. Changed By:")</f>
        <v>2012 Tax Levy Fund Exp. Changed By:</v>
      </c>
      <c r="K54" s="542"/>
      <c r="L54" s="542"/>
      <c r="M54" s="534">
        <f>M53-G33</f>
        <v>-1918772</v>
      </c>
    </row>
  </sheetData>
  <sheetProtection/>
  <mergeCells count="10">
    <mergeCell ref="J36:M36"/>
    <mergeCell ref="J43:M43"/>
    <mergeCell ref="J49:M49"/>
    <mergeCell ref="A1:H1"/>
    <mergeCell ref="A4:H4"/>
    <mergeCell ref="A6:H6"/>
    <mergeCell ref="A7:H7"/>
    <mergeCell ref="A3:H3"/>
    <mergeCell ref="A5:H5"/>
    <mergeCell ref="A48:B48"/>
  </mergeCells>
  <printOptions/>
  <pageMargins left="0.5" right="0.5" top="0.94" bottom="0.5" header="0.5" footer="0.5"/>
  <pageSetup blackAndWhite="1" fitToHeight="1" fitToWidth="1" horizontalDpi="120" verticalDpi="120" orientation="portrait" scale="62"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40" sqref="C40"/>
    </sheetView>
  </sheetViews>
  <sheetFormatPr defaultColWidth="8.796875" defaultRowHeight="15"/>
  <cols>
    <col min="1" max="1" width="10.09765625" style="107" customWidth="1"/>
    <col min="2" max="2" width="21.39843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Paola</v>
      </c>
      <c r="B1" s="48"/>
      <c r="C1" s="48"/>
      <c r="D1" s="48"/>
      <c r="E1" s="48"/>
      <c r="F1" s="48">
        <f>inputPrYr!C5</f>
        <v>2012</v>
      </c>
    </row>
    <row r="2" spans="1:6" ht="15.75">
      <c r="A2" s="48"/>
      <c r="B2" s="48"/>
      <c r="C2" s="48"/>
      <c r="D2" s="48"/>
      <c r="E2" s="48"/>
      <c r="F2" s="48"/>
    </row>
    <row r="3" spans="1:6" ht="15.75">
      <c r="A3" s="48"/>
      <c r="B3" s="722" t="str">
        <f>CONCATENATE("",F1," Neighborhood Revitalization Rebate")</f>
        <v>2012 Neighborhood Revitalization Rebate</v>
      </c>
      <c r="C3" s="755"/>
      <c r="D3" s="755"/>
      <c r="E3" s="755"/>
      <c r="F3" s="48"/>
    </row>
    <row r="4" spans="1:6" ht="15.75">
      <c r="A4" s="48"/>
      <c r="B4" s="48"/>
      <c r="C4" s="48"/>
      <c r="D4" s="48"/>
      <c r="E4" s="48"/>
      <c r="F4" s="48"/>
    </row>
    <row r="5" spans="1:6" ht="51.75" customHeight="1">
      <c r="A5" s="48"/>
      <c r="B5" s="337" t="str">
        <f>CONCATENATE("Budgeted Funds for ",F1,"")</f>
        <v>Budgeted Funds for 2012</v>
      </c>
      <c r="C5" s="337" t="str">
        <f>CONCATENATE("",F1-1," Ad Valorem before Rebate**")</f>
        <v>2011 Ad Valorem before Rebate**</v>
      </c>
      <c r="D5" s="338" t="str">
        <f>CONCATENATE("",F1-1," Mil Rate before Rebate")</f>
        <v>2011 Mil Rate before Rebate</v>
      </c>
      <c r="E5" s="339" t="str">
        <f>CONCATENATE("Estimate ",F1," NR Rebate")</f>
        <v>Estimate 2012 NR Rebate</v>
      </c>
      <c r="F5" s="99"/>
    </row>
    <row r="6" spans="1:6" ht="15.75">
      <c r="A6" s="48"/>
      <c r="B6" s="65" t="str">
        <f>inputPrYr!B17</f>
        <v>General - Fund 01</v>
      </c>
      <c r="C6" s="340"/>
      <c r="D6" s="341">
        <f>IF(C6&gt;0,C6/$D$24,"")</f>
      </c>
      <c r="E6" s="244">
        <f aca="true" t="shared" si="0" ref="E6:E17">IF(C6&gt;0,ROUND(D6*$D$28,0),"")</f>
      </c>
      <c r="F6" s="99"/>
    </row>
    <row r="7" spans="1:6" ht="15.75">
      <c r="A7" s="48"/>
      <c r="B7" s="65" t="str">
        <f>inputPrYr!B18</f>
        <v>Bond &amp; Interest - Fund 06</v>
      </c>
      <c r="C7" s="340"/>
      <c r="D7" s="341">
        <f aca="true" t="shared" si="1" ref="D7:D17">IF(C7&gt;0,C7/$D$24,"")</f>
      </c>
      <c r="E7" s="244">
        <f t="shared" si="0"/>
      </c>
      <c r="F7" s="99"/>
    </row>
    <row r="8" spans="1:6" ht="15.75">
      <c r="A8" s="48"/>
      <c r="B8" s="88" t="str">
        <f>inputPrYr!B20</f>
        <v>Library - Fund 02</v>
      </c>
      <c r="C8" s="340"/>
      <c r="D8" s="341">
        <f t="shared" si="1"/>
      </c>
      <c r="E8" s="244">
        <f t="shared" si="0"/>
      </c>
      <c r="F8" s="99"/>
    </row>
    <row r="9" spans="1:6" ht="15.75">
      <c r="A9" s="48"/>
      <c r="B9" s="88" t="str">
        <f>inputPrYr!B21</f>
        <v>Employee Benefits - Fund 05</v>
      </c>
      <c r="C9" s="340"/>
      <c r="D9" s="341">
        <f t="shared" si="1"/>
      </c>
      <c r="E9" s="244">
        <f t="shared" si="0"/>
      </c>
      <c r="F9" s="99"/>
    </row>
    <row r="10" spans="1:6" ht="15.75">
      <c r="A10" s="48"/>
      <c r="B10" s="88">
        <f>inputPrYr!B22</f>
        <v>0</v>
      </c>
      <c r="C10" s="340"/>
      <c r="D10" s="341">
        <f t="shared" si="1"/>
      </c>
      <c r="E10" s="244">
        <f t="shared" si="0"/>
      </c>
      <c r="F10" s="99"/>
    </row>
    <row r="11" spans="1:6" ht="15.75">
      <c r="A11" s="48"/>
      <c r="B11" s="88">
        <f>inputPrYr!B23</f>
        <v>0</v>
      </c>
      <c r="C11" s="340"/>
      <c r="D11" s="341">
        <f t="shared" si="1"/>
      </c>
      <c r="E11" s="244">
        <f t="shared" si="0"/>
      </c>
      <c r="F11" s="99"/>
    </row>
    <row r="12" spans="1:6" ht="15.75">
      <c r="A12" s="48"/>
      <c r="B12" s="88">
        <f>inputPrYr!B24</f>
        <v>0</v>
      </c>
      <c r="C12" s="342"/>
      <c r="D12" s="341">
        <f t="shared" si="1"/>
      </c>
      <c r="E12" s="244">
        <f t="shared" si="0"/>
      </c>
      <c r="F12" s="99"/>
    </row>
    <row r="13" spans="1:6" ht="15.75">
      <c r="A13" s="48"/>
      <c r="B13" s="88">
        <f>inputPrYr!B25</f>
        <v>0</v>
      </c>
      <c r="C13" s="342"/>
      <c r="D13" s="341">
        <f t="shared" si="1"/>
      </c>
      <c r="E13" s="244">
        <f t="shared" si="0"/>
      </c>
      <c r="F13" s="99"/>
    </row>
    <row r="14" spans="1:6" ht="15.75">
      <c r="A14" s="48"/>
      <c r="B14" s="88">
        <f>inputPrYr!B26</f>
        <v>0</v>
      </c>
      <c r="C14" s="342"/>
      <c r="D14" s="341">
        <f t="shared" si="1"/>
      </c>
      <c r="E14" s="244">
        <f t="shared" si="0"/>
      </c>
      <c r="F14" s="99"/>
    </row>
    <row r="15" spans="1:6" ht="15.75">
      <c r="A15" s="48"/>
      <c r="B15" s="88">
        <f>inputPrYr!B27</f>
        <v>0</v>
      </c>
      <c r="C15" s="342"/>
      <c r="D15" s="341">
        <f t="shared" si="1"/>
      </c>
      <c r="E15" s="244">
        <f t="shared" si="0"/>
      </c>
      <c r="F15" s="99"/>
    </row>
    <row r="16" spans="1:6" ht="15.75">
      <c r="A16" s="48"/>
      <c r="B16" s="88">
        <f>inputPrYr!B28</f>
        <v>0</v>
      </c>
      <c r="C16" s="342"/>
      <c r="D16" s="341">
        <f t="shared" si="1"/>
      </c>
      <c r="E16" s="244">
        <f t="shared" si="0"/>
      </c>
      <c r="F16" s="99"/>
    </row>
    <row r="17" spans="1:6" ht="15.75">
      <c r="A17" s="48"/>
      <c r="B17" s="88">
        <f>inputPrYr!B29</f>
        <v>0</v>
      </c>
      <c r="C17" s="342"/>
      <c r="D17" s="341">
        <f t="shared" si="1"/>
      </c>
      <c r="E17" s="244">
        <f t="shared" si="0"/>
      </c>
      <c r="F17" s="99"/>
    </row>
    <row r="18" spans="1:6" ht="15.75">
      <c r="A18" s="48"/>
      <c r="B18" s="88">
        <f>inputPrYr!B30</f>
        <v>0</v>
      </c>
      <c r="C18" s="342"/>
      <c r="D18" s="341">
        <f>IF(C18&gt;0,C18/$D$24,"")</f>
      </c>
      <c r="E18" s="244">
        <f>IF(C18&gt;0,ROUND(D18*$D$28,0),"")</f>
      </c>
      <c r="F18" s="99"/>
    </row>
    <row r="19" spans="1:6" ht="16.5" thickBot="1">
      <c r="A19" s="48"/>
      <c r="B19" s="66" t="s">
        <v>806</v>
      </c>
      <c r="C19" s="343">
        <f>SUM(C6:C18)</f>
        <v>0</v>
      </c>
      <c r="D19" s="344">
        <f>SUM(D6:D17)</f>
        <v>0</v>
      </c>
      <c r="E19" s="343">
        <f>SUM(E6:E17)</f>
        <v>0</v>
      </c>
      <c r="F19" s="99"/>
    </row>
    <row r="20" spans="1:6" ht="16.5" thickTop="1">
      <c r="A20" s="48"/>
      <c r="B20" s="48"/>
      <c r="C20" s="48"/>
      <c r="D20" s="48"/>
      <c r="E20" s="48"/>
      <c r="F20" s="99"/>
    </row>
    <row r="21" spans="1:6" ht="15.75">
      <c r="A21" s="48"/>
      <c r="B21" s="48"/>
      <c r="C21" s="48"/>
      <c r="D21" s="48"/>
      <c r="E21" s="48"/>
      <c r="F21" s="99"/>
    </row>
    <row r="22" spans="1:6" ht="15.75">
      <c r="A22" s="756" t="str">
        <f>CONCATENATE("",F1-1," July 1 Valuation:")</f>
        <v>2011 July 1 Valuation:</v>
      </c>
      <c r="B22" s="736"/>
      <c r="C22" s="756"/>
      <c r="D22" s="336">
        <f>inputOth!E7</f>
        <v>46543382</v>
      </c>
      <c r="E22" s="48"/>
      <c r="F22" s="99"/>
    </row>
    <row r="23" spans="1:6" ht="15.75">
      <c r="A23" s="48"/>
      <c r="B23" s="48"/>
      <c r="C23" s="48"/>
      <c r="D23" s="48"/>
      <c r="E23" s="48"/>
      <c r="F23" s="99"/>
    </row>
    <row r="24" spans="1:6" ht="15.75">
      <c r="A24" s="48"/>
      <c r="B24" s="756" t="s">
        <v>1070</v>
      </c>
      <c r="C24" s="756"/>
      <c r="D24" s="345">
        <f>IF(D22&gt;0,(D22*0.001),"")</f>
        <v>46543.382</v>
      </c>
      <c r="E24" s="48"/>
      <c r="F24" s="99"/>
    </row>
    <row r="25" spans="1:6" ht="15.75">
      <c r="A25" s="48"/>
      <c r="B25" s="139"/>
      <c r="C25" s="139"/>
      <c r="D25" s="346"/>
      <c r="E25" s="48"/>
      <c r="F25" s="99"/>
    </row>
    <row r="26" spans="1:6" ht="15.75">
      <c r="A26" s="754" t="s">
        <v>1071</v>
      </c>
      <c r="B26" s="692"/>
      <c r="C26" s="692"/>
      <c r="D26" s="347">
        <f>inputOth!E17</f>
        <v>7431</v>
      </c>
      <c r="E26" s="69"/>
      <c r="F26" s="69"/>
    </row>
    <row r="27" spans="1:6" ht="15">
      <c r="A27" s="69"/>
      <c r="B27" s="69"/>
      <c r="C27" s="69"/>
      <c r="D27" s="348"/>
      <c r="E27" s="69"/>
      <c r="F27" s="69"/>
    </row>
    <row r="28" spans="1:6" ht="15.75">
      <c r="A28" s="69"/>
      <c r="B28" s="754" t="s">
        <v>1072</v>
      </c>
      <c r="C28" s="736"/>
      <c r="D28" s="349">
        <f>IF(D26&gt;0,(D26*0.001),"")</f>
        <v>7.431</v>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84"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84" t="s">
        <v>647</v>
      </c>
      <c r="B33" s="69"/>
      <c r="C33" s="69"/>
      <c r="D33" s="69"/>
      <c r="E33" s="69"/>
      <c r="F33" s="69"/>
    </row>
    <row r="34" spans="1:6" ht="15.75">
      <c r="A34" s="384"/>
      <c r="B34" s="69"/>
      <c r="C34" s="69"/>
      <c r="D34" s="69"/>
      <c r="E34" s="69"/>
      <c r="F34" s="69"/>
    </row>
    <row r="35" spans="1:6" ht="15.75">
      <c r="A35" s="384"/>
      <c r="B35" s="69"/>
      <c r="C35" s="69"/>
      <c r="D35" s="69"/>
      <c r="E35" s="69"/>
      <c r="F35" s="69"/>
    </row>
    <row r="36" spans="1:6" ht="15.75">
      <c r="A36" s="384"/>
      <c r="B36" s="69"/>
      <c r="C36" s="69"/>
      <c r="D36" s="69"/>
      <c r="E36" s="69"/>
      <c r="F36" s="69"/>
    </row>
    <row r="37" spans="1:6" ht="15.75">
      <c r="A37" s="384"/>
      <c r="B37" s="69"/>
      <c r="C37" s="69"/>
      <c r="D37" s="69"/>
      <c r="E37" s="69"/>
      <c r="F37" s="69"/>
    </row>
    <row r="38" spans="1:6" ht="15">
      <c r="A38" s="69"/>
      <c r="B38" s="69"/>
      <c r="C38" s="69"/>
      <c r="D38" s="69"/>
      <c r="E38" s="69"/>
      <c r="F38" s="69"/>
    </row>
    <row r="39" spans="1:6" ht="15.75">
      <c r="A39" s="69"/>
      <c r="B39" s="191" t="s">
        <v>827</v>
      </c>
      <c r="C39" s="285">
        <v>19</v>
      </c>
      <c r="D39" s="69"/>
      <c r="E39" s="69"/>
      <c r="F39" s="69"/>
    </row>
    <row r="40" spans="1:6" ht="15.75">
      <c r="A40" s="99"/>
      <c r="B40" s="48"/>
      <c r="C40" s="48"/>
      <c r="D40" s="350"/>
      <c r="E40" s="99"/>
      <c r="F40" s="99"/>
    </row>
  </sheetData>
  <sheetProtection/>
  <mergeCells count="5">
    <mergeCell ref="B28:C28"/>
    <mergeCell ref="B3:E3"/>
    <mergeCell ref="A22:C22"/>
    <mergeCell ref="B24:C24"/>
    <mergeCell ref="A26:C26"/>
  </mergeCells>
  <printOptions horizontalCentered="1"/>
  <pageMargins left="0.75" right="0.75" top="1" bottom="1" header="0.5" footer="0.5"/>
  <pageSetup blackAndWhite="1" fitToHeight="1" fitToWidth="1" horizontalDpi="600" verticalDpi="600" orientation="portrait" scale="90"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25">
      <selection activeCell="H10" sqref="H10"/>
    </sheetView>
  </sheetViews>
  <sheetFormatPr defaultColWidth="8.796875" defaultRowHeight="15"/>
  <cols>
    <col min="1" max="16384" width="8.8984375" style="1" customWidth="1"/>
  </cols>
  <sheetData>
    <row r="1" spans="1:7" ht="16.5" customHeight="1">
      <c r="A1" s="760" t="s">
        <v>943</v>
      </c>
      <c r="B1" s="760"/>
      <c r="C1" s="760"/>
      <c r="D1" s="760"/>
      <c r="E1" s="760"/>
      <c r="F1" s="760"/>
      <c r="G1" s="760"/>
    </row>
    <row r="2" spans="1:7" ht="16.5" customHeight="1">
      <c r="A2" s="760"/>
      <c r="B2" s="760"/>
      <c r="C2" s="760"/>
      <c r="D2" s="760"/>
      <c r="E2" s="760"/>
      <c r="F2" s="760"/>
      <c r="G2" s="760"/>
    </row>
    <row r="3" spans="1:7" ht="16.5" customHeight="1">
      <c r="A3" s="761"/>
      <c r="B3" s="761"/>
      <c r="C3" s="761"/>
      <c r="D3" s="761"/>
      <c r="E3" s="761"/>
      <c r="F3" s="761"/>
      <c r="G3" s="761"/>
    </row>
    <row r="4" spans="1:7" ht="16.5" customHeight="1">
      <c r="A4" s="758" t="str">
        <f>CONCATENATE("AN ORDINANCE ATTESTING TO AN INCREASE IN TAX REVENUES FOR BUDGET YEAR ",inputPrYr!C5," FOR THE ",(inputPrYr!$D$2))</f>
        <v>AN ORDINANCE ATTESTING TO AN INCREASE IN TAX REVENUES FOR BUDGET YEAR 2012 FOR THE City of Paola</v>
      </c>
      <c r="B4" s="758"/>
      <c r="C4" s="758"/>
      <c r="D4" s="758"/>
      <c r="E4" s="758"/>
      <c r="F4" s="758"/>
      <c r="G4" s="758"/>
    </row>
    <row r="5" spans="1:7" ht="16.5" customHeight="1">
      <c r="A5" s="758"/>
      <c r="B5" s="758"/>
      <c r="C5" s="758"/>
      <c r="D5" s="758"/>
      <c r="E5" s="758"/>
      <c r="F5" s="758"/>
      <c r="G5" s="758"/>
    </row>
    <row r="6" spans="1:7" ht="16.5" customHeight="1">
      <c r="A6" s="760"/>
      <c r="B6" s="760"/>
      <c r="C6" s="760"/>
      <c r="D6" s="760"/>
      <c r="E6" s="760"/>
      <c r="F6" s="760"/>
      <c r="G6" s="760"/>
    </row>
    <row r="7" spans="1:14" ht="16.5" customHeight="1">
      <c r="A7" s="758" t="str">
        <f>CONCATENATE("WHEREAS, the ",(inputPrYr!$D$2)," must continue to provide services to protect the health, safety, and welfare of the citizens of this community; and")</f>
        <v>WHEREAS, the City of Paola must continue to provide services to protect the health, safety, and welfare of the citizens of this community; and</v>
      </c>
      <c r="B7" s="758"/>
      <c r="C7" s="758"/>
      <c r="D7" s="758"/>
      <c r="E7" s="758"/>
      <c r="F7" s="758"/>
      <c r="G7" s="758"/>
      <c r="H7" s="25"/>
      <c r="I7" s="25"/>
      <c r="J7" s="25"/>
      <c r="K7" s="25"/>
      <c r="L7" s="25"/>
      <c r="M7" s="25"/>
      <c r="N7" s="25"/>
    </row>
    <row r="8" spans="1:14" ht="16.5" customHeight="1">
      <c r="A8" s="758"/>
      <c r="B8" s="758"/>
      <c r="C8" s="758"/>
      <c r="D8" s="758"/>
      <c r="E8" s="758"/>
      <c r="F8" s="758"/>
      <c r="G8" s="758"/>
      <c r="H8" s="25"/>
      <c r="I8" s="25"/>
      <c r="J8" s="25"/>
      <c r="K8" s="25"/>
      <c r="L8" s="25"/>
      <c r="M8" s="25"/>
      <c r="N8" s="25"/>
    </row>
    <row r="9" spans="1:7" ht="16.5" customHeight="1">
      <c r="A9" s="26"/>
      <c r="B9" s="26"/>
      <c r="C9" s="26"/>
      <c r="D9" s="26"/>
      <c r="E9" s="26"/>
      <c r="F9" s="26"/>
      <c r="G9" s="26"/>
    </row>
    <row r="10" spans="1:7" ht="16.5" customHeight="1">
      <c r="A10" s="758" t="s">
        <v>944</v>
      </c>
      <c r="B10" s="758"/>
      <c r="C10" s="758"/>
      <c r="D10" s="758"/>
      <c r="E10" s="758"/>
      <c r="F10" s="758"/>
      <c r="G10" s="758"/>
    </row>
    <row r="11" spans="1:7" ht="16.5" customHeight="1">
      <c r="A11" s="758"/>
      <c r="B11" s="758"/>
      <c r="C11" s="758"/>
      <c r="D11" s="758"/>
      <c r="E11" s="758"/>
      <c r="F11" s="758"/>
      <c r="G11" s="758"/>
    </row>
    <row r="12" spans="1:7" ht="16.5" customHeight="1">
      <c r="A12" s="26"/>
      <c r="B12" s="26"/>
      <c r="C12" s="26"/>
      <c r="D12" s="26"/>
      <c r="E12" s="26"/>
      <c r="F12" s="26"/>
      <c r="G12" s="26"/>
    </row>
    <row r="13" spans="1:14" ht="16.5" customHeight="1">
      <c r="A13" s="758" t="str">
        <f>CONCATENATE("NOW THEREFORE, be it ordained by the Governing Body of the ",(inputPrYr!$D$2),":")</f>
        <v>NOW THEREFORE, be it ordained by the Governing Body of the City of Paola:</v>
      </c>
      <c r="B13" s="758"/>
      <c r="C13" s="758"/>
      <c r="D13" s="758"/>
      <c r="E13" s="758"/>
      <c r="F13" s="758"/>
      <c r="G13" s="758"/>
      <c r="H13" s="25"/>
      <c r="I13" s="25"/>
      <c r="J13" s="25"/>
      <c r="K13" s="25"/>
      <c r="L13" s="25"/>
      <c r="M13" s="25"/>
      <c r="N13" s="25"/>
    </row>
    <row r="14" spans="1:14" ht="16.5" customHeight="1">
      <c r="A14" s="758"/>
      <c r="B14" s="758"/>
      <c r="C14" s="758"/>
      <c r="D14" s="758"/>
      <c r="E14" s="758"/>
      <c r="F14" s="758"/>
      <c r="G14" s="758"/>
      <c r="H14" s="25"/>
      <c r="I14" s="25"/>
      <c r="J14" s="25"/>
      <c r="K14" s="25"/>
      <c r="L14" s="25"/>
      <c r="M14" s="25"/>
      <c r="N14" s="25"/>
    </row>
    <row r="15" spans="1:14" ht="16.5" customHeight="1">
      <c r="A15" s="75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Paola  has scheduled a public hearing and has prepared the proposed budget necessary to fund city services from January 1, 2012 until December 31, 2012.</v>
      </c>
      <c r="B15" s="758"/>
      <c r="C15" s="758"/>
      <c r="D15" s="758"/>
      <c r="E15" s="758"/>
      <c r="F15" s="758"/>
      <c r="G15" s="758"/>
      <c r="H15" s="25"/>
      <c r="I15" s="25"/>
      <c r="J15" s="25"/>
      <c r="K15" s="25"/>
      <c r="L15" s="25"/>
      <c r="M15" s="25"/>
      <c r="N15" s="25"/>
    </row>
    <row r="16" spans="1:14" ht="16.5" customHeight="1">
      <c r="A16" s="758"/>
      <c r="B16" s="758"/>
      <c r="C16" s="758"/>
      <c r="D16" s="758"/>
      <c r="E16" s="758"/>
      <c r="F16" s="758"/>
      <c r="G16" s="758"/>
      <c r="H16" s="25"/>
      <c r="I16" s="25"/>
      <c r="J16" s="25"/>
      <c r="K16" s="25"/>
      <c r="L16" s="25"/>
      <c r="M16" s="25"/>
      <c r="N16" s="25"/>
    </row>
    <row r="17" spans="1:14" ht="16.5" customHeight="1">
      <c r="A17" s="758"/>
      <c r="B17" s="758"/>
      <c r="C17" s="758"/>
      <c r="D17" s="758"/>
      <c r="E17" s="758"/>
      <c r="F17" s="758"/>
      <c r="G17" s="758"/>
      <c r="H17" s="25"/>
      <c r="I17" s="25"/>
      <c r="J17" s="25"/>
      <c r="K17" s="25"/>
      <c r="L17" s="25"/>
      <c r="M17" s="25"/>
      <c r="N17" s="25"/>
    </row>
    <row r="18" spans="1:7" ht="16.5" customHeight="1">
      <c r="A18" s="25"/>
      <c r="B18" s="25"/>
      <c r="C18" s="25"/>
      <c r="D18" s="25"/>
      <c r="E18" s="25"/>
      <c r="F18" s="25"/>
      <c r="G18" s="25"/>
    </row>
    <row r="19" spans="1:7" ht="16.5" customHeight="1">
      <c r="A19" s="759" t="s">
        <v>1015</v>
      </c>
      <c r="B19" s="759"/>
      <c r="C19" s="759"/>
      <c r="D19" s="759"/>
      <c r="E19" s="759"/>
      <c r="F19" s="759"/>
      <c r="G19" s="759"/>
    </row>
    <row r="20" spans="1:7" ht="16.5" customHeight="1">
      <c r="A20" s="759" t="s">
        <v>1016</v>
      </c>
      <c r="B20" s="759"/>
      <c r="C20" s="759"/>
      <c r="D20" s="759"/>
      <c r="E20" s="759"/>
      <c r="F20" s="759"/>
      <c r="G20" s="759"/>
    </row>
    <row r="21" spans="1:7" ht="16.5" customHeight="1">
      <c r="A21" s="759" t="str">
        <f>CONCATENATE("necessary to budget property tax revenues in an amount exceeding the levy in the ",inputPrYr!C5-1,"")</f>
        <v>necessary to budget property tax revenues in an amount exceeding the levy in the 2011</v>
      </c>
      <c r="B21" s="759"/>
      <c r="C21" s="759"/>
      <c r="D21" s="759"/>
      <c r="E21" s="759"/>
      <c r="F21" s="759"/>
      <c r="G21" s="759"/>
    </row>
    <row r="22" spans="1:7" ht="16.5" customHeight="1">
      <c r="A22" s="27" t="s">
        <v>1017</v>
      </c>
      <c r="B22" s="27"/>
      <c r="C22" s="27"/>
      <c r="D22" s="27"/>
      <c r="E22" s="27"/>
      <c r="F22" s="27"/>
      <c r="G22" s="27"/>
    </row>
    <row r="23" spans="1:7" ht="16.5" customHeight="1">
      <c r="A23" s="25"/>
      <c r="B23" s="25"/>
      <c r="C23" s="25"/>
      <c r="D23" s="25"/>
      <c r="E23" s="25"/>
      <c r="F23" s="25"/>
      <c r="G23" s="25"/>
    </row>
    <row r="24" spans="1:7" ht="16.5" customHeight="1">
      <c r="A24" s="758" t="s">
        <v>945</v>
      </c>
      <c r="B24" s="758"/>
      <c r="C24" s="758"/>
      <c r="D24" s="758"/>
      <c r="E24" s="758"/>
      <c r="F24" s="758"/>
      <c r="G24" s="758"/>
    </row>
    <row r="25" spans="1:7" ht="16.5" customHeight="1">
      <c r="A25" s="758"/>
      <c r="B25" s="758"/>
      <c r="C25" s="758"/>
      <c r="D25" s="758"/>
      <c r="E25" s="758"/>
      <c r="F25" s="758"/>
      <c r="G25" s="758"/>
    </row>
    <row r="26" spans="1:7" ht="16.5" customHeight="1">
      <c r="A26" s="25"/>
      <c r="B26" s="25"/>
      <c r="C26" s="25"/>
      <c r="D26" s="25"/>
      <c r="E26" s="25"/>
      <c r="F26" s="25"/>
      <c r="G26" s="25"/>
    </row>
    <row r="27" spans="1:7" ht="16.5" customHeight="1">
      <c r="A27" s="758" t="str">
        <f>CONCATENATE("Passed and approved by the Governing Body on this ______ day of __________, ",inputPrYr!C5-1,".")</f>
        <v>Passed and approved by the Governing Body on this ______ day of __________, 2011.</v>
      </c>
      <c r="B27" s="758"/>
      <c r="C27" s="758"/>
      <c r="D27" s="758"/>
      <c r="E27" s="758"/>
      <c r="F27" s="758"/>
      <c r="G27" s="758"/>
    </row>
    <row r="28" spans="1:7" ht="16.5" customHeight="1">
      <c r="A28" s="758"/>
      <c r="B28" s="758"/>
      <c r="C28" s="758"/>
      <c r="D28" s="758"/>
      <c r="E28" s="758"/>
      <c r="F28" s="758"/>
      <c r="G28" s="758"/>
    </row>
    <row r="29" ht="16.5" customHeight="1"/>
    <row r="30" spans="1:7" ht="16.5" customHeight="1">
      <c r="A30" s="757" t="s">
        <v>946</v>
      </c>
      <c r="B30" s="757"/>
      <c r="C30" s="757"/>
      <c r="D30" s="757"/>
      <c r="E30" s="757"/>
      <c r="F30" s="757"/>
      <c r="G30" s="757"/>
    </row>
    <row r="31" spans="1:7" ht="16.5" customHeight="1">
      <c r="A31" s="757" t="s">
        <v>951</v>
      </c>
      <c r="B31" s="757"/>
      <c r="C31" s="757"/>
      <c r="D31" s="757"/>
      <c r="E31" s="757"/>
      <c r="F31" s="757"/>
      <c r="G31" s="757"/>
    </row>
    <row r="32" ht="16.5" customHeight="1">
      <c r="A32" s="1" t="s">
        <v>947</v>
      </c>
    </row>
    <row r="33" ht="16.5" customHeight="1">
      <c r="B33" s="1" t="s">
        <v>948</v>
      </c>
    </row>
    <row r="34" ht="16.5" customHeight="1"/>
    <row r="35" ht="16.5" customHeight="1"/>
    <row r="36" ht="16.5" customHeight="1">
      <c r="A36" s="1" t="s">
        <v>949</v>
      </c>
    </row>
    <row r="37" ht="16.5" customHeight="1"/>
    <row r="38" ht="16.5" customHeight="1"/>
    <row r="39" ht="16.5" customHeight="1"/>
    <row r="40" ht="16.5" customHeight="1">
      <c r="A40" s="1" t="s">
        <v>950</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0">
      <selection activeCell="B7" sqref="B7"/>
    </sheetView>
  </sheetViews>
  <sheetFormatPr defaultColWidth="8.796875" defaultRowHeight="15"/>
  <cols>
    <col min="1" max="1" width="13.796875" style="0" customWidth="1"/>
    <col min="2" max="2" width="16.09765625" style="0" customWidth="1"/>
  </cols>
  <sheetData>
    <row r="2" spans="1:6" ht="54" customHeight="1">
      <c r="A2" s="712" t="s">
        <v>392</v>
      </c>
      <c r="B2" s="713"/>
      <c r="C2" s="713"/>
      <c r="D2" s="713"/>
      <c r="E2" s="713"/>
      <c r="F2" s="713"/>
    </row>
    <row r="4" spans="1:2" ht="15.75">
      <c r="A4" s="359" t="s">
        <v>120</v>
      </c>
      <c r="B4" s="361" t="s">
        <v>206</v>
      </c>
    </row>
    <row r="5" spans="1:6" ht="15.75">
      <c r="A5" s="358"/>
      <c r="B5" s="358"/>
      <c r="C5" s="358"/>
      <c r="D5" s="360"/>
      <c r="E5" s="358"/>
      <c r="F5" s="358"/>
    </row>
    <row r="6" spans="1:6" ht="15.75">
      <c r="A6" s="359" t="s">
        <v>393</v>
      </c>
      <c r="B6" s="361" t="s">
        <v>207</v>
      </c>
      <c r="C6" s="362"/>
      <c r="D6" s="359" t="s">
        <v>137</v>
      </c>
      <c r="E6" s="358"/>
      <c r="F6" s="358"/>
    </row>
    <row r="7" spans="1:6" ht="15.75">
      <c r="A7" s="359"/>
      <c r="B7" s="363"/>
      <c r="C7" s="364"/>
      <c r="D7" s="359" t="s">
        <v>136</v>
      </c>
      <c r="E7" s="358"/>
      <c r="F7" s="358"/>
    </row>
    <row r="8" spans="1:6" ht="15.75">
      <c r="A8" s="359" t="s">
        <v>394</v>
      </c>
      <c r="B8" s="361" t="s">
        <v>203</v>
      </c>
      <c r="C8" s="365"/>
      <c r="D8" s="359"/>
      <c r="E8" s="358"/>
      <c r="F8" s="358"/>
    </row>
    <row r="9" spans="1:6" ht="15.75">
      <c r="A9" s="359"/>
      <c r="B9" s="359"/>
      <c r="C9" s="359"/>
      <c r="D9" s="359"/>
      <c r="E9" s="358"/>
      <c r="F9" s="358"/>
    </row>
    <row r="10" spans="1:6" ht="15.75">
      <c r="A10" s="359" t="s">
        <v>395</v>
      </c>
      <c r="B10" s="366" t="s">
        <v>204</v>
      </c>
      <c r="C10" s="366"/>
      <c r="D10" s="366"/>
      <c r="E10" s="367"/>
      <c r="F10" s="358"/>
    </row>
    <row r="11" spans="1:6" ht="15.75">
      <c r="A11" s="359"/>
      <c r="B11" s="359"/>
      <c r="C11" s="359"/>
      <c r="D11" s="359"/>
      <c r="E11" s="358"/>
      <c r="F11" s="358"/>
    </row>
    <row r="12" spans="1:6" ht="15.75">
      <c r="A12" s="359"/>
      <c r="B12" s="359"/>
      <c r="C12" s="359"/>
      <c r="D12" s="359"/>
      <c r="E12" s="358"/>
      <c r="F12" s="358"/>
    </row>
    <row r="13" spans="1:6" ht="15.75">
      <c r="A13" s="359" t="s">
        <v>396</v>
      </c>
      <c r="B13" s="366" t="s">
        <v>205</v>
      </c>
      <c r="C13" s="366"/>
      <c r="D13" s="366"/>
      <c r="E13" s="367"/>
      <c r="F13" s="358"/>
    </row>
    <row r="16" spans="1:6" ht="15.75">
      <c r="A16" s="695" t="s">
        <v>397</v>
      </c>
      <c r="B16" s="695"/>
      <c r="C16" s="359"/>
      <c r="D16" s="359"/>
      <c r="E16" s="359"/>
      <c r="F16" s="358"/>
    </row>
    <row r="17" spans="1:6" ht="15.75">
      <c r="A17" s="359"/>
      <c r="B17" s="359"/>
      <c r="C17" s="359"/>
      <c r="D17" s="359"/>
      <c r="E17" s="359"/>
      <c r="F17" s="358"/>
    </row>
    <row r="18" spans="1:6" ht="15.75">
      <c r="A18" s="359" t="s">
        <v>120</v>
      </c>
      <c r="B18" s="359" t="s">
        <v>121</v>
      </c>
      <c r="C18" s="359"/>
      <c r="D18" s="359"/>
      <c r="E18" s="359"/>
      <c r="F18" s="358"/>
    </row>
    <row r="19" spans="1:6" ht="15.75">
      <c r="A19" s="359"/>
      <c r="B19" s="359"/>
      <c r="C19" s="359"/>
      <c r="D19" s="359"/>
      <c r="E19" s="359"/>
      <c r="F19" s="358"/>
    </row>
    <row r="20" spans="1:5" ht="15.75">
      <c r="A20" s="359" t="s">
        <v>393</v>
      </c>
      <c r="B20" s="363" t="s">
        <v>398</v>
      </c>
      <c r="C20" s="359"/>
      <c r="D20" s="359"/>
      <c r="E20" s="359"/>
    </row>
    <row r="21" spans="1:5" ht="15.75">
      <c r="A21" s="359"/>
      <c r="B21" s="359"/>
      <c r="C21" s="359"/>
      <c r="D21" s="359"/>
      <c r="E21" s="359"/>
    </row>
    <row r="22" spans="1:5" ht="15.75">
      <c r="A22" s="359" t="s">
        <v>394</v>
      </c>
      <c r="B22" s="359" t="s">
        <v>399</v>
      </c>
      <c r="C22" s="359"/>
      <c r="D22" s="359"/>
      <c r="E22" s="359"/>
    </row>
    <row r="23" spans="1:5" ht="15.75">
      <c r="A23" s="359"/>
      <c r="B23" s="359"/>
      <c r="C23" s="359"/>
      <c r="D23" s="359"/>
      <c r="E23" s="359"/>
    </row>
    <row r="24" spans="1:5" ht="15.75">
      <c r="A24" s="359" t="s">
        <v>395</v>
      </c>
      <c r="B24" s="359" t="s">
        <v>400</v>
      </c>
      <c r="C24" s="359"/>
      <c r="D24" s="359"/>
      <c r="E24" s="359"/>
    </row>
    <row r="25" spans="1:5" ht="15.75">
      <c r="A25" s="359"/>
      <c r="B25" s="359"/>
      <c r="C25" s="359"/>
      <c r="D25" s="359"/>
      <c r="E25" s="359"/>
    </row>
    <row r="26" spans="1:5" ht="15.75">
      <c r="A26" s="359" t="s">
        <v>396</v>
      </c>
      <c r="B26" s="359" t="s">
        <v>400</v>
      </c>
      <c r="C26" s="359"/>
      <c r="D26" s="359"/>
      <c r="E26" s="359"/>
    </row>
  </sheetData>
  <sheetProtection/>
  <mergeCells count="2">
    <mergeCell ref="A2:F2"/>
    <mergeCell ref="A16:B16"/>
  </mergeCells>
  <printOptions/>
  <pageMargins left="0.7" right="0.7" top="0.75" bottom="0.75" header="0.3" footer="0.3"/>
  <pageSetup blackAndWhite="1" fitToHeight="1" fitToWidth="1" horizontalDpi="600" verticalDpi="600" orientation="portrait" scale="95"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0" t="s">
        <v>405</v>
      </c>
      <c r="B3" s="370"/>
      <c r="C3" s="370"/>
      <c r="D3" s="370"/>
      <c r="E3" s="370"/>
      <c r="F3" s="370"/>
      <c r="G3" s="370"/>
      <c r="H3" s="370"/>
      <c r="I3" s="370"/>
      <c r="J3" s="370"/>
      <c r="K3" s="370"/>
      <c r="L3" s="370"/>
    </row>
    <row r="5" ht="15">
      <c r="A5" s="371" t="s">
        <v>406</v>
      </c>
    </row>
    <row r="6" ht="15">
      <c r="A6" s="371" t="str">
        <f>CONCATENATE(inputPrYr!C5-2," 'total expenditures' exceed your ",inputPrYr!C5-2," 'budget authority.'")</f>
        <v>2010 'total expenditures' exceed your 2010 'budget authority.'</v>
      </c>
    </row>
    <row r="7" ht="15">
      <c r="A7" s="371"/>
    </row>
    <row r="8" ht="15">
      <c r="A8" s="371" t="s">
        <v>407</v>
      </c>
    </row>
    <row r="9" ht="15">
      <c r="A9" s="371" t="s">
        <v>408</v>
      </c>
    </row>
    <row r="10" ht="15">
      <c r="A10" s="371" t="s">
        <v>409</v>
      </c>
    </row>
    <row r="11" ht="15">
      <c r="A11" s="371"/>
    </row>
    <row r="12" ht="15">
      <c r="A12" s="371"/>
    </row>
    <row r="13" ht="15">
      <c r="A13" s="372" t="s">
        <v>410</v>
      </c>
    </row>
    <row r="15" ht="15">
      <c r="A15" s="371" t="s">
        <v>411</v>
      </c>
    </row>
    <row r="16" ht="15">
      <c r="A16" s="371" t="str">
        <f>CONCATENATE("(i.e. an audit has not been completed, or the ",inputPrYr!C5," adopted")</f>
        <v>(i.e. an audit has not been completed, or the 2012 adopted</v>
      </c>
    </row>
    <row r="17" ht="15">
      <c r="A17" s="371" t="s">
        <v>412</v>
      </c>
    </row>
    <row r="18" ht="15">
      <c r="A18" s="371" t="s">
        <v>413</v>
      </c>
    </row>
    <row r="19" ht="15">
      <c r="A19" s="371" t="s">
        <v>414</v>
      </c>
    </row>
    <row r="21" ht="15">
      <c r="A21" s="372" t="s">
        <v>415</v>
      </c>
    </row>
    <row r="22" ht="15">
      <c r="A22" s="372"/>
    </row>
    <row r="23" ht="15">
      <c r="A23" s="371" t="s">
        <v>416</v>
      </c>
    </row>
    <row r="24" ht="15">
      <c r="A24" s="371" t="s">
        <v>417</v>
      </c>
    </row>
    <row r="25" ht="15">
      <c r="A25" s="371" t="str">
        <f>CONCATENATE("particular fund.  If your ",inputPrYr!C5-2," budget was amended, did you")</f>
        <v>particular fund.  If your 2010 budget was amended, did you</v>
      </c>
    </row>
    <row r="26" ht="15">
      <c r="A26" s="371" t="s">
        <v>418</v>
      </c>
    </row>
    <row r="27" ht="15">
      <c r="A27" s="371"/>
    </row>
    <row r="28" ht="15">
      <c r="A28" s="371" t="str">
        <f>CONCATENATE("Next, look to see if any of your ",inputPrYr!C5-2," expenditures can be")</f>
        <v>Next, look to see if any of your 2010 expenditures can be</v>
      </c>
    </row>
    <row r="29" ht="15">
      <c r="A29" s="371" t="s">
        <v>419</v>
      </c>
    </row>
    <row r="30" ht="15">
      <c r="A30" s="371" t="s">
        <v>420</v>
      </c>
    </row>
    <row r="31" ht="15">
      <c r="A31" s="371" t="s">
        <v>421</v>
      </c>
    </row>
    <row r="32" ht="15">
      <c r="A32" s="371"/>
    </row>
    <row r="33" ht="15">
      <c r="A33" s="371" t="str">
        <f>CONCATENATE("Additionally, do your ",inputPrYr!C5-2," receipts contain a reimbursement")</f>
        <v>Additionally, do your 2010 receipts contain a reimbursement</v>
      </c>
    </row>
    <row r="34" ht="15">
      <c r="A34" s="371" t="s">
        <v>422</v>
      </c>
    </row>
    <row r="35" ht="15">
      <c r="A35" s="371" t="s">
        <v>423</v>
      </c>
    </row>
    <row r="36" ht="15">
      <c r="A36" s="371"/>
    </row>
    <row r="37" ht="15">
      <c r="A37" s="371" t="s">
        <v>424</v>
      </c>
    </row>
    <row r="38" ht="15">
      <c r="A38" s="371" t="s">
        <v>425</v>
      </c>
    </row>
    <row r="39" ht="15">
      <c r="A39" s="371" t="s">
        <v>426</v>
      </c>
    </row>
    <row r="40" ht="15">
      <c r="A40" s="371" t="s">
        <v>427</v>
      </c>
    </row>
    <row r="41" ht="15">
      <c r="A41" s="371" t="s">
        <v>428</v>
      </c>
    </row>
    <row r="42" ht="15">
      <c r="A42" s="371" t="s">
        <v>429</v>
      </c>
    </row>
    <row r="43" ht="15">
      <c r="A43" s="371" t="s">
        <v>430</v>
      </c>
    </row>
    <row r="44" ht="15">
      <c r="A44" s="371" t="s">
        <v>431</v>
      </c>
    </row>
    <row r="45" ht="15">
      <c r="A45" s="371"/>
    </row>
    <row r="46" ht="15">
      <c r="A46" s="371" t="s">
        <v>432</v>
      </c>
    </row>
    <row r="47" ht="15">
      <c r="A47" s="371" t="s">
        <v>433</v>
      </c>
    </row>
    <row r="48" ht="15">
      <c r="A48" s="371" t="s">
        <v>434</v>
      </c>
    </row>
    <row r="49" ht="15">
      <c r="A49" s="371"/>
    </row>
    <row r="50" ht="15">
      <c r="A50" s="371" t="s">
        <v>435</v>
      </c>
    </row>
    <row r="51" ht="15">
      <c r="A51" s="371" t="s">
        <v>436</v>
      </c>
    </row>
    <row r="52" ht="15">
      <c r="A52" s="371" t="s">
        <v>437</v>
      </c>
    </row>
    <row r="53" ht="15">
      <c r="A53" s="371"/>
    </row>
    <row r="54" ht="15">
      <c r="A54" s="372" t="s">
        <v>438</v>
      </c>
    </row>
    <row r="55" ht="15">
      <c r="A55" s="371"/>
    </row>
    <row r="56" ht="15">
      <c r="A56" s="371" t="s">
        <v>216</v>
      </c>
    </row>
    <row r="57" ht="15">
      <c r="A57" s="371" t="s">
        <v>217</v>
      </c>
    </row>
    <row r="58" ht="15">
      <c r="A58" s="371" t="s">
        <v>218</v>
      </c>
    </row>
    <row r="59" ht="15">
      <c r="A59" s="371" t="s">
        <v>219</v>
      </c>
    </row>
    <row r="60" ht="15">
      <c r="A60" s="371" t="s">
        <v>220</v>
      </c>
    </row>
    <row r="61" ht="15">
      <c r="A61" s="371" t="s">
        <v>221</v>
      </c>
    </row>
    <row r="62" ht="15">
      <c r="A62" s="371" t="s">
        <v>222</v>
      </c>
    </row>
    <row r="63" ht="15">
      <c r="A63" s="371" t="s">
        <v>223</v>
      </c>
    </row>
    <row r="64" ht="15">
      <c r="A64" s="371" t="s">
        <v>224</v>
      </c>
    </row>
    <row r="65" ht="15">
      <c r="A65" s="371" t="s">
        <v>225</v>
      </c>
    </row>
    <row r="66" ht="15">
      <c r="A66" s="371" t="s">
        <v>226</v>
      </c>
    </row>
    <row r="67" ht="15">
      <c r="A67" s="371" t="s">
        <v>227</v>
      </c>
    </row>
    <row r="68" ht="15">
      <c r="A68" s="371" t="s">
        <v>228</v>
      </c>
    </row>
    <row r="69" ht="15">
      <c r="A69" s="371"/>
    </row>
    <row r="70" ht="15">
      <c r="A70" s="371" t="s">
        <v>229</v>
      </c>
    </row>
    <row r="71" ht="15">
      <c r="A71" s="371" t="s">
        <v>230</v>
      </c>
    </row>
    <row r="72" ht="15">
      <c r="A72" s="371" t="s">
        <v>231</v>
      </c>
    </row>
    <row r="73" ht="15">
      <c r="A73" s="371"/>
    </row>
    <row r="74" ht="15">
      <c r="A74" s="372" t="str">
        <f>CONCATENATE("What if the ",inputPrYr!C5-2," financial records have been closed?")</f>
        <v>What if the 2010 financial records have been closed?</v>
      </c>
    </row>
    <row r="76" ht="15">
      <c r="A76" s="371" t="s">
        <v>232</v>
      </c>
    </row>
    <row r="77" ht="15">
      <c r="A77" s="371" t="str">
        <f>CONCATENATE("(i.e. an audit for ",inputPrYr!C5-2," has been completed, or the ",inputPrYr!C5)</f>
        <v>(i.e. an audit for 2010 has been completed, or the 2012</v>
      </c>
    </row>
    <row r="78" ht="15">
      <c r="A78" s="371" t="s">
        <v>233</v>
      </c>
    </row>
    <row r="79" ht="15">
      <c r="A79" s="371" t="s">
        <v>234</v>
      </c>
    </row>
    <row r="80" ht="15">
      <c r="A80" s="371"/>
    </row>
    <row r="81" ht="15">
      <c r="A81" s="371" t="s">
        <v>235</v>
      </c>
    </row>
    <row r="82" ht="15">
      <c r="A82" s="371" t="s">
        <v>236</v>
      </c>
    </row>
    <row r="83" ht="15">
      <c r="A83" s="371" t="s">
        <v>237</v>
      </c>
    </row>
    <row r="84" ht="15">
      <c r="A84" s="371"/>
    </row>
    <row r="85" ht="15">
      <c r="A85" s="371" t="s">
        <v>238</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70" t="s">
        <v>239</v>
      </c>
      <c r="B3" s="370"/>
      <c r="C3" s="370"/>
      <c r="D3" s="370"/>
      <c r="E3" s="370"/>
      <c r="F3" s="370"/>
      <c r="G3" s="370"/>
      <c r="H3" s="373"/>
      <c r="I3" s="373"/>
      <c r="J3" s="373"/>
    </row>
    <row r="5" ht="15">
      <c r="A5" s="371" t="s">
        <v>240</v>
      </c>
    </row>
    <row r="6" ht="15">
      <c r="A6" t="str">
        <f>CONCATENATE(inputPrYr!C5-2," expenditures show that you finished the year with a ")</f>
        <v>2010 expenditures show that you finished the year with a </v>
      </c>
    </row>
    <row r="7" ht="15">
      <c r="A7" t="s">
        <v>241</v>
      </c>
    </row>
    <row r="9" ht="15">
      <c r="A9" t="s">
        <v>242</v>
      </c>
    </row>
    <row r="10" ht="15">
      <c r="A10" t="s">
        <v>243</v>
      </c>
    </row>
    <row r="11" ht="15">
      <c r="A11" t="s">
        <v>244</v>
      </c>
    </row>
    <row r="13" ht="15">
      <c r="A13" s="372" t="s">
        <v>245</v>
      </c>
    </row>
    <row r="14" ht="15">
      <c r="A14" s="372"/>
    </row>
    <row r="15" ht="15">
      <c r="A15" s="371" t="s">
        <v>246</v>
      </c>
    </row>
    <row r="16" ht="15">
      <c r="A16" s="371" t="s">
        <v>247</v>
      </c>
    </row>
    <row r="17" ht="15">
      <c r="A17" s="371" t="s">
        <v>248</v>
      </c>
    </row>
    <row r="18" ht="15">
      <c r="A18" s="371"/>
    </row>
    <row r="19" ht="15">
      <c r="A19" s="372" t="s">
        <v>249</v>
      </c>
    </row>
    <row r="20" ht="15">
      <c r="A20" s="372"/>
    </row>
    <row r="21" ht="15">
      <c r="A21" s="371" t="s">
        <v>250</v>
      </c>
    </row>
    <row r="22" ht="15">
      <c r="A22" s="371" t="s">
        <v>251</v>
      </c>
    </row>
    <row r="23" ht="15">
      <c r="A23" s="371" t="s">
        <v>252</v>
      </c>
    </row>
    <row r="24" ht="15">
      <c r="A24" s="371"/>
    </row>
    <row r="25" ht="15">
      <c r="A25" s="372" t="s">
        <v>253</v>
      </c>
    </row>
    <row r="26" ht="15">
      <c r="A26" s="372"/>
    </row>
    <row r="27" ht="15">
      <c r="A27" s="371" t="s">
        <v>254</v>
      </c>
    </row>
    <row r="28" ht="15">
      <c r="A28" s="371" t="s">
        <v>255</v>
      </c>
    </row>
    <row r="29" ht="15">
      <c r="A29" s="371" t="s">
        <v>256</v>
      </c>
    </row>
    <row r="30" ht="15">
      <c r="A30" s="371"/>
    </row>
    <row r="31" ht="15">
      <c r="A31" s="372" t="s">
        <v>257</v>
      </c>
    </row>
    <row r="32" ht="15">
      <c r="A32" s="372"/>
    </row>
    <row r="33" spans="1:8" ht="15">
      <c r="A33" s="371" t="str">
        <f>CONCATENATE("If your financial records for ",inputPrYr!C5-2," are not closed")</f>
        <v>If your financial records for 2010 are not closed</v>
      </c>
      <c r="B33" s="371"/>
      <c r="C33" s="371"/>
      <c r="D33" s="371"/>
      <c r="E33" s="371"/>
      <c r="F33" s="371"/>
      <c r="G33" s="371"/>
      <c r="H33" s="371"/>
    </row>
    <row r="34" spans="1:8" ht="15">
      <c r="A34" s="371" t="str">
        <f>CONCATENATE("(i.e. an audit has not been completed, or the ",inputPrYr!C5," adopted ")</f>
        <v>(i.e. an audit has not been completed, or the 2012 adopted </v>
      </c>
      <c r="B34" s="371"/>
      <c r="C34" s="371"/>
      <c r="D34" s="371"/>
      <c r="E34" s="371"/>
      <c r="F34" s="371"/>
      <c r="G34" s="371"/>
      <c r="H34" s="371"/>
    </row>
    <row r="35" spans="1:8" ht="15">
      <c r="A35" s="371" t="s">
        <v>258</v>
      </c>
      <c r="B35" s="371"/>
      <c r="C35" s="371"/>
      <c r="D35" s="371"/>
      <c r="E35" s="371"/>
      <c r="F35" s="371"/>
      <c r="G35" s="371"/>
      <c r="H35" s="371"/>
    </row>
    <row r="36" spans="1:8" ht="15">
      <c r="A36" s="371" t="s">
        <v>259</v>
      </c>
      <c r="B36" s="371"/>
      <c r="C36" s="371"/>
      <c r="D36" s="371"/>
      <c r="E36" s="371"/>
      <c r="F36" s="371"/>
      <c r="G36" s="371"/>
      <c r="H36" s="371"/>
    </row>
    <row r="37" spans="1:8" ht="15">
      <c r="A37" s="371" t="s">
        <v>260</v>
      </c>
      <c r="B37" s="371"/>
      <c r="C37" s="371"/>
      <c r="D37" s="371"/>
      <c r="E37" s="371"/>
      <c r="F37" s="371"/>
      <c r="G37" s="371"/>
      <c r="H37" s="371"/>
    </row>
    <row r="38" spans="1:8" ht="15">
      <c r="A38" s="371" t="s">
        <v>261</v>
      </c>
      <c r="B38" s="371"/>
      <c r="C38" s="371"/>
      <c r="D38" s="371"/>
      <c r="E38" s="371"/>
      <c r="F38" s="371"/>
      <c r="G38" s="371"/>
      <c r="H38" s="371"/>
    </row>
    <row r="39" spans="1:8" ht="15">
      <c r="A39" s="371" t="s">
        <v>262</v>
      </c>
      <c r="B39" s="371"/>
      <c r="C39" s="371"/>
      <c r="D39" s="371"/>
      <c r="E39" s="371"/>
      <c r="F39" s="371"/>
      <c r="G39" s="371"/>
      <c r="H39" s="371"/>
    </row>
    <row r="40" spans="1:8" ht="15">
      <c r="A40" s="371"/>
      <c r="B40" s="371"/>
      <c r="C40" s="371"/>
      <c r="D40" s="371"/>
      <c r="E40" s="371"/>
      <c r="F40" s="371"/>
      <c r="G40" s="371"/>
      <c r="H40" s="371"/>
    </row>
    <row r="41" spans="1:8" ht="15">
      <c r="A41" s="371" t="s">
        <v>263</v>
      </c>
      <c r="B41" s="371"/>
      <c r="C41" s="371"/>
      <c r="D41" s="371"/>
      <c r="E41" s="371"/>
      <c r="F41" s="371"/>
      <c r="G41" s="371"/>
      <c r="H41" s="371"/>
    </row>
    <row r="42" spans="1:8" ht="15">
      <c r="A42" s="371" t="s">
        <v>264</v>
      </c>
      <c r="B42" s="371"/>
      <c r="C42" s="371"/>
      <c r="D42" s="371"/>
      <c r="E42" s="371"/>
      <c r="F42" s="371"/>
      <c r="G42" s="371"/>
      <c r="H42" s="371"/>
    </row>
    <row r="43" spans="1:8" ht="15">
      <c r="A43" s="371" t="s">
        <v>265</v>
      </c>
      <c r="B43" s="371"/>
      <c r="C43" s="371"/>
      <c r="D43" s="371"/>
      <c r="E43" s="371"/>
      <c r="F43" s="371"/>
      <c r="G43" s="371"/>
      <c r="H43" s="371"/>
    </row>
    <row r="44" spans="1:8" ht="15">
      <c r="A44" s="371" t="s">
        <v>266</v>
      </c>
      <c r="B44" s="371"/>
      <c r="C44" s="371"/>
      <c r="D44" s="371"/>
      <c r="E44" s="371"/>
      <c r="F44" s="371"/>
      <c r="G44" s="371"/>
      <c r="H44" s="371"/>
    </row>
    <row r="45" spans="1:8" ht="15">
      <c r="A45" s="371"/>
      <c r="B45" s="371"/>
      <c r="C45" s="371"/>
      <c r="D45" s="371"/>
      <c r="E45" s="371"/>
      <c r="F45" s="371"/>
      <c r="G45" s="371"/>
      <c r="H45" s="371"/>
    </row>
    <row r="46" spans="1:8" ht="15">
      <c r="A46" s="371" t="s">
        <v>267</v>
      </c>
      <c r="B46" s="371"/>
      <c r="C46" s="371"/>
      <c r="D46" s="371"/>
      <c r="E46" s="371"/>
      <c r="F46" s="371"/>
      <c r="G46" s="371"/>
      <c r="H46" s="371"/>
    </row>
    <row r="47" spans="1:8" ht="15">
      <c r="A47" s="371" t="s">
        <v>268</v>
      </c>
      <c r="B47" s="371"/>
      <c r="C47" s="371"/>
      <c r="D47" s="371"/>
      <c r="E47" s="371"/>
      <c r="F47" s="371"/>
      <c r="G47" s="371"/>
      <c r="H47" s="371"/>
    </row>
    <row r="48" spans="1:8" ht="15">
      <c r="A48" s="371" t="s">
        <v>269</v>
      </c>
      <c r="B48" s="371"/>
      <c r="C48" s="371"/>
      <c r="D48" s="371"/>
      <c r="E48" s="371"/>
      <c r="F48" s="371"/>
      <c r="G48" s="371"/>
      <c r="H48" s="371"/>
    </row>
    <row r="49" spans="1:8" ht="15">
      <c r="A49" s="371" t="s">
        <v>270</v>
      </c>
      <c r="B49" s="371"/>
      <c r="C49" s="371"/>
      <c r="D49" s="371"/>
      <c r="E49" s="371"/>
      <c r="F49" s="371"/>
      <c r="G49" s="371"/>
      <c r="H49" s="371"/>
    </row>
    <row r="50" spans="1:8" ht="15">
      <c r="A50" s="371" t="s">
        <v>271</v>
      </c>
      <c r="B50" s="371"/>
      <c r="C50" s="371"/>
      <c r="D50" s="371"/>
      <c r="E50" s="371"/>
      <c r="F50" s="371"/>
      <c r="G50" s="371"/>
      <c r="H50" s="371"/>
    </row>
    <row r="51" spans="1:8" ht="15">
      <c r="A51" s="371"/>
      <c r="B51" s="371"/>
      <c r="C51" s="371"/>
      <c r="D51" s="371"/>
      <c r="E51" s="371"/>
      <c r="F51" s="371"/>
      <c r="G51" s="371"/>
      <c r="H51" s="371"/>
    </row>
    <row r="52" spans="1:8" ht="15">
      <c r="A52" s="372" t="s">
        <v>272</v>
      </c>
      <c r="B52" s="372"/>
      <c r="C52" s="372"/>
      <c r="D52" s="372"/>
      <c r="E52" s="372"/>
      <c r="F52" s="372"/>
      <c r="G52" s="372"/>
      <c r="H52" s="371"/>
    </row>
    <row r="53" spans="1:8" ht="15">
      <c r="A53" s="372" t="s">
        <v>273</v>
      </c>
      <c r="B53" s="372"/>
      <c r="C53" s="372"/>
      <c r="D53" s="372"/>
      <c r="E53" s="372"/>
      <c r="F53" s="372"/>
      <c r="G53" s="372"/>
      <c r="H53" s="371"/>
    </row>
    <row r="54" spans="1:8" ht="15">
      <c r="A54" s="371"/>
      <c r="B54" s="371"/>
      <c r="C54" s="371"/>
      <c r="D54" s="371"/>
      <c r="E54" s="371"/>
      <c r="F54" s="371"/>
      <c r="G54" s="371"/>
      <c r="H54" s="371"/>
    </row>
    <row r="55" spans="1:8" ht="15">
      <c r="A55" s="371" t="s">
        <v>274</v>
      </c>
      <c r="B55" s="371"/>
      <c r="C55" s="371"/>
      <c r="D55" s="371"/>
      <c r="E55" s="371"/>
      <c r="F55" s="371"/>
      <c r="G55" s="371"/>
      <c r="H55" s="371"/>
    </row>
    <row r="56" spans="1:8" ht="15">
      <c r="A56" s="371" t="s">
        <v>275</v>
      </c>
      <c r="B56" s="371"/>
      <c r="C56" s="371"/>
      <c r="D56" s="371"/>
      <c r="E56" s="371"/>
      <c r="F56" s="371"/>
      <c r="G56" s="371"/>
      <c r="H56" s="371"/>
    </row>
    <row r="57" spans="1:8" ht="15">
      <c r="A57" s="371" t="s">
        <v>276</v>
      </c>
      <c r="B57" s="371"/>
      <c r="C57" s="371"/>
      <c r="D57" s="371"/>
      <c r="E57" s="371"/>
      <c r="F57" s="371"/>
      <c r="G57" s="371"/>
      <c r="H57" s="371"/>
    </row>
    <row r="58" spans="1:8" ht="15">
      <c r="A58" s="371" t="s">
        <v>277</v>
      </c>
      <c r="B58" s="371"/>
      <c r="C58" s="371"/>
      <c r="D58" s="371"/>
      <c r="E58" s="371"/>
      <c r="F58" s="371"/>
      <c r="G58" s="371"/>
      <c r="H58" s="371"/>
    </row>
    <row r="59" spans="1:8" ht="15">
      <c r="A59" s="371"/>
      <c r="B59" s="371"/>
      <c r="C59" s="371"/>
      <c r="D59" s="371"/>
      <c r="E59" s="371"/>
      <c r="F59" s="371"/>
      <c r="G59" s="371"/>
      <c r="H59" s="371"/>
    </row>
    <row r="60" spans="1:8" ht="15">
      <c r="A60" s="371" t="s">
        <v>278</v>
      </c>
      <c r="B60" s="371"/>
      <c r="C60" s="371"/>
      <c r="D60" s="371"/>
      <c r="E60" s="371"/>
      <c r="F60" s="371"/>
      <c r="G60" s="371"/>
      <c r="H60" s="371"/>
    </row>
    <row r="61" spans="1:8" ht="15">
      <c r="A61" s="371" t="s">
        <v>279</v>
      </c>
      <c r="B61" s="371"/>
      <c r="C61" s="371"/>
      <c r="D61" s="371"/>
      <c r="E61" s="371"/>
      <c r="F61" s="371"/>
      <c r="G61" s="371"/>
      <c r="H61" s="371"/>
    </row>
    <row r="62" spans="1:8" ht="15">
      <c r="A62" s="371" t="s">
        <v>280</v>
      </c>
      <c r="B62" s="371"/>
      <c r="C62" s="371"/>
      <c r="D62" s="371"/>
      <c r="E62" s="371"/>
      <c r="F62" s="371"/>
      <c r="G62" s="371"/>
      <c r="H62" s="371"/>
    </row>
    <row r="63" spans="1:8" ht="15">
      <c r="A63" s="371" t="s">
        <v>281</v>
      </c>
      <c r="B63" s="371"/>
      <c r="C63" s="371"/>
      <c r="D63" s="371"/>
      <c r="E63" s="371"/>
      <c r="F63" s="371"/>
      <c r="G63" s="371"/>
      <c r="H63" s="371"/>
    </row>
    <row r="64" spans="1:8" ht="15">
      <c r="A64" s="371" t="s">
        <v>282</v>
      </c>
      <c r="B64" s="371"/>
      <c r="C64" s="371"/>
      <c r="D64" s="371"/>
      <c r="E64" s="371"/>
      <c r="F64" s="371"/>
      <c r="G64" s="371"/>
      <c r="H64" s="371"/>
    </row>
    <row r="65" spans="1:8" ht="15">
      <c r="A65" s="371" t="s">
        <v>283</v>
      </c>
      <c r="B65" s="371"/>
      <c r="C65" s="371"/>
      <c r="D65" s="371"/>
      <c r="E65" s="371"/>
      <c r="F65" s="371"/>
      <c r="G65" s="371"/>
      <c r="H65" s="371"/>
    </row>
    <row r="66" spans="1:8" ht="15">
      <c r="A66" s="371"/>
      <c r="B66" s="371"/>
      <c r="C66" s="371"/>
      <c r="D66" s="371"/>
      <c r="E66" s="371"/>
      <c r="F66" s="371"/>
      <c r="G66" s="371"/>
      <c r="H66" s="371"/>
    </row>
    <row r="67" spans="1:8" ht="15">
      <c r="A67" s="371" t="s">
        <v>284</v>
      </c>
      <c r="B67" s="371"/>
      <c r="C67" s="371"/>
      <c r="D67" s="371"/>
      <c r="E67" s="371"/>
      <c r="F67" s="371"/>
      <c r="G67" s="371"/>
      <c r="H67" s="371"/>
    </row>
    <row r="68" spans="1:8" ht="15">
      <c r="A68" s="371" t="s">
        <v>285</v>
      </c>
      <c r="B68" s="371"/>
      <c r="C68" s="371"/>
      <c r="D68" s="371"/>
      <c r="E68" s="371"/>
      <c r="F68" s="371"/>
      <c r="G68" s="371"/>
      <c r="H68" s="371"/>
    </row>
    <row r="69" spans="1:8" ht="15">
      <c r="A69" s="371" t="s">
        <v>286</v>
      </c>
      <c r="B69" s="371"/>
      <c r="C69" s="371"/>
      <c r="D69" s="371"/>
      <c r="E69" s="371"/>
      <c r="F69" s="371"/>
      <c r="G69" s="371"/>
      <c r="H69" s="371"/>
    </row>
    <row r="70" spans="1:8" ht="15">
      <c r="A70" s="371" t="s">
        <v>287</v>
      </c>
      <c r="B70" s="371"/>
      <c r="C70" s="371"/>
      <c r="D70" s="371"/>
      <c r="E70" s="371"/>
      <c r="F70" s="371"/>
      <c r="G70" s="371"/>
      <c r="H70" s="371"/>
    </row>
    <row r="71" spans="1:8" ht="15">
      <c r="A71" s="371" t="s">
        <v>288</v>
      </c>
      <c r="B71" s="371"/>
      <c r="C71" s="371"/>
      <c r="D71" s="371"/>
      <c r="E71" s="371"/>
      <c r="F71" s="371"/>
      <c r="G71" s="371"/>
      <c r="H71" s="371"/>
    </row>
    <row r="72" spans="1:8" ht="15">
      <c r="A72" s="371" t="s">
        <v>289</v>
      </c>
      <c r="B72" s="371"/>
      <c r="C72" s="371"/>
      <c r="D72" s="371"/>
      <c r="E72" s="371"/>
      <c r="F72" s="371"/>
      <c r="G72" s="371"/>
      <c r="H72" s="371"/>
    </row>
    <row r="73" spans="1:8" ht="15">
      <c r="A73" s="371" t="s">
        <v>290</v>
      </c>
      <c r="B73" s="371"/>
      <c r="C73" s="371"/>
      <c r="D73" s="371"/>
      <c r="E73" s="371"/>
      <c r="F73" s="371"/>
      <c r="G73" s="371"/>
      <c r="H73" s="371"/>
    </row>
    <row r="74" spans="1:8" ht="15">
      <c r="A74" s="371"/>
      <c r="B74" s="371"/>
      <c r="C74" s="371"/>
      <c r="D74" s="371"/>
      <c r="E74" s="371"/>
      <c r="F74" s="371"/>
      <c r="G74" s="371"/>
      <c r="H74" s="371"/>
    </row>
    <row r="75" spans="1:8" ht="15">
      <c r="A75" s="371" t="s">
        <v>291</v>
      </c>
      <c r="B75" s="371"/>
      <c r="C75" s="371"/>
      <c r="D75" s="371"/>
      <c r="E75" s="371"/>
      <c r="F75" s="371"/>
      <c r="G75" s="371"/>
      <c r="H75" s="371"/>
    </row>
    <row r="76" spans="1:8" ht="15">
      <c r="A76" s="371" t="s">
        <v>292</v>
      </c>
      <c r="B76" s="371"/>
      <c r="C76" s="371"/>
      <c r="D76" s="371"/>
      <c r="E76" s="371"/>
      <c r="F76" s="371"/>
      <c r="G76" s="371"/>
      <c r="H76" s="371"/>
    </row>
    <row r="77" spans="1:8" ht="15">
      <c r="A77" s="371" t="s">
        <v>293</v>
      </c>
      <c r="B77" s="371"/>
      <c r="C77" s="371"/>
      <c r="D77" s="371"/>
      <c r="E77" s="371"/>
      <c r="F77" s="371"/>
      <c r="G77" s="371"/>
      <c r="H77" s="371"/>
    </row>
    <row r="78" spans="1:8" ht="15">
      <c r="A78" s="371"/>
      <c r="B78" s="371"/>
      <c r="C78" s="371"/>
      <c r="D78" s="371"/>
      <c r="E78" s="371"/>
      <c r="F78" s="371"/>
      <c r="G78" s="371"/>
      <c r="H78" s="371"/>
    </row>
    <row r="79" ht="15">
      <c r="A79" s="371" t="s">
        <v>238</v>
      </c>
    </row>
    <row r="80" ht="15">
      <c r="A80" s="372"/>
    </row>
    <row r="81" ht="15">
      <c r="A81" s="371"/>
    </row>
    <row r="82" ht="15">
      <c r="A82" s="371"/>
    </row>
    <row r="83" ht="15">
      <c r="A83" s="371"/>
    </row>
    <row r="84" ht="15">
      <c r="A84" s="371"/>
    </row>
    <row r="85" ht="15">
      <c r="A85" s="371"/>
    </row>
    <row r="86" ht="15">
      <c r="A86" s="371"/>
    </row>
    <row r="87" ht="15">
      <c r="A87" s="371"/>
    </row>
    <row r="88" ht="15">
      <c r="A88" s="371"/>
    </row>
    <row r="89" ht="15">
      <c r="A89" s="371"/>
    </row>
    <row r="90" ht="15">
      <c r="A90" s="371"/>
    </row>
    <row r="91" ht="15">
      <c r="A91" s="371"/>
    </row>
    <row r="92" ht="15">
      <c r="A92" s="371"/>
    </row>
    <row r="93" ht="15">
      <c r="A93" s="371"/>
    </row>
    <row r="94" ht="15">
      <c r="A94" s="371"/>
    </row>
    <row r="95" ht="15">
      <c r="A95" s="371"/>
    </row>
    <row r="96" ht="15">
      <c r="A96" s="371"/>
    </row>
    <row r="97" ht="15">
      <c r="A97" s="371"/>
    </row>
    <row r="98" ht="15">
      <c r="A98" s="371"/>
    </row>
    <row r="99" ht="15">
      <c r="A99" s="371"/>
    </row>
    <row r="100" ht="15">
      <c r="A100" s="371"/>
    </row>
    <row r="101" ht="15">
      <c r="A101" s="371"/>
    </row>
    <row r="103" ht="15">
      <c r="A103" s="371"/>
    </row>
    <row r="104" ht="15">
      <c r="A104" s="371"/>
    </row>
    <row r="105" ht="15">
      <c r="A105" s="371"/>
    </row>
    <row r="107" ht="15">
      <c r="A107" s="372"/>
    </row>
    <row r="108" ht="15">
      <c r="A108" s="372"/>
    </row>
    <row r="109" ht="15">
      <c r="A109" s="372"/>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0" t="s">
        <v>294</v>
      </c>
      <c r="B3" s="370"/>
      <c r="C3" s="370"/>
      <c r="D3" s="370"/>
      <c r="E3" s="370"/>
      <c r="F3" s="370"/>
      <c r="G3" s="370"/>
      <c r="H3" s="370"/>
      <c r="I3" s="370"/>
      <c r="J3" s="370"/>
      <c r="K3" s="370"/>
      <c r="L3" s="370"/>
    </row>
    <row r="4" spans="1:12" ht="15">
      <c r="A4" s="370"/>
      <c r="B4" s="370"/>
      <c r="C4" s="370"/>
      <c r="D4" s="370"/>
      <c r="E4" s="370"/>
      <c r="F4" s="370"/>
      <c r="G4" s="370"/>
      <c r="H4" s="370"/>
      <c r="I4" s="370"/>
      <c r="J4" s="370"/>
      <c r="K4" s="370"/>
      <c r="L4" s="370"/>
    </row>
    <row r="5" spans="1:12" ht="15">
      <c r="A5" s="371" t="s">
        <v>406</v>
      </c>
      <c r="I5" s="370"/>
      <c r="J5" s="370"/>
      <c r="K5" s="370"/>
      <c r="L5" s="370"/>
    </row>
    <row r="6" spans="1:12" ht="15">
      <c r="A6" s="371" t="str">
        <f>CONCATENATE("estimated ",inputPrYr!C5-1," 'total expenditures' exceed your ",inputPrYr!C5-1,"")</f>
        <v>estimated 2011 'total expenditures' exceed your 2011</v>
      </c>
      <c r="I6" s="370"/>
      <c r="J6" s="370"/>
      <c r="K6" s="370"/>
      <c r="L6" s="370"/>
    </row>
    <row r="7" spans="1:12" ht="15">
      <c r="A7" s="374" t="s">
        <v>295</v>
      </c>
      <c r="I7" s="370"/>
      <c r="J7" s="370"/>
      <c r="K7" s="370"/>
      <c r="L7" s="370"/>
    </row>
    <row r="8" spans="1:12" ht="15">
      <c r="A8" s="371"/>
      <c r="I8" s="370"/>
      <c r="J8" s="370"/>
      <c r="K8" s="370"/>
      <c r="L8" s="370"/>
    </row>
    <row r="9" spans="1:12" ht="15">
      <c r="A9" s="371" t="s">
        <v>296</v>
      </c>
      <c r="I9" s="370"/>
      <c r="J9" s="370"/>
      <c r="K9" s="370"/>
      <c r="L9" s="370"/>
    </row>
    <row r="10" spans="1:12" ht="15">
      <c r="A10" s="371" t="s">
        <v>297</v>
      </c>
      <c r="I10" s="370"/>
      <c r="J10" s="370"/>
      <c r="K10" s="370"/>
      <c r="L10" s="370"/>
    </row>
    <row r="11" spans="1:12" ht="15">
      <c r="A11" s="371" t="s">
        <v>298</v>
      </c>
      <c r="I11" s="370"/>
      <c r="J11" s="370"/>
      <c r="K11" s="370"/>
      <c r="L11" s="370"/>
    </row>
    <row r="12" spans="1:12" ht="15">
      <c r="A12" s="371" t="s">
        <v>299</v>
      </c>
      <c r="I12" s="370"/>
      <c r="J12" s="370"/>
      <c r="K12" s="370"/>
      <c r="L12" s="370"/>
    </row>
    <row r="13" spans="1:12" ht="15">
      <c r="A13" s="371" t="s">
        <v>300</v>
      </c>
      <c r="I13" s="370"/>
      <c r="J13" s="370"/>
      <c r="K13" s="370"/>
      <c r="L13" s="370"/>
    </row>
    <row r="14" spans="1:12" ht="15">
      <c r="A14" s="370"/>
      <c r="B14" s="370"/>
      <c r="C14" s="370"/>
      <c r="D14" s="370"/>
      <c r="E14" s="370"/>
      <c r="F14" s="370"/>
      <c r="G14" s="370"/>
      <c r="H14" s="370"/>
      <c r="I14" s="370"/>
      <c r="J14" s="370"/>
      <c r="K14" s="370"/>
      <c r="L14" s="370"/>
    </row>
    <row r="15" ht="15">
      <c r="A15" s="372" t="s">
        <v>301</v>
      </c>
    </row>
    <row r="16" ht="15">
      <c r="A16" s="372" t="s">
        <v>302</v>
      </c>
    </row>
    <row r="17" ht="15">
      <c r="A17" s="372"/>
    </row>
    <row r="18" spans="1:7" ht="15">
      <c r="A18" s="371" t="s">
        <v>303</v>
      </c>
      <c r="B18" s="371"/>
      <c r="C18" s="371"/>
      <c r="D18" s="371"/>
      <c r="E18" s="371"/>
      <c r="F18" s="371"/>
      <c r="G18" s="371"/>
    </row>
    <row r="19" spans="1:7" ht="15">
      <c r="A19" s="371" t="str">
        <f>CONCATENATE("your ",inputPrYr!C5-1," numbers to see what steps might be necessary to")</f>
        <v>your 2011 numbers to see what steps might be necessary to</v>
      </c>
      <c r="B19" s="371"/>
      <c r="C19" s="371"/>
      <c r="D19" s="371"/>
      <c r="E19" s="371"/>
      <c r="F19" s="371"/>
      <c r="G19" s="371"/>
    </row>
    <row r="20" spans="1:7" ht="15">
      <c r="A20" s="371" t="s">
        <v>304</v>
      </c>
      <c r="B20" s="371"/>
      <c r="C20" s="371"/>
      <c r="D20" s="371"/>
      <c r="E20" s="371"/>
      <c r="F20" s="371"/>
      <c r="G20" s="371"/>
    </row>
    <row r="21" spans="1:7" ht="15">
      <c r="A21" s="371" t="s">
        <v>305</v>
      </c>
      <c r="B21" s="371"/>
      <c r="C21" s="371"/>
      <c r="D21" s="371"/>
      <c r="E21" s="371"/>
      <c r="F21" s="371"/>
      <c r="G21" s="371"/>
    </row>
    <row r="22" ht="15">
      <c r="A22" s="371"/>
    </row>
    <row r="23" ht="15">
      <c r="A23" s="372" t="s">
        <v>306</v>
      </c>
    </row>
    <row r="24" ht="15">
      <c r="A24" s="372"/>
    </row>
    <row r="25" ht="15">
      <c r="A25" s="371" t="s">
        <v>307</v>
      </c>
    </row>
    <row r="26" spans="1:6" ht="15">
      <c r="A26" s="371" t="s">
        <v>308</v>
      </c>
      <c r="B26" s="371"/>
      <c r="C26" s="371"/>
      <c r="D26" s="371"/>
      <c r="E26" s="371"/>
      <c r="F26" s="371"/>
    </row>
    <row r="27" spans="1:6" ht="15">
      <c r="A27" s="371" t="s">
        <v>309</v>
      </c>
      <c r="B27" s="371"/>
      <c r="C27" s="371"/>
      <c r="D27" s="371"/>
      <c r="E27" s="371"/>
      <c r="F27" s="371"/>
    </row>
    <row r="28" spans="1:6" ht="15">
      <c r="A28" s="371" t="s">
        <v>310</v>
      </c>
      <c r="B28" s="371"/>
      <c r="C28" s="371"/>
      <c r="D28" s="371"/>
      <c r="E28" s="371"/>
      <c r="F28" s="371"/>
    </row>
    <row r="29" spans="1:6" ht="15">
      <c r="A29" s="371"/>
      <c r="B29" s="371"/>
      <c r="C29" s="371"/>
      <c r="D29" s="371"/>
      <c r="E29" s="371"/>
      <c r="F29" s="371"/>
    </row>
    <row r="30" spans="1:7" ht="15">
      <c r="A30" s="372" t="s">
        <v>311</v>
      </c>
      <c r="B30" s="372"/>
      <c r="C30" s="372"/>
      <c r="D30" s="372"/>
      <c r="E30" s="372"/>
      <c r="F30" s="372"/>
      <c r="G30" s="372"/>
    </row>
    <row r="31" spans="1:7" ht="15">
      <c r="A31" s="372" t="s">
        <v>312</v>
      </c>
      <c r="B31" s="372"/>
      <c r="C31" s="372"/>
      <c r="D31" s="372"/>
      <c r="E31" s="372"/>
      <c r="F31" s="372"/>
      <c r="G31" s="372"/>
    </row>
    <row r="32" spans="1:6" ht="15">
      <c r="A32" s="371"/>
      <c r="B32" s="371"/>
      <c r="C32" s="371"/>
      <c r="D32" s="371"/>
      <c r="E32" s="371"/>
      <c r="F32" s="371"/>
    </row>
    <row r="33" spans="1:6" ht="15">
      <c r="A33" s="369" t="str">
        <f>CONCATENATE("Well, let's look to see if any of your ",inputPrYr!C5-1," expenditures can")</f>
        <v>Well, let's look to see if any of your 2011 expenditures can</v>
      </c>
      <c r="B33" s="371"/>
      <c r="C33" s="371"/>
      <c r="D33" s="371"/>
      <c r="E33" s="371"/>
      <c r="F33" s="371"/>
    </row>
    <row r="34" spans="1:6" ht="15">
      <c r="A34" s="369" t="s">
        <v>313</v>
      </c>
      <c r="B34" s="371"/>
      <c r="C34" s="371"/>
      <c r="D34" s="371"/>
      <c r="E34" s="371"/>
      <c r="F34" s="371"/>
    </row>
    <row r="35" spans="1:6" ht="15">
      <c r="A35" s="369" t="s">
        <v>420</v>
      </c>
      <c r="B35" s="371"/>
      <c r="C35" s="371"/>
      <c r="D35" s="371"/>
      <c r="E35" s="371"/>
      <c r="F35" s="371"/>
    </row>
    <row r="36" spans="1:6" ht="15">
      <c r="A36" s="369" t="s">
        <v>421</v>
      </c>
      <c r="B36" s="371"/>
      <c r="C36" s="371"/>
      <c r="D36" s="371"/>
      <c r="E36" s="371"/>
      <c r="F36" s="371"/>
    </row>
    <row r="37" spans="1:6" ht="15">
      <c r="A37" s="369"/>
      <c r="B37" s="371"/>
      <c r="C37" s="371"/>
      <c r="D37" s="371"/>
      <c r="E37" s="371"/>
      <c r="F37" s="371"/>
    </row>
    <row r="38" spans="1:6" ht="15">
      <c r="A38" s="369" t="str">
        <f>CONCATENATE("Additionally, do your ",inputPrYr!C5-1," receipts contain a reimbursement")</f>
        <v>Additionally, do your 2011 receipts contain a reimbursement</v>
      </c>
      <c r="B38" s="371"/>
      <c r="C38" s="371"/>
      <c r="D38" s="371"/>
      <c r="E38" s="371"/>
      <c r="F38" s="371"/>
    </row>
    <row r="39" spans="1:6" ht="15">
      <c r="A39" s="369" t="s">
        <v>422</v>
      </c>
      <c r="B39" s="371"/>
      <c r="C39" s="371"/>
      <c r="D39" s="371"/>
      <c r="E39" s="371"/>
      <c r="F39" s="371"/>
    </row>
    <row r="40" spans="1:6" ht="15">
      <c r="A40" s="369" t="s">
        <v>423</v>
      </c>
      <c r="B40" s="371"/>
      <c r="C40" s="371"/>
      <c r="D40" s="371"/>
      <c r="E40" s="371"/>
      <c r="F40" s="371"/>
    </row>
    <row r="41" spans="1:6" ht="15">
      <c r="A41" s="369"/>
      <c r="B41" s="371"/>
      <c r="C41" s="371"/>
      <c r="D41" s="371"/>
      <c r="E41" s="371"/>
      <c r="F41" s="371"/>
    </row>
    <row r="42" spans="1:6" ht="15">
      <c r="A42" s="369" t="s">
        <v>424</v>
      </c>
      <c r="B42" s="371"/>
      <c r="C42" s="371"/>
      <c r="D42" s="371"/>
      <c r="E42" s="371"/>
      <c r="F42" s="371"/>
    </row>
    <row r="43" spans="1:6" ht="15">
      <c r="A43" s="369" t="s">
        <v>425</v>
      </c>
      <c r="B43" s="371"/>
      <c r="C43" s="371"/>
      <c r="D43" s="371"/>
      <c r="E43" s="371"/>
      <c r="F43" s="371"/>
    </row>
    <row r="44" spans="1:6" ht="15">
      <c r="A44" s="369" t="s">
        <v>426</v>
      </c>
      <c r="B44" s="371"/>
      <c r="C44" s="371"/>
      <c r="D44" s="371"/>
      <c r="E44" s="371"/>
      <c r="F44" s="371"/>
    </row>
    <row r="45" spans="1:6" ht="15">
      <c r="A45" s="369" t="s">
        <v>314</v>
      </c>
      <c r="B45" s="371"/>
      <c r="C45" s="371"/>
      <c r="D45" s="371"/>
      <c r="E45" s="371"/>
      <c r="F45" s="371"/>
    </row>
    <row r="46" spans="1:6" ht="15">
      <c r="A46" s="369" t="s">
        <v>428</v>
      </c>
      <c r="B46" s="371"/>
      <c r="C46" s="371"/>
      <c r="D46" s="371"/>
      <c r="E46" s="371"/>
      <c r="F46" s="371"/>
    </row>
    <row r="47" spans="1:6" ht="15">
      <c r="A47" s="369" t="s">
        <v>315</v>
      </c>
      <c r="B47" s="371"/>
      <c r="C47" s="371"/>
      <c r="D47" s="371"/>
      <c r="E47" s="371"/>
      <c r="F47" s="371"/>
    </row>
    <row r="48" spans="1:6" ht="15">
      <c r="A48" s="369" t="s">
        <v>316</v>
      </c>
      <c r="B48" s="371"/>
      <c r="C48" s="371"/>
      <c r="D48" s="371"/>
      <c r="E48" s="371"/>
      <c r="F48" s="371"/>
    </row>
    <row r="49" spans="1:6" ht="15">
      <c r="A49" s="369" t="s">
        <v>431</v>
      </c>
      <c r="B49" s="371"/>
      <c r="C49" s="371"/>
      <c r="D49" s="371"/>
      <c r="E49" s="371"/>
      <c r="F49" s="371"/>
    </row>
    <row r="50" spans="1:6" ht="15">
      <c r="A50" s="369"/>
      <c r="B50" s="371"/>
      <c r="C50" s="371"/>
      <c r="D50" s="371"/>
      <c r="E50" s="371"/>
      <c r="F50" s="371"/>
    </row>
    <row r="51" spans="1:6" ht="15">
      <c r="A51" s="369" t="s">
        <v>432</v>
      </c>
      <c r="B51" s="371"/>
      <c r="C51" s="371"/>
      <c r="D51" s="371"/>
      <c r="E51" s="371"/>
      <c r="F51" s="371"/>
    </row>
    <row r="52" spans="1:6" ht="15">
      <c r="A52" s="369" t="s">
        <v>433</v>
      </c>
      <c r="B52" s="371"/>
      <c r="C52" s="371"/>
      <c r="D52" s="371"/>
      <c r="E52" s="371"/>
      <c r="F52" s="371"/>
    </row>
    <row r="53" spans="1:6" ht="15">
      <c r="A53" s="369" t="s">
        <v>434</v>
      </c>
      <c r="B53" s="371"/>
      <c r="C53" s="371"/>
      <c r="D53" s="371"/>
      <c r="E53" s="371"/>
      <c r="F53" s="371"/>
    </row>
    <row r="54" spans="1:6" ht="15">
      <c r="A54" s="369"/>
      <c r="B54" s="371"/>
      <c r="C54" s="371"/>
      <c r="D54" s="371"/>
      <c r="E54" s="371"/>
      <c r="F54" s="371"/>
    </row>
    <row r="55" spans="1:6" ht="15">
      <c r="A55" s="369" t="s">
        <v>317</v>
      </c>
      <c r="B55" s="371"/>
      <c r="C55" s="371"/>
      <c r="D55" s="371"/>
      <c r="E55" s="371"/>
      <c r="F55" s="371"/>
    </row>
    <row r="56" spans="1:6" ht="15">
      <c r="A56" s="369" t="s">
        <v>318</v>
      </c>
      <c r="B56" s="371"/>
      <c r="C56" s="371"/>
      <c r="D56" s="371"/>
      <c r="E56" s="371"/>
      <c r="F56" s="371"/>
    </row>
    <row r="57" spans="1:6" ht="15">
      <c r="A57" s="369" t="s">
        <v>319</v>
      </c>
      <c r="B57" s="371"/>
      <c r="C57" s="371"/>
      <c r="D57" s="371"/>
      <c r="E57" s="371"/>
      <c r="F57" s="371"/>
    </row>
    <row r="58" spans="1:6" ht="15">
      <c r="A58" s="369" t="s">
        <v>320</v>
      </c>
      <c r="B58" s="371"/>
      <c r="C58" s="371"/>
      <c r="D58" s="371"/>
      <c r="E58" s="371"/>
      <c r="F58" s="371"/>
    </row>
    <row r="59" spans="1:6" ht="15">
      <c r="A59" s="369" t="s">
        <v>321</v>
      </c>
      <c r="B59" s="371"/>
      <c r="C59" s="371"/>
      <c r="D59" s="371"/>
      <c r="E59" s="371"/>
      <c r="F59" s="371"/>
    </row>
    <row r="60" spans="1:6" ht="15">
      <c r="A60" s="369"/>
      <c r="B60" s="371"/>
      <c r="C60" s="371"/>
      <c r="D60" s="371"/>
      <c r="E60" s="371"/>
      <c r="F60" s="371"/>
    </row>
    <row r="61" spans="1:6" ht="15">
      <c r="A61" s="368" t="s">
        <v>322</v>
      </c>
      <c r="B61" s="371"/>
      <c r="C61" s="371"/>
      <c r="D61" s="371"/>
      <c r="E61" s="371"/>
      <c r="F61" s="371"/>
    </row>
    <row r="62" spans="1:6" ht="15">
      <c r="A62" s="368" t="s">
        <v>323</v>
      </c>
      <c r="B62" s="371"/>
      <c r="C62" s="371"/>
      <c r="D62" s="371"/>
      <c r="E62" s="371"/>
      <c r="F62" s="371"/>
    </row>
    <row r="63" spans="1:6" ht="15">
      <c r="A63" s="368" t="s">
        <v>324</v>
      </c>
      <c r="B63" s="371"/>
      <c r="C63" s="371"/>
      <c r="D63" s="371"/>
      <c r="E63" s="371"/>
      <c r="F63" s="371"/>
    </row>
    <row r="64" ht="15">
      <c r="A64" s="368" t="s">
        <v>325</v>
      </c>
    </row>
    <row r="65" ht="15">
      <c r="A65" s="368" t="s">
        <v>326</v>
      </c>
    </row>
    <row r="66" ht="15">
      <c r="A66" s="368" t="s">
        <v>327</v>
      </c>
    </row>
    <row r="68" ht="15">
      <c r="A68" s="371" t="s">
        <v>328</v>
      </c>
    </row>
    <row r="69" ht="15">
      <c r="A69" s="371" t="s">
        <v>329</v>
      </c>
    </row>
    <row r="70" ht="15">
      <c r="A70" s="371" t="s">
        <v>330</v>
      </c>
    </row>
    <row r="71" ht="15">
      <c r="A71" s="371" t="s">
        <v>331</v>
      </c>
    </row>
    <row r="72" ht="15">
      <c r="A72" s="371" t="s">
        <v>332</v>
      </c>
    </row>
    <row r="73" ht="15">
      <c r="A73" s="371" t="s">
        <v>333</v>
      </c>
    </row>
    <row r="75" ht="15">
      <c r="A75" s="371" t="s">
        <v>238</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0" t="s">
        <v>334</v>
      </c>
      <c r="B3" s="370"/>
      <c r="C3" s="370"/>
      <c r="D3" s="370"/>
      <c r="E3" s="370"/>
      <c r="F3" s="370"/>
      <c r="G3" s="370"/>
    </row>
    <row r="4" spans="1:7" ht="15">
      <c r="A4" s="370"/>
      <c r="B4" s="370"/>
      <c r="C4" s="370"/>
      <c r="D4" s="370"/>
      <c r="E4" s="370"/>
      <c r="F4" s="370"/>
      <c r="G4" s="370"/>
    </row>
    <row r="5" ht="15">
      <c r="A5" s="371" t="s">
        <v>240</v>
      </c>
    </row>
    <row r="6" ht="15">
      <c r="A6" s="371" t="str">
        <f>CONCATENATE(inputPrYr!C5," estimated expenditures show that at the end of this year")</f>
        <v>2012 estimated expenditures show that at the end of this year</v>
      </c>
    </row>
    <row r="7" ht="15">
      <c r="A7" s="371" t="s">
        <v>336</v>
      </c>
    </row>
    <row r="8" ht="15">
      <c r="A8" s="371" t="s">
        <v>337</v>
      </c>
    </row>
    <row r="10" ht="15">
      <c r="A10" t="s">
        <v>242</v>
      </c>
    </row>
    <row r="11" ht="15">
      <c r="A11" t="s">
        <v>243</v>
      </c>
    </row>
    <row r="12" ht="15">
      <c r="A12" t="s">
        <v>244</v>
      </c>
    </row>
    <row r="13" spans="1:7" ht="15">
      <c r="A13" s="370"/>
      <c r="B13" s="370"/>
      <c r="C13" s="370"/>
      <c r="D13" s="370"/>
      <c r="E13" s="370"/>
      <c r="F13" s="370"/>
      <c r="G13" s="370"/>
    </row>
    <row r="14" ht="15">
      <c r="A14" s="372" t="s">
        <v>338</v>
      </c>
    </row>
    <row r="15" ht="15">
      <c r="A15" s="371"/>
    </row>
    <row r="16" ht="15">
      <c r="A16" s="371" t="s">
        <v>339</v>
      </c>
    </row>
    <row r="17" ht="15">
      <c r="A17" s="371" t="s">
        <v>340</v>
      </c>
    </row>
    <row r="18" ht="15">
      <c r="A18" s="371" t="s">
        <v>341</v>
      </c>
    </row>
    <row r="19" ht="15">
      <c r="A19" s="371"/>
    </row>
    <row r="20" ht="15">
      <c r="A20" s="371" t="s">
        <v>342</v>
      </c>
    </row>
    <row r="21" ht="15">
      <c r="A21" s="371" t="s">
        <v>580</v>
      </c>
    </row>
    <row r="22" ht="15">
      <c r="A22" s="371" t="s">
        <v>581</v>
      </c>
    </row>
    <row r="23" ht="15">
      <c r="A23" s="371" t="s">
        <v>582</v>
      </c>
    </row>
    <row r="24" ht="15">
      <c r="A24" s="371"/>
    </row>
    <row r="25" ht="15">
      <c r="A25" s="372" t="s">
        <v>306</v>
      </c>
    </row>
    <row r="26" ht="15">
      <c r="A26" s="372"/>
    </row>
    <row r="27" ht="15">
      <c r="A27" s="371" t="s">
        <v>307</v>
      </c>
    </row>
    <row r="28" spans="1:6" ht="15">
      <c r="A28" s="371" t="s">
        <v>308</v>
      </c>
      <c r="B28" s="371"/>
      <c r="C28" s="371"/>
      <c r="D28" s="371"/>
      <c r="E28" s="371"/>
      <c r="F28" s="371"/>
    </row>
    <row r="29" spans="1:6" ht="15">
      <c r="A29" s="371" t="s">
        <v>309</v>
      </c>
      <c r="B29" s="371"/>
      <c r="C29" s="371"/>
      <c r="D29" s="371"/>
      <c r="E29" s="371"/>
      <c r="F29" s="371"/>
    </row>
    <row r="30" spans="1:6" ht="15">
      <c r="A30" s="371" t="s">
        <v>310</v>
      </c>
      <c r="B30" s="371"/>
      <c r="C30" s="371"/>
      <c r="D30" s="371"/>
      <c r="E30" s="371"/>
      <c r="F30" s="371"/>
    </row>
    <row r="31" ht="15">
      <c r="A31" s="371"/>
    </row>
    <row r="32" spans="1:7" ht="15">
      <c r="A32" s="372" t="s">
        <v>311</v>
      </c>
      <c r="B32" s="372"/>
      <c r="C32" s="372"/>
      <c r="D32" s="372"/>
      <c r="E32" s="372"/>
      <c r="F32" s="372"/>
      <c r="G32" s="372"/>
    </row>
    <row r="33" spans="1:7" ht="15">
      <c r="A33" s="372" t="s">
        <v>312</v>
      </c>
      <c r="B33" s="372"/>
      <c r="C33" s="372"/>
      <c r="D33" s="372"/>
      <c r="E33" s="372"/>
      <c r="F33" s="372"/>
      <c r="G33" s="372"/>
    </row>
    <row r="34" spans="1:7" ht="15">
      <c r="A34" s="372"/>
      <c r="B34" s="372"/>
      <c r="C34" s="372"/>
      <c r="D34" s="372"/>
      <c r="E34" s="372"/>
      <c r="F34" s="372"/>
      <c r="G34" s="372"/>
    </row>
    <row r="35" spans="1:7" ht="15">
      <c r="A35" s="371" t="s">
        <v>583</v>
      </c>
      <c r="B35" s="371"/>
      <c r="C35" s="371"/>
      <c r="D35" s="371"/>
      <c r="E35" s="371"/>
      <c r="F35" s="371"/>
      <c r="G35" s="371"/>
    </row>
    <row r="36" spans="1:7" ht="15">
      <c r="A36" s="371" t="s">
        <v>584</v>
      </c>
      <c r="B36" s="371"/>
      <c r="C36" s="371"/>
      <c r="D36" s="371"/>
      <c r="E36" s="371"/>
      <c r="F36" s="371"/>
      <c r="G36" s="371"/>
    </row>
    <row r="37" spans="1:7" ht="15">
      <c r="A37" s="371" t="s">
        <v>585</v>
      </c>
      <c r="B37" s="371"/>
      <c r="C37" s="371"/>
      <c r="D37" s="371"/>
      <c r="E37" s="371"/>
      <c r="F37" s="371"/>
      <c r="G37" s="371"/>
    </row>
    <row r="38" spans="1:7" ht="15">
      <c r="A38" s="371" t="s">
        <v>586</v>
      </c>
      <c r="B38" s="371"/>
      <c r="C38" s="371"/>
      <c r="D38" s="371"/>
      <c r="E38" s="371"/>
      <c r="F38" s="371"/>
      <c r="G38" s="371"/>
    </row>
    <row r="39" spans="1:7" ht="15">
      <c r="A39" s="371" t="s">
        <v>587</v>
      </c>
      <c r="B39" s="371"/>
      <c r="C39" s="371"/>
      <c r="D39" s="371"/>
      <c r="E39" s="371"/>
      <c r="F39" s="371"/>
      <c r="G39" s="371"/>
    </row>
    <row r="40" spans="1:7" ht="15">
      <c r="A40" s="372"/>
      <c r="B40" s="372"/>
      <c r="C40" s="372"/>
      <c r="D40" s="372"/>
      <c r="E40" s="372"/>
      <c r="F40" s="372"/>
      <c r="G40" s="372"/>
    </row>
    <row r="41" spans="1:6" ht="15">
      <c r="A41" s="369" t="str">
        <f>CONCATENATE("So, let's look to see if any of your ",inputPrYr!C5-1," expenditures can")</f>
        <v>So, let's look to see if any of your 2011 expenditures can</v>
      </c>
      <c r="B41" s="371"/>
      <c r="C41" s="371"/>
      <c r="D41" s="371"/>
      <c r="E41" s="371"/>
      <c r="F41" s="371"/>
    </row>
    <row r="42" spans="1:6" ht="15">
      <c r="A42" s="369" t="s">
        <v>313</v>
      </c>
      <c r="B42" s="371"/>
      <c r="C42" s="371"/>
      <c r="D42" s="371"/>
      <c r="E42" s="371"/>
      <c r="F42" s="371"/>
    </row>
    <row r="43" spans="1:6" ht="15">
      <c r="A43" s="369" t="s">
        <v>420</v>
      </c>
      <c r="B43" s="371"/>
      <c r="C43" s="371"/>
      <c r="D43" s="371"/>
      <c r="E43" s="371"/>
      <c r="F43" s="371"/>
    </row>
    <row r="44" spans="1:6" ht="15">
      <c r="A44" s="369" t="s">
        <v>421</v>
      </c>
      <c r="B44" s="371"/>
      <c r="C44" s="371"/>
      <c r="D44" s="371"/>
      <c r="E44" s="371"/>
      <c r="F44" s="371"/>
    </row>
    <row r="45" ht="15">
      <c r="A45" s="371"/>
    </row>
    <row r="46" spans="1:6" ht="15">
      <c r="A46" s="369" t="str">
        <f>CONCATENATE("Additionally, do your ",inputPrYr!C5-1," receipts contain a reimbursement")</f>
        <v>Additionally, do your 2011 receipts contain a reimbursement</v>
      </c>
      <c r="B46" s="371"/>
      <c r="C46" s="371"/>
      <c r="D46" s="371"/>
      <c r="E46" s="371"/>
      <c r="F46" s="371"/>
    </row>
    <row r="47" spans="1:6" ht="15">
      <c r="A47" s="369" t="s">
        <v>422</v>
      </c>
      <c r="B47" s="371"/>
      <c r="C47" s="371"/>
      <c r="D47" s="371"/>
      <c r="E47" s="371"/>
      <c r="F47" s="371"/>
    </row>
    <row r="48" spans="1:6" ht="15">
      <c r="A48" s="369" t="s">
        <v>423</v>
      </c>
      <c r="B48" s="371"/>
      <c r="C48" s="371"/>
      <c r="D48" s="371"/>
      <c r="E48" s="371"/>
      <c r="F48" s="371"/>
    </row>
    <row r="49" spans="1:7" ht="15">
      <c r="A49" s="371"/>
      <c r="B49" s="371"/>
      <c r="C49" s="371"/>
      <c r="D49" s="371"/>
      <c r="E49" s="371"/>
      <c r="F49" s="371"/>
      <c r="G49" s="371"/>
    </row>
    <row r="50" spans="1:7" ht="15">
      <c r="A50" s="371" t="s">
        <v>267</v>
      </c>
      <c r="B50" s="371"/>
      <c r="C50" s="371"/>
      <c r="D50" s="371"/>
      <c r="E50" s="371"/>
      <c r="F50" s="371"/>
      <c r="G50" s="371"/>
    </row>
    <row r="51" spans="1:7" ht="15">
      <c r="A51" s="371" t="s">
        <v>268</v>
      </c>
      <c r="B51" s="371"/>
      <c r="C51" s="371"/>
      <c r="D51" s="371"/>
      <c r="E51" s="371"/>
      <c r="F51" s="371"/>
      <c r="G51" s="371"/>
    </row>
    <row r="52" spans="1:7" ht="15">
      <c r="A52" s="371" t="s">
        <v>269</v>
      </c>
      <c r="B52" s="371"/>
      <c r="C52" s="371"/>
      <c r="D52" s="371"/>
      <c r="E52" s="371"/>
      <c r="F52" s="371"/>
      <c r="G52" s="371"/>
    </row>
    <row r="53" spans="1:7" ht="15">
      <c r="A53" s="371" t="s">
        <v>270</v>
      </c>
      <c r="B53" s="371"/>
      <c r="C53" s="371"/>
      <c r="D53" s="371"/>
      <c r="E53" s="371"/>
      <c r="F53" s="371"/>
      <c r="G53" s="371"/>
    </row>
    <row r="54" spans="1:7" ht="15">
      <c r="A54" s="371" t="s">
        <v>271</v>
      </c>
      <c r="B54" s="371"/>
      <c r="C54" s="371"/>
      <c r="D54" s="371"/>
      <c r="E54" s="371"/>
      <c r="F54" s="371"/>
      <c r="G54" s="371"/>
    </row>
    <row r="55" spans="1:7" ht="15">
      <c r="A55" s="371"/>
      <c r="B55" s="371"/>
      <c r="C55" s="371"/>
      <c r="D55" s="371"/>
      <c r="E55" s="371"/>
      <c r="F55" s="371"/>
      <c r="G55" s="371"/>
    </row>
    <row r="56" spans="1:6" ht="15">
      <c r="A56" s="369" t="s">
        <v>432</v>
      </c>
      <c r="B56" s="371"/>
      <c r="C56" s="371"/>
      <c r="D56" s="371"/>
      <c r="E56" s="371"/>
      <c r="F56" s="371"/>
    </row>
    <row r="57" spans="1:6" ht="15">
      <c r="A57" s="369" t="s">
        <v>433</v>
      </c>
      <c r="B57" s="371"/>
      <c r="C57" s="371"/>
      <c r="D57" s="371"/>
      <c r="E57" s="371"/>
      <c r="F57" s="371"/>
    </row>
    <row r="58" spans="1:6" ht="15">
      <c r="A58" s="369" t="s">
        <v>434</v>
      </c>
      <c r="B58" s="371"/>
      <c r="C58" s="371"/>
      <c r="D58" s="371"/>
      <c r="E58" s="371"/>
      <c r="F58" s="371"/>
    </row>
    <row r="59" spans="1:6" ht="15">
      <c r="A59" s="369"/>
      <c r="B59" s="371"/>
      <c r="C59" s="371"/>
      <c r="D59" s="371"/>
      <c r="E59" s="371"/>
      <c r="F59" s="371"/>
    </row>
    <row r="60" spans="1:7" ht="15">
      <c r="A60" s="371" t="s">
        <v>588</v>
      </c>
      <c r="B60" s="371"/>
      <c r="C60" s="371"/>
      <c r="D60" s="371"/>
      <c r="E60" s="371"/>
      <c r="F60" s="371"/>
      <c r="G60" s="371"/>
    </row>
    <row r="61" spans="1:7" ht="15">
      <c r="A61" s="371" t="s">
        <v>589</v>
      </c>
      <c r="B61" s="371"/>
      <c r="C61" s="371"/>
      <c r="D61" s="371"/>
      <c r="E61" s="371"/>
      <c r="F61" s="371"/>
      <c r="G61" s="371"/>
    </row>
    <row r="62" spans="1:7" ht="15">
      <c r="A62" s="371" t="s">
        <v>590</v>
      </c>
      <c r="B62" s="371"/>
      <c r="C62" s="371"/>
      <c r="D62" s="371"/>
      <c r="E62" s="371"/>
      <c r="F62" s="371"/>
      <c r="G62" s="371"/>
    </row>
    <row r="63" spans="1:7" ht="15">
      <c r="A63" s="371" t="s">
        <v>591</v>
      </c>
      <c r="B63" s="371"/>
      <c r="C63" s="371"/>
      <c r="D63" s="371"/>
      <c r="E63" s="371"/>
      <c r="F63" s="371"/>
      <c r="G63" s="371"/>
    </row>
    <row r="64" spans="1:7" ht="15">
      <c r="A64" s="371" t="s">
        <v>592</v>
      </c>
      <c r="B64" s="371"/>
      <c r="C64" s="371"/>
      <c r="D64" s="371"/>
      <c r="E64" s="371"/>
      <c r="F64" s="371"/>
      <c r="G64" s="371"/>
    </row>
    <row r="66" spans="1:6" ht="15">
      <c r="A66" s="369" t="s">
        <v>317</v>
      </c>
      <c r="B66" s="371"/>
      <c r="C66" s="371"/>
      <c r="D66" s="371"/>
      <c r="E66" s="371"/>
      <c r="F66" s="371"/>
    </row>
    <row r="67" spans="1:6" ht="15">
      <c r="A67" s="369" t="s">
        <v>318</v>
      </c>
      <c r="B67" s="371"/>
      <c r="C67" s="371"/>
      <c r="D67" s="371"/>
      <c r="E67" s="371"/>
      <c r="F67" s="371"/>
    </row>
    <row r="68" spans="1:6" ht="15">
      <c r="A68" s="369" t="s">
        <v>319</v>
      </c>
      <c r="B68" s="371"/>
      <c r="C68" s="371"/>
      <c r="D68" s="371"/>
      <c r="E68" s="371"/>
      <c r="F68" s="371"/>
    </row>
    <row r="69" spans="1:6" ht="15">
      <c r="A69" s="369" t="s">
        <v>320</v>
      </c>
      <c r="B69" s="371"/>
      <c r="C69" s="371"/>
      <c r="D69" s="371"/>
      <c r="E69" s="371"/>
      <c r="F69" s="371"/>
    </row>
    <row r="70" spans="1:6" ht="15">
      <c r="A70" s="369" t="s">
        <v>321</v>
      </c>
      <c r="B70" s="371"/>
      <c r="C70" s="371"/>
      <c r="D70" s="371"/>
      <c r="E70" s="371"/>
      <c r="F70" s="371"/>
    </row>
    <row r="71" ht="15">
      <c r="A71" s="371"/>
    </row>
    <row r="72" ht="15">
      <c r="A72" s="371" t="s">
        <v>238</v>
      </c>
    </row>
    <row r="73" ht="15">
      <c r="A73" s="371"/>
    </row>
    <row r="74" ht="15">
      <c r="A74" s="371"/>
    </row>
    <row r="75" ht="15">
      <c r="A75" s="371"/>
    </row>
    <row r="78" ht="15">
      <c r="A78" s="372"/>
    </row>
    <row r="80" ht="15">
      <c r="A80" s="371"/>
    </row>
    <row r="81" ht="15">
      <c r="A81" s="371"/>
    </row>
    <row r="82" ht="15">
      <c r="A82" s="371"/>
    </row>
    <row r="83" ht="15">
      <c r="A83" s="371"/>
    </row>
    <row r="84" ht="15">
      <c r="A84" s="371"/>
    </row>
    <row r="85" ht="15">
      <c r="A85" s="371"/>
    </row>
    <row r="86" ht="15">
      <c r="A86" s="371"/>
    </row>
    <row r="87" ht="15">
      <c r="A87" s="371"/>
    </row>
    <row r="88" ht="15">
      <c r="A88" s="371"/>
    </row>
    <row r="89" ht="15">
      <c r="A89" s="371"/>
    </row>
    <row r="90" ht="15">
      <c r="A90" s="371"/>
    </row>
    <row r="92" ht="15">
      <c r="A92" s="371"/>
    </row>
    <row r="93" ht="15">
      <c r="A93" s="371"/>
    </row>
    <row r="94" ht="15">
      <c r="A94" s="371"/>
    </row>
    <row r="95" ht="15">
      <c r="A95" s="371"/>
    </row>
    <row r="96" ht="15">
      <c r="A96" s="371"/>
    </row>
    <row r="97" ht="15">
      <c r="A97" s="371"/>
    </row>
    <row r="98" ht="15">
      <c r="A98" s="371"/>
    </row>
    <row r="99" ht="15">
      <c r="A99" s="371"/>
    </row>
    <row r="100" ht="15">
      <c r="A100" s="371"/>
    </row>
    <row r="101" ht="15">
      <c r="A101" s="371"/>
    </row>
    <row r="102" ht="15">
      <c r="A102" s="371"/>
    </row>
    <row r="103" ht="15">
      <c r="A103" s="371"/>
    </row>
    <row r="104" ht="15">
      <c r="A104" s="371"/>
    </row>
    <row r="105" ht="15">
      <c r="A105" s="371"/>
    </row>
    <row r="106" ht="15">
      <c r="A106" s="37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0" t="s">
        <v>593</v>
      </c>
      <c r="B3" s="370"/>
      <c r="C3" s="370"/>
      <c r="D3" s="370"/>
      <c r="E3" s="370"/>
      <c r="F3" s="370"/>
      <c r="G3" s="370"/>
    </row>
    <row r="4" spans="1:7" ht="15">
      <c r="A4" s="370" t="s">
        <v>594</v>
      </c>
      <c r="B4" s="370"/>
      <c r="C4" s="370"/>
      <c r="D4" s="370"/>
      <c r="E4" s="370"/>
      <c r="F4" s="370"/>
      <c r="G4" s="370"/>
    </row>
    <row r="5" spans="1:7" ht="15">
      <c r="A5" s="370"/>
      <c r="B5" s="370"/>
      <c r="C5" s="370"/>
      <c r="D5" s="370"/>
      <c r="E5" s="370"/>
      <c r="F5" s="370"/>
      <c r="G5" s="370"/>
    </row>
    <row r="6" spans="1:7" ht="15">
      <c r="A6" s="370"/>
      <c r="B6" s="370"/>
      <c r="C6" s="370"/>
      <c r="D6" s="370"/>
      <c r="E6" s="370"/>
      <c r="F6" s="370"/>
      <c r="G6" s="370"/>
    </row>
    <row r="7" ht="15">
      <c r="A7" s="371" t="s">
        <v>406</v>
      </c>
    </row>
    <row r="8" ht="15">
      <c r="A8" s="371" t="str">
        <f>CONCATENATE("estimated ",inputPrYr!C5," 'total expenditures' exceed your ",inputPrYr!C5,"")</f>
        <v>estimated 2012 'total expenditures' exceed your 2012</v>
      </c>
    </row>
    <row r="9" ht="15">
      <c r="A9" s="374" t="s">
        <v>595</v>
      </c>
    </row>
    <row r="10" ht="15">
      <c r="A10" s="371"/>
    </row>
    <row r="11" ht="15">
      <c r="A11" s="371" t="s">
        <v>596</v>
      </c>
    </row>
    <row r="12" ht="15">
      <c r="A12" s="371" t="s">
        <v>597</v>
      </c>
    </row>
    <row r="13" ht="15">
      <c r="A13" s="371" t="s">
        <v>598</v>
      </c>
    </row>
    <row r="14" ht="15">
      <c r="A14" s="371"/>
    </row>
    <row r="15" ht="15">
      <c r="A15" s="372" t="s">
        <v>599</v>
      </c>
    </row>
    <row r="16" spans="1:7" ht="15">
      <c r="A16" s="370"/>
      <c r="B16" s="370"/>
      <c r="C16" s="370"/>
      <c r="D16" s="370"/>
      <c r="E16" s="370"/>
      <c r="F16" s="370"/>
      <c r="G16" s="370"/>
    </row>
    <row r="17" spans="1:8" ht="15">
      <c r="A17" s="375" t="s">
        <v>600</v>
      </c>
      <c r="B17" s="376"/>
      <c r="C17" s="376"/>
      <c r="D17" s="376"/>
      <c r="E17" s="376"/>
      <c r="F17" s="376"/>
      <c r="G17" s="376"/>
      <c r="H17" s="376"/>
    </row>
    <row r="18" spans="1:7" ht="15">
      <c r="A18" s="371" t="s">
        <v>601</v>
      </c>
      <c r="B18" s="377"/>
      <c r="C18" s="377"/>
      <c r="D18" s="377"/>
      <c r="E18" s="377"/>
      <c r="F18" s="377"/>
      <c r="G18" s="377"/>
    </row>
    <row r="19" ht="15">
      <c r="A19" s="371" t="s">
        <v>602</v>
      </c>
    </row>
    <row r="20" ht="15">
      <c r="A20" s="371" t="s">
        <v>603</v>
      </c>
    </row>
    <row r="22" ht="15">
      <c r="A22" s="372" t="s">
        <v>604</v>
      </c>
    </row>
    <row r="24" ht="15">
      <c r="A24" s="371" t="s">
        <v>605</v>
      </c>
    </row>
    <row r="25" ht="15">
      <c r="A25" s="371" t="s">
        <v>606</v>
      </c>
    </row>
    <row r="26" ht="15">
      <c r="A26" s="371" t="s">
        <v>607</v>
      </c>
    </row>
    <row r="28" ht="15">
      <c r="A28" s="372" t="s">
        <v>608</v>
      </c>
    </row>
    <row r="30" ht="15">
      <c r="A30" t="s">
        <v>609</v>
      </c>
    </row>
    <row r="31" ht="15">
      <c r="A31" t="s">
        <v>610</v>
      </c>
    </row>
    <row r="32" ht="15">
      <c r="A32" t="s">
        <v>611</v>
      </c>
    </row>
    <row r="33" ht="15">
      <c r="A33" s="371" t="s">
        <v>612</v>
      </c>
    </row>
    <row r="35" ht="15">
      <c r="A35" t="s">
        <v>613</v>
      </c>
    </row>
    <row r="36" ht="15">
      <c r="A36" t="s">
        <v>614</v>
      </c>
    </row>
    <row r="37" ht="15">
      <c r="A37" t="s">
        <v>615</v>
      </c>
    </row>
    <row r="38" ht="15">
      <c r="A38" t="s">
        <v>616</v>
      </c>
    </row>
    <row r="40" ht="15">
      <c r="A40" t="s">
        <v>617</v>
      </c>
    </row>
    <row r="41" ht="15">
      <c r="A41" t="s">
        <v>618</v>
      </c>
    </row>
    <row r="42" ht="15">
      <c r="A42" t="s">
        <v>619</v>
      </c>
    </row>
    <row r="43" ht="15">
      <c r="A43" t="s">
        <v>620</v>
      </c>
    </row>
    <row r="44" ht="15">
      <c r="A44" t="s">
        <v>621</v>
      </c>
    </row>
    <row r="45" ht="15">
      <c r="A45" t="s">
        <v>622</v>
      </c>
    </row>
    <row r="47" ht="15">
      <c r="A47" t="s">
        <v>623</v>
      </c>
    </row>
    <row r="48" ht="15">
      <c r="A48" t="s">
        <v>624</v>
      </c>
    </row>
    <row r="49" ht="15">
      <c r="A49" s="371" t="s">
        <v>625</v>
      </c>
    </row>
    <row r="50" ht="15">
      <c r="A50" s="371" t="s">
        <v>626</v>
      </c>
    </row>
    <row r="52" ht="15">
      <c r="A52" t="s">
        <v>238</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workbookViewId="0" topLeftCell="A121">
      <selection activeCell="C149" sqref="C149"/>
    </sheetView>
  </sheetViews>
  <sheetFormatPr defaultColWidth="8.796875" defaultRowHeight="15"/>
  <cols>
    <col min="1" max="1" width="7.59765625" style="455" customWidth="1"/>
    <col min="2" max="2" width="11.19921875" style="457" customWidth="1"/>
    <col min="3" max="3" width="7.3984375" style="457" customWidth="1"/>
    <col min="4" max="4" width="8.8984375" style="457" customWidth="1"/>
    <col min="5" max="5" width="1.59765625" style="457" customWidth="1"/>
    <col min="6" max="6" width="14.296875" style="457" customWidth="1"/>
    <col min="7" max="7" width="2.59765625" style="457" customWidth="1"/>
    <col min="8" max="8" width="9.796875" style="457" customWidth="1"/>
    <col min="9" max="9" width="2" style="457" customWidth="1"/>
    <col min="10" max="10" width="8.59765625" style="457" customWidth="1"/>
    <col min="11" max="11" width="11.69921875" style="457" customWidth="1"/>
    <col min="12" max="12" width="7.59765625" style="455" customWidth="1"/>
    <col min="13" max="14" width="8.8984375" style="455" customWidth="1"/>
    <col min="15" max="15" width="9.8984375" style="455" bestFit="1" customWidth="1"/>
    <col min="16" max="16384" width="8.8984375" style="455" customWidth="1"/>
  </cols>
  <sheetData>
    <row r="1" spans="1:12" ht="14.25">
      <c r="A1" s="456"/>
      <c r="B1" s="456"/>
      <c r="C1" s="456"/>
      <c r="D1" s="456"/>
      <c r="E1" s="456"/>
      <c r="F1" s="456"/>
      <c r="G1" s="456"/>
      <c r="H1" s="456"/>
      <c r="I1" s="456"/>
      <c r="J1" s="456"/>
      <c r="K1" s="456"/>
      <c r="L1" s="456"/>
    </row>
    <row r="2" spans="1:12" ht="14.25">
      <c r="A2" s="456"/>
      <c r="B2" s="456"/>
      <c r="C2" s="456"/>
      <c r="D2" s="456"/>
      <c r="E2" s="456"/>
      <c r="F2" s="456"/>
      <c r="G2" s="456"/>
      <c r="H2" s="456"/>
      <c r="I2" s="456"/>
      <c r="J2" s="456"/>
      <c r="K2" s="456"/>
      <c r="L2" s="456"/>
    </row>
    <row r="3" spans="1:12" ht="14.25">
      <c r="A3" s="456"/>
      <c r="B3" s="456"/>
      <c r="C3" s="456"/>
      <c r="D3" s="456"/>
      <c r="E3" s="456"/>
      <c r="F3" s="456"/>
      <c r="G3" s="456"/>
      <c r="H3" s="456"/>
      <c r="I3" s="456"/>
      <c r="J3" s="456"/>
      <c r="K3" s="456"/>
      <c r="L3" s="456"/>
    </row>
    <row r="4" spans="1:12" ht="14.25">
      <c r="A4" s="456"/>
      <c r="L4" s="456"/>
    </row>
    <row r="5" spans="1:12" ht="15" customHeight="1">
      <c r="A5" s="456"/>
      <c r="L5" s="456"/>
    </row>
    <row r="6" spans="1:12" ht="33" customHeight="1">
      <c r="A6" s="456"/>
      <c r="B6" s="763" t="s">
        <v>670</v>
      </c>
      <c r="C6" s="779"/>
      <c r="D6" s="779"/>
      <c r="E6" s="779"/>
      <c r="F6" s="779"/>
      <c r="G6" s="779"/>
      <c r="H6" s="779"/>
      <c r="I6" s="779"/>
      <c r="J6" s="779"/>
      <c r="K6" s="779"/>
      <c r="L6" s="458"/>
    </row>
    <row r="7" spans="1:12" ht="40.5" customHeight="1">
      <c r="A7" s="456"/>
      <c r="B7" s="786" t="s">
        <v>671</v>
      </c>
      <c r="C7" s="787"/>
      <c r="D7" s="787"/>
      <c r="E7" s="787"/>
      <c r="F7" s="787"/>
      <c r="G7" s="787"/>
      <c r="H7" s="787"/>
      <c r="I7" s="787"/>
      <c r="J7" s="787"/>
      <c r="K7" s="787"/>
      <c r="L7" s="456"/>
    </row>
    <row r="8" spans="1:12" ht="14.25">
      <c r="A8" s="456"/>
      <c r="B8" s="776" t="s">
        <v>672</v>
      </c>
      <c r="C8" s="776"/>
      <c r="D8" s="776"/>
      <c r="E8" s="776"/>
      <c r="F8" s="776"/>
      <c r="G8" s="776"/>
      <c r="H8" s="776"/>
      <c r="I8" s="776"/>
      <c r="J8" s="776"/>
      <c r="K8" s="776"/>
      <c r="L8" s="456"/>
    </row>
    <row r="9" spans="1:12" ht="14.25">
      <c r="A9" s="456"/>
      <c r="L9" s="456"/>
    </row>
    <row r="10" spans="1:12" ht="14.25">
      <c r="A10" s="456"/>
      <c r="B10" s="776" t="s">
        <v>673</v>
      </c>
      <c r="C10" s="776"/>
      <c r="D10" s="776"/>
      <c r="E10" s="776"/>
      <c r="F10" s="776"/>
      <c r="G10" s="776"/>
      <c r="H10" s="776"/>
      <c r="I10" s="776"/>
      <c r="J10" s="776"/>
      <c r="K10" s="776"/>
      <c r="L10" s="456"/>
    </row>
    <row r="11" spans="1:12" ht="14.25">
      <c r="A11" s="456"/>
      <c r="B11" s="587"/>
      <c r="C11" s="587"/>
      <c r="D11" s="587"/>
      <c r="E11" s="587"/>
      <c r="F11" s="587"/>
      <c r="G11" s="587"/>
      <c r="H11" s="587"/>
      <c r="I11" s="587"/>
      <c r="J11" s="587"/>
      <c r="K11" s="587"/>
      <c r="L11" s="456"/>
    </row>
    <row r="12" spans="1:12" ht="32.25" customHeight="1">
      <c r="A12" s="456"/>
      <c r="B12" s="765" t="s">
        <v>674</v>
      </c>
      <c r="C12" s="765"/>
      <c r="D12" s="765"/>
      <c r="E12" s="765"/>
      <c r="F12" s="765"/>
      <c r="G12" s="765"/>
      <c r="H12" s="765"/>
      <c r="I12" s="765"/>
      <c r="J12" s="765"/>
      <c r="K12" s="765"/>
      <c r="L12" s="456"/>
    </row>
    <row r="13" spans="1:12" ht="14.25">
      <c r="A13" s="456"/>
      <c r="L13" s="456"/>
    </row>
    <row r="14" spans="1:12" ht="14.25">
      <c r="A14" s="456"/>
      <c r="B14" s="459" t="s">
        <v>675</v>
      </c>
      <c r="L14" s="456"/>
    </row>
    <row r="15" spans="1:12" ht="14.25">
      <c r="A15" s="456"/>
      <c r="L15" s="456"/>
    </row>
    <row r="16" spans="1:12" ht="14.25">
      <c r="A16" s="456"/>
      <c r="B16" s="457" t="s">
        <v>676</v>
      </c>
      <c r="L16" s="456"/>
    </row>
    <row r="17" spans="1:12" ht="14.25">
      <c r="A17" s="456"/>
      <c r="B17" s="457" t="s">
        <v>677</v>
      </c>
      <c r="L17" s="456"/>
    </row>
    <row r="18" spans="1:12" ht="14.25">
      <c r="A18" s="456"/>
      <c r="L18" s="456"/>
    </row>
    <row r="19" spans="1:12" ht="14.25">
      <c r="A19" s="456"/>
      <c r="B19" s="459" t="s">
        <v>678</v>
      </c>
      <c r="L19" s="456"/>
    </row>
    <row r="20" spans="1:12" ht="14.25">
      <c r="A20" s="456"/>
      <c r="B20" s="459"/>
      <c r="L20" s="456"/>
    </row>
    <row r="21" spans="1:12" ht="14.25">
      <c r="A21" s="456"/>
      <c r="B21" s="457" t="s">
        <v>679</v>
      </c>
      <c r="L21" s="456"/>
    </row>
    <row r="22" spans="1:12" ht="14.25">
      <c r="A22" s="456"/>
      <c r="L22" s="456"/>
    </row>
    <row r="23" spans="1:12" ht="14.25">
      <c r="A23" s="456"/>
      <c r="B23" s="457" t="s">
        <v>680</v>
      </c>
      <c r="E23" s="457" t="s">
        <v>681</v>
      </c>
      <c r="F23" s="774">
        <v>46543382</v>
      </c>
      <c r="G23" s="774"/>
      <c r="L23" s="456"/>
    </row>
    <row r="24" spans="1:12" ht="14.25">
      <c r="A24" s="456"/>
      <c r="L24" s="456"/>
    </row>
    <row r="25" spans="1:12" ht="14.25">
      <c r="A25" s="456"/>
      <c r="C25" s="788">
        <f>F23</f>
        <v>46543382</v>
      </c>
      <c r="D25" s="788"/>
      <c r="E25" s="457" t="s">
        <v>682</v>
      </c>
      <c r="F25" s="460">
        <v>1000</v>
      </c>
      <c r="G25" s="460" t="s">
        <v>681</v>
      </c>
      <c r="H25" s="588">
        <f>F23/F25</f>
        <v>46543.382</v>
      </c>
      <c r="L25" s="456"/>
    </row>
    <row r="26" spans="1:12" ht="15" thickBot="1">
      <c r="A26" s="456"/>
      <c r="L26" s="456"/>
    </row>
    <row r="27" spans="1:12" ht="14.25">
      <c r="A27" s="456"/>
      <c r="B27" s="461" t="s">
        <v>675</v>
      </c>
      <c r="C27" s="462"/>
      <c r="D27" s="462"/>
      <c r="E27" s="462"/>
      <c r="F27" s="462"/>
      <c r="G27" s="462"/>
      <c r="H27" s="462"/>
      <c r="I27" s="462"/>
      <c r="J27" s="462"/>
      <c r="K27" s="463"/>
      <c r="L27" s="456"/>
    </row>
    <row r="28" spans="1:12" ht="14.25">
      <c r="A28" s="456"/>
      <c r="B28" s="464">
        <f>F23</f>
        <v>46543382</v>
      </c>
      <c r="C28" s="465" t="s">
        <v>683</v>
      </c>
      <c r="D28" s="465"/>
      <c r="E28" s="465" t="s">
        <v>682</v>
      </c>
      <c r="F28" s="591">
        <v>1000</v>
      </c>
      <c r="G28" s="591" t="s">
        <v>681</v>
      </c>
      <c r="H28" s="466">
        <f>B28/F28</f>
        <v>46543.382</v>
      </c>
      <c r="I28" s="465" t="s">
        <v>684</v>
      </c>
      <c r="J28" s="465"/>
      <c r="K28" s="467"/>
      <c r="L28" s="456"/>
    </row>
    <row r="29" spans="1:12" ht="15" thickBot="1">
      <c r="A29" s="456"/>
      <c r="B29" s="468"/>
      <c r="C29" s="469"/>
      <c r="D29" s="469"/>
      <c r="E29" s="469"/>
      <c r="F29" s="469"/>
      <c r="G29" s="469"/>
      <c r="H29" s="469"/>
      <c r="I29" s="469"/>
      <c r="J29" s="469"/>
      <c r="K29" s="470"/>
      <c r="L29" s="456"/>
    </row>
    <row r="30" spans="1:12" ht="40.5" customHeight="1">
      <c r="A30" s="456"/>
      <c r="B30" s="762" t="s">
        <v>671</v>
      </c>
      <c r="C30" s="762"/>
      <c r="D30" s="762"/>
      <c r="E30" s="762"/>
      <c r="F30" s="762"/>
      <c r="G30" s="762"/>
      <c r="H30" s="762"/>
      <c r="I30" s="762"/>
      <c r="J30" s="762"/>
      <c r="K30" s="762"/>
      <c r="L30" s="456"/>
    </row>
    <row r="31" spans="1:12" ht="14.25">
      <c r="A31" s="456"/>
      <c r="B31" s="776" t="s">
        <v>685</v>
      </c>
      <c r="C31" s="776"/>
      <c r="D31" s="776"/>
      <c r="E31" s="776"/>
      <c r="F31" s="776"/>
      <c r="G31" s="776"/>
      <c r="H31" s="776"/>
      <c r="I31" s="776"/>
      <c r="J31" s="776"/>
      <c r="K31" s="776"/>
      <c r="L31" s="456"/>
    </row>
    <row r="32" spans="1:12" ht="14.25">
      <c r="A32" s="456"/>
      <c r="L32" s="456"/>
    </row>
    <row r="33" spans="1:12" ht="14.25">
      <c r="A33" s="456"/>
      <c r="B33" s="776" t="s">
        <v>686</v>
      </c>
      <c r="C33" s="776"/>
      <c r="D33" s="776"/>
      <c r="E33" s="776"/>
      <c r="F33" s="776"/>
      <c r="G33" s="776"/>
      <c r="H33" s="776"/>
      <c r="I33" s="776"/>
      <c r="J33" s="776"/>
      <c r="K33" s="776"/>
      <c r="L33" s="456"/>
    </row>
    <row r="34" spans="1:12" ht="14.25">
      <c r="A34" s="456"/>
      <c r="L34" s="456"/>
    </row>
    <row r="35" spans="1:12" ht="89.25" customHeight="1">
      <c r="A35" s="456"/>
      <c r="B35" s="765" t="s">
        <v>687</v>
      </c>
      <c r="C35" s="777"/>
      <c r="D35" s="777"/>
      <c r="E35" s="777"/>
      <c r="F35" s="777"/>
      <c r="G35" s="777"/>
      <c r="H35" s="777"/>
      <c r="I35" s="777"/>
      <c r="J35" s="777"/>
      <c r="K35" s="777"/>
      <c r="L35" s="456"/>
    </row>
    <row r="36" spans="1:12" ht="14.25">
      <c r="A36" s="456"/>
      <c r="L36" s="456"/>
    </row>
    <row r="37" spans="1:12" ht="14.25">
      <c r="A37" s="456"/>
      <c r="B37" s="459" t="s">
        <v>688</v>
      </c>
      <c r="L37" s="456"/>
    </row>
    <row r="38" spans="1:12" ht="14.25">
      <c r="A38" s="456"/>
      <c r="L38" s="456"/>
    </row>
    <row r="39" spans="1:12" ht="14.25">
      <c r="A39" s="456"/>
      <c r="B39" s="457" t="s">
        <v>689</v>
      </c>
      <c r="L39" s="456"/>
    </row>
    <row r="40" spans="1:12" ht="14.25">
      <c r="A40" s="456"/>
      <c r="L40" s="456"/>
    </row>
    <row r="41" spans="1:12" ht="14.25">
      <c r="A41" s="456"/>
      <c r="C41" s="781">
        <v>3120000</v>
      </c>
      <c r="D41" s="781"/>
      <c r="E41" s="457" t="s">
        <v>682</v>
      </c>
      <c r="F41" s="460">
        <v>1000</v>
      </c>
      <c r="G41" s="460" t="s">
        <v>681</v>
      </c>
      <c r="H41" s="471">
        <f>C41/F41</f>
        <v>3120</v>
      </c>
      <c r="L41" s="456"/>
    </row>
    <row r="42" spans="1:12" ht="14.25">
      <c r="A42" s="456"/>
      <c r="L42" s="456"/>
    </row>
    <row r="43" spans="1:12" ht="14.25">
      <c r="A43" s="456"/>
      <c r="B43" s="457" t="s">
        <v>690</v>
      </c>
      <c r="L43" s="456"/>
    </row>
    <row r="44" spans="1:12" ht="14.25">
      <c r="A44" s="456"/>
      <c r="L44" s="456"/>
    </row>
    <row r="45" spans="1:12" ht="14.25">
      <c r="A45" s="456"/>
      <c r="B45" s="457" t="s">
        <v>691</v>
      </c>
      <c r="L45" s="456"/>
    </row>
    <row r="46" spans="1:12" ht="15" thickBot="1">
      <c r="A46" s="456"/>
      <c r="L46" s="456"/>
    </row>
    <row r="47" spans="1:12" ht="14.25">
      <c r="A47" s="456"/>
      <c r="B47" s="472" t="s">
        <v>675</v>
      </c>
      <c r="C47" s="462"/>
      <c r="D47" s="462"/>
      <c r="E47" s="462"/>
      <c r="F47" s="462"/>
      <c r="G47" s="462"/>
      <c r="H47" s="462"/>
      <c r="I47" s="462"/>
      <c r="J47" s="462"/>
      <c r="K47" s="463"/>
      <c r="L47" s="456"/>
    </row>
    <row r="48" spans="1:12" ht="14.25">
      <c r="A48" s="456"/>
      <c r="B48" s="774">
        <v>46543382</v>
      </c>
      <c r="C48" s="774"/>
      <c r="D48" s="465" t="s">
        <v>692</v>
      </c>
      <c r="E48" s="465" t="s">
        <v>682</v>
      </c>
      <c r="F48" s="591">
        <v>1000</v>
      </c>
      <c r="G48" s="591" t="s">
        <v>681</v>
      </c>
      <c r="H48" s="466">
        <f>B48/F48</f>
        <v>46543.382</v>
      </c>
      <c r="I48" s="465" t="s">
        <v>693</v>
      </c>
      <c r="J48" s="465"/>
      <c r="K48" s="467"/>
      <c r="L48" s="456"/>
    </row>
    <row r="49" spans="1:12" ht="14.25">
      <c r="A49" s="456"/>
      <c r="B49" s="473"/>
      <c r="C49" s="465"/>
      <c r="D49" s="465"/>
      <c r="E49" s="465"/>
      <c r="F49" s="465"/>
      <c r="G49" s="465"/>
      <c r="H49" s="465"/>
      <c r="I49" s="465"/>
      <c r="J49" s="465"/>
      <c r="K49" s="467"/>
      <c r="L49" s="456"/>
    </row>
    <row r="50" spans="1:12" ht="14.25">
      <c r="A50" s="456"/>
      <c r="B50" s="474">
        <f>298980*1.06</f>
        <v>316918.8</v>
      </c>
      <c r="C50" s="465" t="s">
        <v>694</v>
      </c>
      <c r="D50" s="465"/>
      <c r="E50" s="465" t="s">
        <v>682</v>
      </c>
      <c r="F50" s="466">
        <f>H48</f>
        <v>46543.382</v>
      </c>
      <c r="G50" s="782" t="s">
        <v>695</v>
      </c>
      <c r="H50" s="783"/>
      <c r="I50" s="591" t="s">
        <v>681</v>
      </c>
      <c r="J50" s="475">
        <f>B50/F50</f>
        <v>6.809105535132793</v>
      </c>
      <c r="K50" s="467"/>
      <c r="L50" s="456"/>
    </row>
    <row r="51" spans="1:15" ht="15" thickBot="1">
      <c r="A51" s="456"/>
      <c r="B51" s="468"/>
      <c r="C51" s="469"/>
      <c r="D51" s="469"/>
      <c r="E51" s="469"/>
      <c r="F51" s="469"/>
      <c r="G51" s="469"/>
      <c r="H51" s="469"/>
      <c r="I51" s="784" t="s">
        <v>696</v>
      </c>
      <c r="J51" s="784"/>
      <c r="K51" s="785"/>
      <c r="L51" s="456"/>
      <c r="O51" s="616"/>
    </row>
    <row r="52" spans="1:12" ht="40.5" customHeight="1">
      <c r="A52" s="456"/>
      <c r="B52" s="762" t="s">
        <v>671</v>
      </c>
      <c r="C52" s="762"/>
      <c r="D52" s="762"/>
      <c r="E52" s="762"/>
      <c r="F52" s="762"/>
      <c r="G52" s="762"/>
      <c r="H52" s="762"/>
      <c r="I52" s="762"/>
      <c r="J52" s="762"/>
      <c r="K52" s="762"/>
      <c r="L52" s="456"/>
    </row>
    <row r="53" spans="1:12" ht="14.25">
      <c r="A53" s="456"/>
      <c r="B53" s="776" t="s">
        <v>697</v>
      </c>
      <c r="C53" s="776"/>
      <c r="D53" s="776"/>
      <c r="E53" s="776"/>
      <c r="F53" s="776"/>
      <c r="G53" s="776"/>
      <c r="H53" s="776"/>
      <c r="I53" s="776"/>
      <c r="J53" s="776"/>
      <c r="K53" s="776"/>
      <c r="L53" s="456"/>
    </row>
    <row r="54" spans="1:12" ht="14.25">
      <c r="A54" s="456"/>
      <c r="B54" s="587"/>
      <c r="C54" s="587"/>
      <c r="D54" s="587"/>
      <c r="E54" s="587"/>
      <c r="F54" s="587"/>
      <c r="G54" s="587"/>
      <c r="H54" s="587"/>
      <c r="I54" s="587"/>
      <c r="J54" s="587"/>
      <c r="K54" s="587"/>
      <c r="L54" s="456"/>
    </row>
    <row r="55" spans="1:12" ht="14.25">
      <c r="A55" s="456"/>
      <c r="B55" s="763" t="s">
        <v>698</v>
      </c>
      <c r="C55" s="763"/>
      <c r="D55" s="763"/>
      <c r="E55" s="763"/>
      <c r="F55" s="763"/>
      <c r="G55" s="763"/>
      <c r="H55" s="763"/>
      <c r="I55" s="763"/>
      <c r="J55" s="763"/>
      <c r="K55" s="763"/>
      <c r="L55" s="456"/>
    </row>
    <row r="56" spans="1:12" ht="15" customHeight="1">
      <c r="A56" s="456"/>
      <c r="L56" s="456"/>
    </row>
    <row r="57" spans="1:24" ht="74.25" customHeight="1">
      <c r="A57" s="456"/>
      <c r="B57" s="765" t="s">
        <v>699</v>
      </c>
      <c r="C57" s="777"/>
      <c r="D57" s="777"/>
      <c r="E57" s="777"/>
      <c r="F57" s="777"/>
      <c r="G57" s="777"/>
      <c r="H57" s="777"/>
      <c r="I57" s="777"/>
      <c r="J57" s="777"/>
      <c r="K57" s="777"/>
      <c r="L57" s="456"/>
      <c r="M57" s="476"/>
      <c r="N57" s="477"/>
      <c r="O57" s="477"/>
      <c r="P57" s="477"/>
      <c r="Q57" s="477"/>
      <c r="R57" s="477"/>
      <c r="S57" s="477"/>
      <c r="T57" s="477"/>
      <c r="U57" s="477"/>
      <c r="V57" s="477"/>
      <c r="W57" s="477"/>
      <c r="X57" s="477"/>
    </row>
    <row r="58" spans="1:24" ht="15" customHeight="1">
      <c r="A58" s="456"/>
      <c r="B58" s="765"/>
      <c r="C58" s="777"/>
      <c r="D58" s="777"/>
      <c r="E58" s="777"/>
      <c r="F58" s="777"/>
      <c r="G58" s="777"/>
      <c r="H58" s="777"/>
      <c r="I58" s="777"/>
      <c r="J58" s="777"/>
      <c r="K58" s="777"/>
      <c r="L58" s="456"/>
      <c r="M58" s="476"/>
      <c r="N58" s="477"/>
      <c r="O58" s="477"/>
      <c r="P58" s="477"/>
      <c r="Q58" s="477"/>
      <c r="R58" s="477"/>
      <c r="S58" s="477"/>
      <c r="T58" s="477"/>
      <c r="U58" s="477"/>
      <c r="V58" s="477"/>
      <c r="W58" s="477"/>
      <c r="X58" s="477"/>
    </row>
    <row r="59" spans="1:24" ht="14.25">
      <c r="A59" s="456"/>
      <c r="B59" s="459" t="s">
        <v>688</v>
      </c>
      <c r="L59" s="456"/>
      <c r="M59" s="477"/>
      <c r="N59" s="477"/>
      <c r="O59" s="477"/>
      <c r="P59" s="477"/>
      <c r="Q59" s="477"/>
      <c r="R59" s="477"/>
      <c r="S59" s="477"/>
      <c r="T59" s="477"/>
      <c r="U59" s="477"/>
      <c r="V59" s="477"/>
      <c r="W59" s="477"/>
      <c r="X59" s="477"/>
    </row>
    <row r="60" spans="1:24" ht="14.25">
      <c r="A60" s="456"/>
      <c r="L60" s="456"/>
      <c r="M60" s="477"/>
      <c r="N60" s="477"/>
      <c r="O60" s="477"/>
      <c r="P60" s="477"/>
      <c r="Q60" s="477"/>
      <c r="R60" s="477"/>
      <c r="S60" s="477"/>
      <c r="T60" s="477"/>
      <c r="U60" s="477"/>
      <c r="V60" s="477"/>
      <c r="W60" s="477"/>
      <c r="X60" s="477"/>
    </row>
    <row r="61" spans="1:24" ht="14.25">
      <c r="A61" s="456"/>
      <c r="B61" s="457" t="s">
        <v>700</v>
      </c>
      <c r="L61" s="456"/>
      <c r="M61" s="477"/>
      <c r="N61" s="477"/>
      <c r="O61" s="477"/>
      <c r="P61" s="477"/>
      <c r="Q61" s="477"/>
      <c r="R61" s="477"/>
      <c r="S61" s="477"/>
      <c r="T61" s="477"/>
      <c r="U61" s="477"/>
      <c r="V61" s="477"/>
      <c r="W61" s="477"/>
      <c r="X61" s="477"/>
    </row>
    <row r="62" spans="1:24" ht="14.25">
      <c r="A62" s="456"/>
      <c r="B62" s="457" t="s">
        <v>701</v>
      </c>
      <c r="L62" s="456"/>
      <c r="M62" s="477"/>
      <c r="N62" s="477"/>
      <c r="O62" s="477"/>
      <c r="P62" s="477"/>
      <c r="Q62" s="477"/>
      <c r="R62" s="477"/>
      <c r="S62" s="477"/>
      <c r="T62" s="477"/>
      <c r="U62" s="477"/>
      <c r="V62" s="477"/>
      <c r="W62" s="477"/>
      <c r="X62" s="477"/>
    </row>
    <row r="63" spans="1:24" ht="14.25">
      <c r="A63" s="456"/>
      <c r="B63" s="457" t="s">
        <v>702</v>
      </c>
      <c r="L63" s="456"/>
      <c r="M63" s="477"/>
      <c r="N63" s="477"/>
      <c r="O63" s="477"/>
      <c r="P63" s="477"/>
      <c r="Q63" s="477"/>
      <c r="R63" s="477"/>
      <c r="S63" s="477"/>
      <c r="T63" s="477"/>
      <c r="U63" s="477"/>
      <c r="V63" s="477"/>
      <c r="W63" s="477"/>
      <c r="X63" s="477"/>
    </row>
    <row r="64" spans="1:24" ht="14.25">
      <c r="A64" s="456"/>
      <c r="L64" s="456"/>
      <c r="M64" s="477"/>
      <c r="N64" s="477"/>
      <c r="O64" s="477"/>
      <c r="P64" s="477"/>
      <c r="Q64" s="477"/>
      <c r="R64" s="477"/>
      <c r="S64" s="477"/>
      <c r="T64" s="477"/>
      <c r="U64" s="477"/>
      <c r="V64" s="477"/>
      <c r="W64" s="477"/>
      <c r="X64" s="477"/>
    </row>
    <row r="65" spans="1:24" ht="14.25">
      <c r="A65" s="456"/>
      <c r="B65" s="457" t="s">
        <v>703</v>
      </c>
      <c r="L65" s="456"/>
      <c r="M65" s="477"/>
      <c r="N65" s="477"/>
      <c r="O65" s="477"/>
      <c r="P65" s="477"/>
      <c r="Q65" s="477"/>
      <c r="R65" s="477"/>
      <c r="S65" s="477"/>
      <c r="T65" s="477"/>
      <c r="U65" s="477"/>
      <c r="V65" s="477"/>
      <c r="W65" s="477"/>
      <c r="X65" s="477"/>
    </row>
    <row r="66" spans="1:24" ht="14.25">
      <c r="A66" s="456"/>
      <c r="B66" s="457" t="s">
        <v>704</v>
      </c>
      <c r="L66" s="456"/>
      <c r="M66" s="477"/>
      <c r="N66" s="477"/>
      <c r="O66" s="477"/>
      <c r="P66" s="477"/>
      <c r="Q66" s="477"/>
      <c r="R66" s="477"/>
      <c r="S66" s="477"/>
      <c r="T66" s="477"/>
      <c r="U66" s="477"/>
      <c r="V66" s="477"/>
      <c r="W66" s="477"/>
      <c r="X66" s="477"/>
    </row>
    <row r="67" spans="1:24" ht="14.25">
      <c r="A67" s="456"/>
      <c r="L67" s="456"/>
      <c r="M67" s="477"/>
      <c r="N67" s="477"/>
      <c r="O67" s="477"/>
      <c r="P67" s="477"/>
      <c r="Q67" s="477"/>
      <c r="R67" s="477"/>
      <c r="S67" s="477"/>
      <c r="T67" s="477"/>
      <c r="U67" s="477"/>
      <c r="V67" s="477"/>
      <c r="W67" s="477"/>
      <c r="X67" s="477"/>
    </row>
    <row r="68" spans="1:24" ht="14.25">
      <c r="A68" s="456"/>
      <c r="B68" s="457" t="s">
        <v>705</v>
      </c>
      <c r="L68" s="456"/>
      <c r="M68" s="478"/>
      <c r="N68" s="479"/>
      <c r="O68" s="479"/>
      <c r="P68" s="479"/>
      <c r="Q68" s="479"/>
      <c r="R68" s="479"/>
      <c r="S68" s="479"/>
      <c r="T68" s="479"/>
      <c r="U68" s="479"/>
      <c r="V68" s="479"/>
      <c r="W68" s="479"/>
      <c r="X68" s="477"/>
    </row>
    <row r="69" spans="1:24" ht="14.25">
      <c r="A69" s="456"/>
      <c r="B69" s="457" t="s">
        <v>706</v>
      </c>
      <c r="L69" s="456"/>
      <c r="M69" s="477"/>
      <c r="N69" s="477"/>
      <c r="O69" s="477"/>
      <c r="P69" s="477"/>
      <c r="Q69" s="477"/>
      <c r="R69" s="477"/>
      <c r="S69" s="477"/>
      <c r="T69" s="477"/>
      <c r="U69" s="477"/>
      <c r="V69" s="477"/>
      <c r="W69" s="477"/>
      <c r="X69" s="477"/>
    </row>
    <row r="70" spans="1:24" ht="14.25">
      <c r="A70" s="456"/>
      <c r="B70" s="457" t="s">
        <v>707</v>
      </c>
      <c r="L70" s="456"/>
      <c r="M70" s="477"/>
      <c r="N70" s="477"/>
      <c r="O70" s="477"/>
      <c r="P70" s="477"/>
      <c r="Q70" s="477"/>
      <c r="R70" s="477"/>
      <c r="S70" s="477"/>
      <c r="T70" s="477"/>
      <c r="U70" s="477"/>
      <c r="V70" s="477"/>
      <c r="W70" s="477"/>
      <c r="X70" s="477"/>
    </row>
    <row r="71" spans="1:12" ht="15" thickBot="1">
      <c r="A71" s="456"/>
      <c r="B71" s="465"/>
      <c r="C71" s="465"/>
      <c r="D71" s="465"/>
      <c r="E71" s="465"/>
      <c r="F71" s="465"/>
      <c r="G71" s="465"/>
      <c r="H71" s="465"/>
      <c r="I71" s="465"/>
      <c r="J71" s="465"/>
      <c r="K71" s="465"/>
      <c r="L71" s="456"/>
    </row>
    <row r="72" spans="1:12" ht="14.25">
      <c r="A72" s="456"/>
      <c r="B72" s="461" t="s">
        <v>675</v>
      </c>
      <c r="C72" s="462"/>
      <c r="D72" s="462"/>
      <c r="E72" s="462"/>
      <c r="F72" s="462"/>
      <c r="G72" s="462"/>
      <c r="H72" s="462"/>
      <c r="I72" s="462"/>
      <c r="J72" s="462"/>
      <c r="K72" s="463"/>
      <c r="L72" s="480"/>
    </row>
    <row r="73" spans="1:12" ht="14.25">
      <c r="A73" s="456"/>
      <c r="B73" s="473"/>
      <c r="C73" s="465" t="s">
        <v>683</v>
      </c>
      <c r="D73" s="465"/>
      <c r="E73" s="465"/>
      <c r="F73" s="465"/>
      <c r="G73" s="465"/>
      <c r="H73" s="465"/>
      <c r="I73" s="465"/>
      <c r="J73" s="465"/>
      <c r="K73" s="467"/>
      <c r="L73" s="480"/>
    </row>
    <row r="74" spans="1:12" ht="14.25">
      <c r="A74" s="456"/>
      <c r="B74" s="473" t="s">
        <v>708</v>
      </c>
      <c r="C74" s="774">
        <v>46543382</v>
      </c>
      <c r="D74" s="774"/>
      <c r="E74" s="591" t="s">
        <v>682</v>
      </c>
      <c r="F74" s="591">
        <v>1000</v>
      </c>
      <c r="G74" s="591" t="s">
        <v>681</v>
      </c>
      <c r="H74" s="592">
        <f>C74/F74</f>
        <v>46543.382</v>
      </c>
      <c r="I74" s="465" t="s">
        <v>709</v>
      </c>
      <c r="J74" s="465"/>
      <c r="K74" s="467"/>
      <c r="L74" s="480"/>
    </row>
    <row r="75" spans="1:12" ht="14.25">
      <c r="A75" s="456"/>
      <c r="B75" s="473"/>
      <c r="C75" s="465"/>
      <c r="D75" s="465"/>
      <c r="E75" s="591"/>
      <c r="F75" s="465"/>
      <c r="G75" s="465"/>
      <c r="H75" s="465"/>
      <c r="I75" s="465"/>
      <c r="J75" s="465"/>
      <c r="K75" s="467"/>
      <c r="L75" s="480"/>
    </row>
    <row r="76" spans="1:12" ht="14.25">
      <c r="A76" s="456"/>
      <c r="B76" s="473"/>
      <c r="C76" s="465" t="s">
        <v>541</v>
      </c>
      <c r="D76" s="465"/>
      <c r="E76" s="591"/>
      <c r="F76" s="465" t="s">
        <v>709</v>
      </c>
      <c r="G76" s="465"/>
      <c r="H76" s="465"/>
      <c r="I76" s="465"/>
      <c r="J76" s="465"/>
      <c r="K76" s="467"/>
      <c r="L76" s="480"/>
    </row>
    <row r="77" spans="1:12" ht="14.25">
      <c r="A77" s="456"/>
      <c r="B77" s="473" t="s">
        <v>544</v>
      </c>
      <c r="C77" s="774">
        <v>0</v>
      </c>
      <c r="D77" s="774"/>
      <c r="E77" s="591" t="s">
        <v>682</v>
      </c>
      <c r="F77" s="592">
        <f>H74</f>
        <v>46543.382</v>
      </c>
      <c r="G77" s="591" t="s">
        <v>681</v>
      </c>
      <c r="H77" s="475">
        <f>C77/F77</f>
        <v>0</v>
      </c>
      <c r="I77" s="465" t="s">
        <v>542</v>
      </c>
      <c r="J77" s="465"/>
      <c r="K77" s="467"/>
      <c r="L77" s="480"/>
    </row>
    <row r="78" spans="1:12" ht="14.25">
      <c r="A78" s="456"/>
      <c r="B78" s="473"/>
      <c r="C78" s="465"/>
      <c r="D78" s="465"/>
      <c r="E78" s="591"/>
      <c r="F78" s="465"/>
      <c r="G78" s="465"/>
      <c r="H78" s="465"/>
      <c r="I78" s="465"/>
      <c r="J78" s="465"/>
      <c r="K78" s="467"/>
      <c r="L78" s="480"/>
    </row>
    <row r="79" spans="1:12" ht="14.25">
      <c r="A79" s="456"/>
      <c r="B79" s="481"/>
      <c r="C79" s="482" t="s">
        <v>543</v>
      </c>
      <c r="D79" s="482"/>
      <c r="E79" s="593"/>
      <c r="F79" s="482"/>
      <c r="G79" s="482"/>
      <c r="H79" s="482"/>
      <c r="I79" s="482"/>
      <c r="J79" s="482"/>
      <c r="K79" s="483"/>
      <c r="L79" s="480"/>
    </row>
    <row r="80" spans="1:12" ht="14.25">
      <c r="A80" s="456"/>
      <c r="B80" s="473" t="s">
        <v>127</v>
      </c>
      <c r="C80" s="774">
        <v>100000</v>
      </c>
      <c r="D80" s="774"/>
      <c r="E80" s="591" t="s">
        <v>800</v>
      </c>
      <c r="F80" s="591">
        <v>0.115</v>
      </c>
      <c r="G80" s="591" t="s">
        <v>681</v>
      </c>
      <c r="H80" s="592">
        <f>C80*F80</f>
        <v>11500</v>
      </c>
      <c r="I80" s="465" t="s">
        <v>545</v>
      </c>
      <c r="J80" s="465"/>
      <c r="K80" s="467"/>
      <c r="L80" s="480"/>
    </row>
    <row r="81" spans="1:12" ht="14.25">
      <c r="A81" s="456"/>
      <c r="B81" s="473"/>
      <c r="C81" s="465"/>
      <c r="D81" s="465"/>
      <c r="E81" s="591"/>
      <c r="F81" s="465"/>
      <c r="G81" s="465"/>
      <c r="H81" s="465"/>
      <c r="I81" s="465"/>
      <c r="J81" s="465"/>
      <c r="K81" s="467"/>
      <c r="L81" s="480"/>
    </row>
    <row r="82" spans="1:12" ht="14.25">
      <c r="A82" s="456"/>
      <c r="B82" s="481"/>
      <c r="C82" s="482" t="s">
        <v>546</v>
      </c>
      <c r="D82" s="482"/>
      <c r="E82" s="593"/>
      <c r="F82" s="482" t="s">
        <v>542</v>
      </c>
      <c r="G82" s="482"/>
      <c r="H82" s="482"/>
      <c r="I82" s="482"/>
      <c r="J82" s="482" t="s">
        <v>547</v>
      </c>
      <c r="K82" s="483"/>
      <c r="L82" s="480"/>
    </row>
    <row r="83" spans="1:12" ht="14.25">
      <c r="A83" s="456"/>
      <c r="B83" s="473" t="s">
        <v>128</v>
      </c>
      <c r="C83" s="789">
        <f>H80</f>
        <v>11500</v>
      </c>
      <c r="D83" s="789"/>
      <c r="E83" s="591" t="s">
        <v>800</v>
      </c>
      <c r="F83" s="475">
        <f>H77</f>
        <v>0</v>
      </c>
      <c r="G83" s="591" t="s">
        <v>682</v>
      </c>
      <c r="H83" s="591">
        <v>1000</v>
      </c>
      <c r="I83" s="591" t="s">
        <v>681</v>
      </c>
      <c r="J83" s="484">
        <f>C83*F83/H83</f>
        <v>0</v>
      </c>
      <c r="K83" s="467"/>
      <c r="L83" s="480"/>
    </row>
    <row r="84" spans="1:12" ht="15" thickBot="1">
      <c r="A84" s="456"/>
      <c r="B84" s="468"/>
      <c r="C84" s="485"/>
      <c r="D84" s="485"/>
      <c r="E84" s="486"/>
      <c r="F84" s="487"/>
      <c r="G84" s="486"/>
      <c r="H84" s="486"/>
      <c r="I84" s="486"/>
      <c r="J84" s="488"/>
      <c r="K84" s="470"/>
      <c r="L84" s="480"/>
    </row>
    <row r="85" spans="1:12" ht="40.5" customHeight="1">
      <c r="A85" s="456"/>
      <c r="B85" s="762" t="s">
        <v>671</v>
      </c>
      <c r="C85" s="762"/>
      <c r="D85" s="762"/>
      <c r="E85" s="762"/>
      <c r="F85" s="762"/>
      <c r="G85" s="762"/>
      <c r="H85" s="762"/>
      <c r="I85" s="762"/>
      <c r="J85" s="762"/>
      <c r="K85" s="762"/>
      <c r="L85" s="456"/>
    </row>
    <row r="86" spans="1:12" ht="14.25">
      <c r="A86" s="456"/>
      <c r="B86" s="763" t="s">
        <v>548</v>
      </c>
      <c r="C86" s="763"/>
      <c r="D86" s="763"/>
      <c r="E86" s="763"/>
      <c r="F86" s="763"/>
      <c r="G86" s="763"/>
      <c r="H86" s="763"/>
      <c r="I86" s="763"/>
      <c r="J86" s="763"/>
      <c r="K86" s="763"/>
      <c r="L86" s="456"/>
    </row>
    <row r="87" spans="1:12" ht="14.25">
      <c r="A87" s="456"/>
      <c r="B87" s="489"/>
      <c r="C87" s="489"/>
      <c r="D87" s="489"/>
      <c r="E87" s="489"/>
      <c r="F87" s="489"/>
      <c r="G87" s="489"/>
      <c r="H87" s="489"/>
      <c r="I87" s="489"/>
      <c r="J87" s="489"/>
      <c r="K87" s="489"/>
      <c r="L87" s="456"/>
    </row>
    <row r="88" spans="1:12" ht="14.25">
      <c r="A88" s="456"/>
      <c r="B88" s="763" t="s">
        <v>549</v>
      </c>
      <c r="C88" s="763"/>
      <c r="D88" s="763"/>
      <c r="E88" s="763"/>
      <c r="F88" s="763"/>
      <c r="G88" s="763"/>
      <c r="H88" s="763"/>
      <c r="I88" s="763"/>
      <c r="J88" s="763"/>
      <c r="K88" s="763"/>
      <c r="L88" s="456"/>
    </row>
    <row r="89" spans="1:12" ht="14.25">
      <c r="A89" s="456"/>
      <c r="B89" s="586"/>
      <c r="C89" s="586"/>
      <c r="D89" s="586"/>
      <c r="E89" s="586"/>
      <c r="F89" s="586"/>
      <c r="G89" s="586"/>
      <c r="H89" s="586"/>
      <c r="I89" s="586"/>
      <c r="J89" s="586"/>
      <c r="K89" s="586"/>
      <c r="L89" s="456"/>
    </row>
    <row r="90" spans="1:12" ht="45" customHeight="1">
      <c r="A90" s="456"/>
      <c r="B90" s="765" t="s">
        <v>550</v>
      </c>
      <c r="C90" s="765"/>
      <c r="D90" s="765"/>
      <c r="E90" s="765"/>
      <c r="F90" s="765"/>
      <c r="G90" s="765"/>
      <c r="H90" s="765"/>
      <c r="I90" s="765"/>
      <c r="J90" s="765"/>
      <c r="K90" s="765"/>
      <c r="L90" s="456"/>
    </row>
    <row r="91" spans="1:12" ht="15" customHeight="1" thickBot="1">
      <c r="A91" s="456"/>
      <c r="L91" s="456"/>
    </row>
    <row r="92" spans="1:12" ht="15" customHeight="1">
      <c r="A92" s="456"/>
      <c r="B92" s="490" t="s">
        <v>675</v>
      </c>
      <c r="C92" s="491"/>
      <c r="D92" s="491"/>
      <c r="E92" s="491"/>
      <c r="F92" s="491"/>
      <c r="G92" s="491"/>
      <c r="H92" s="491"/>
      <c r="I92" s="491"/>
      <c r="J92" s="491"/>
      <c r="K92" s="492"/>
      <c r="L92" s="456"/>
    </row>
    <row r="93" spans="1:12" ht="15" customHeight="1">
      <c r="A93" s="456"/>
      <c r="B93" s="493"/>
      <c r="C93" s="589" t="s">
        <v>683</v>
      </c>
      <c r="D93" s="589"/>
      <c r="E93" s="589"/>
      <c r="F93" s="589"/>
      <c r="G93" s="589"/>
      <c r="H93" s="589"/>
      <c r="I93" s="589"/>
      <c r="J93" s="589"/>
      <c r="K93" s="494"/>
      <c r="L93" s="456"/>
    </row>
    <row r="94" spans="1:12" ht="15" customHeight="1">
      <c r="A94" s="456"/>
      <c r="B94" s="493" t="s">
        <v>708</v>
      </c>
      <c r="C94" s="774">
        <v>46543382</v>
      </c>
      <c r="D94" s="774"/>
      <c r="E94" s="591" t="s">
        <v>682</v>
      </c>
      <c r="F94" s="591">
        <v>1000</v>
      </c>
      <c r="G94" s="591" t="s">
        <v>681</v>
      </c>
      <c r="H94" s="592">
        <f>C94/F94</f>
        <v>46543.382</v>
      </c>
      <c r="I94" s="589" t="s">
        <v>709</v>
      </c>
      <c r="J94" s="589"/>
      <c r="K94" s="494"/>
      <c r="L94" s="456"/>
    </row>
    <row r="95" spans="1:12" ht="15" customHeight="1">
      <c r="A95" s="456"/>
      <c r="B95" s="493"/>
      <c r="C95" s="589"/>
      <c r="D95" s="589"/>
      <c r="E95" s="591"/>
      <c r="F95" s="589"/>
      <c r="G95" s="589"/>
      <c r="H95" s="589"/>
      <c r="I95" s="589"/>
      <c r="J95" s="589"/>
      <c r="K95" s="494"/>
      <c r="L95" s="456"/>
    </row>
    <row r="96" spans="1:12" ht="15" customHeight="1">
      <c r="A96" s="456"/>
      <c r="B96" s="493"/>
      <c r="C96" s="589" t="s">
        <v>541</v>
      </c>
      <c r="D96" s="589"/>
      <c r="E96" s="591"/>
      <c r="F96" s="589" t="s">
        <v>709</v>
      </c>
      <c r="G96" s="589"/>
      <c r="H96" s="589"/>
      <c r="I96" s="589"/>
      <c r="J96" s="589"/>
      <c r="K96" s="494"/>
      <c r="L96" s="456"/>
    </row>
    <row r="97" spans="1:12" ht="15" customHeight="1">
      <c r="A97" s="456"/>
      <c r="B97" s="493" t="s">
        <v>544</v>
      </c>
      <c r="C97" s="774">
        <v>50000</v>
      </c>
      <c r="D97" s="774"/>
      <c r="E97" s="591" t="s">
        <v>682</v>
      </c>
      <c r="F97" s="592">
        <f>H94</f>
        <v>46543.382</v>
      </c>
      <c r="G97" s="591" t="s">
        <v>681</v>
      </c>
      <c r="H97" s="475">
        <f>C97/F97</f>
        <v>1.0742665842374755</v>
      </c>
      <c r="I97" s="589" t="s">
        <v>542</v>
      </c>
      <c r="J97" s="589"/>
      <c r="K97" s="494"/>
      <c r="L97" s="456"/>
    </row>
    <row r="98" spans="1:12" ht="15" customHeight="1">
      <c r="A98" s="456"/>
      <c r="B98" s="493"/>
      <c r="C98" s="589"/>
      <c r="D98" s="589"/>
      <c r="E98" s="591"/>
      <c r="F98" s="589"/>
      <c r="G98" s="589"/>
      <c r="H98" s="589"/>
      <c r="I98" s="589"/>
      <c r="J98" s="589"/>
      <c r="K98" s="494"/>
      <c r="L98" s="456"/>
    </row>
    <row r="99" spans="1:12" ht="15" customHeight="1">
      <c r="A99" s="456"/>
      <c r="B99" s="495"/>
      <c r="C99" s="496" t="s">
        <v>551</v>
      </c>
      <c r="D99" s="496"/>
      <c r="E99" s="593"/>
      <c r="F99" s="496"/>
      <c r="G99" s="496"/>
      <c r="H99" s="496"/>
      <c r="I99" s="496"/>
      <c r="J99" s="496"/>
      <c r="K99" s="497"/>
      <c r="L99" s="456"/>
    </row>
    <row r="100" spans="1:12" ht="15" customHeight="1">
      <c r="A100" s="456"/>
      <c r="B100" s="493" t="s">
        <v>127</v>
      </c>
      <c r="C100" s="774">
        <v>2500000</v>
      </c>
      <c r="D100" s="774"/>
      <c r="E100" s="591" t="s">
        <v>800</v>
      </c>
      <c r="F100" s="498">
        <v>0.3</v>
      </c>
      <c r="G100" s="591" t="s">
        <v>681</v>
      </c>
      <c r="H100" s="592">
        <f>C100*F100</f>
        <v>750000</v>
      </c>
      <c r="I100" s="589" t="s">
        <v>545</v>
      </c>
      <c r="J100" s="589"/>
      <c r="K100" s="494"/>
      <c r="L100" s="456"/>
    </row>
    <row r="101" spans="1:12" ht="15" customHeight="1">
      <c r="A101" s="456"/>
      <c r="B101" s="493"/>
      <c r="C101" s="589"/>
      <c r="D101" s="589"/>
      <c r="E101" s="591"/>
      <c r="F101" s="589"/>
      <c r="G101" s="589"/>
      <c r="H101" s="589"/>
      <c r="I101" s="589"/>
      <c r="J101" s="589"/>
      <c r="K101" s="494"/>
      <c r="L101" s="456"/>
    </row>
    <row r="102" spans="1:12" ht="15" customHeight="1">
      <c r="A102" s="456"/>
      <c r="B102" s="495"/>
      <c r="C102" s="496" t="s">
        <v>546</v>
      </c>
      <c r="D102" s="496"/>
      <c r="E102" s="593"/>
      <c r="F102" s="496" t="s">
        <v>542</v>
      </c>
      <c r="G102" s="496"/>
      <c r="H102" s="496"/>
      <c r="I102" s="496"/>
      <c r="J102" s="496" t="s">
        <v>547</v>
      </c>
      <c r="K102" s="497"/>
      <c r="L102" s="456"/>
    </row>
    <row r="103" spans="1:12" ht="15" customHeight="1">
      <c r="A103" s="456"/>
      <c r="B103" s="493" t="s">
        <v>128</v>
      </c>
      <c r="C103" s="789">
        <f>H100</f>
        <v>750000</v>
      </c>
      <c r="D103" s="789"/>
      <c r="E103" s="591" t="s">
        <v>800</v>
      </c>
      <c r="F103" s="475">
        <f>H97</f>
        <v>1.0742665842374755</v>
      </c>
      <c r="G103" s="591" t="s">
        <v>682</v>
      </c>
      <c r="H103" s="591">
        <v>1000</v>
      </c>
      <c r="I103" s="591" t="s">
        <v>681</v>
      </c>
      <c r="J103" s="484">
        <f>C103*F103/H103</f>
        <v>805.6999381781065</v>
      </c>
      <c r="K103" s="494"/>
      <c r="L103" s="456"/>
    </row>
    <row r="104" spans="1:12" ht="15" customHeight="1" thickBot="1">
      <c r="A104" s="456"/>
      <c r="B104" s="499"/>
      <c r="C104" s="485"/>
      <c r="D104" s="485"/>
      <c r="E104" s="486"/>
      <c r="F104" s="487"/>
      <c r="G104" s="486"/>
      <c r="H104" s="486"/>
      <c r="I104" s="486"/>
      <c r="J104" s="488"/>
      <c r="K104" s="590"/>
      <c r="L104" s="456"/>
    </row>
    <row r="105" spans="1:12" ht="40.5" customHeight="1">
      <c r="A105" s="456"/>
      <c r="B105" s="762" t="s">
        <v>671</v>
      </c>
      <c r="C105" s="791"/>
      <c r="D105" s="791"/>
      <c r="E105" s="791"/>
      <c r="F105" s="791"/>
      <c r="G105" s="791"/>
      <c r="H105" s="791"/>
      <c r="I105" s="791"/>
      <c r="J105" s="791"/>
      <c r="K105" s="791"/>
      <c r="L105" s="456"/>
    </row>
    <row r="106" spans="1:12" ht="15" customHeight="1">
      <c r="A106" s="456"/>
      <c r="B106" s="778" t="s">
        <v>552</v>
      </c>
      <c r="C106" s="779"/>
      <c r="D106" s="779"/>
      <c r="E106" s="779"/>
      <c r="F106" s="779"/>
      <c r="G106" s="779"/>
      <c r="H106" s="779"/>
      <c r="I106" s="779"/>
      <c r="J106" s="779"/>
      <c r="K106" s="779"/>
      <c r="L106" s="456"/>
    </row>
    <row r="107" spans="1:12" ht="15" customHeight="1">
      <c r="A107" s="456"/>
      <c r="B107" s="589"/>
      <c r="C107" s="500"/>
      <c r="D107" s="500"/>
      <c r="E107" s="591"/>
      <c r="F107" s="475"/>
      <c r="G107" s="591"/>
      <c r="H107" s="591"/>
      <c r="I107" s="591"/>
      <c r="J107" s="484"/>
      <c r="K107" s="589"/>
      <c r="L107" s="456"/>
    </row>
    <row r="108" spans="1:12" ht="15" customHeight="1">
      <c r="A108" s="456"/>
      <c r="B108" s="778" t="s">
        <v>553</v>
      </c>
      <c r="C108" s="780"/>
      <c r="D108" s="780"/>
      <c r="E108" s="780"/>
      <c r="F108" s="780"/>
      <c r="G108" s="780"/>
      <c r="H108" s="780"/>
      <c r="I108" s="780"/>
      <c r="J108" s="780"/>
      <c r="K108" s="780"/>
      <c r="L108" s="456"/>
    </row>
    <row r="109" spans="1:12" ht="15" customHeight="1">
      <c r="A109" s="456"/>
      <c r="B109" s="589"/>
      <c r="C109" s="500"/>
      <c r="D109" s="500"/>
      <c r="E109" s="591"/>
      <c r="F109" s="475"/>
      <c r="G109" s="591"/>
      <c r="H109" s="591"/>
      <c r="I109" s="591"/>
      <c r="J109" s="484"/>
      <c r="K109" s="589"/>
      <c r="L109" s="456"/>
    </row>
    <row r="110" spans="1:12" ht="59.25" customHeight="1">
      <c r="A110" s="456"/>
      <c r="B110" s="790" t="s">
        <v>554</v>
      </c>
      <c r="C110" s="777"/>
      <c r="D110" s="777"/>
      <c r="E110" s="777"/>
      <c r="F110" s="777"/>
      <c r="G110" s="777"/>
      <c r="H110" s="777"/>
      <c r="I110" s="777"/>
      <c r="J110" s="777"/>
      <c r="K110" s="777"/>
      <c r="L110" s="456"/>
    </row>
    <row r="111" spans="1:12" ht="15" thickBot="1">
      <c r="A111" s="456"/>
      <c r="B111" s="587"/>
      <c r="C111" s="587"/>
      <c r="D111" s="587"/>
      <c r="E111" s="587"/>
      <c r="F111" s="587"/>
      <c r="G111" s="587"/>
      <c r="H111" s="587"/>
      <c r="I111" s="587"/>
      <c r="J111" s="587"/>
      <c r="K111" s="587"/>
      <c r="L111" s="501"/>
    </row>
    <row r="112" spans="1:12" ht="14.25">
      <c r="A112" s="456"/>
      <c r="B112" s="461" t="s">
        <v>675</v>
      </c>
      <c r="C112" s="462"/>
      <c r="D112" s="462"/>
      <c r="E112" s="462"/>
      <c r="F112" s="462"/>
      <c r="G112" s="462"/>
      <c r="H112" s="462"/>
      <c r="I112" s="462"/>
      <c r="J112" s="462"/>
      <c r="K112" s="463"/>
      <c r="L112" s="456"/>
    </row>
    <row r="113" spans="1:12" ht="14.25">
      <c r="A113" s="456"/>
      <c r="B113" s="473"/>
      <c r="C113" s="465" t="s">
        <v>683</v>
      </c>
      <c r="D113" s="465"/>
      <c r="E113" s="465"/>
      <c r="F113" s="465"/>
      <c r="G113" s="465"/>
      <c r="H113" s="465"/>
      <c r="I113" s="465"/>
      <c r="J113" s="465"/>
      <c r="K113" s="467"/>
      <c r="L113" s="456"/>
    </row>
    <row r="114" spans="1:12" ht="14.25">
      <c r="A114" s="456"/>
      <c r="B114" s="473" t="s">
        <v>708</v>
      </c>
      <c r="C114" s="774">
        <v>46543382</v>
      </c>
      <c r="D114" s="774"/>
      <c r="E114" s="591" t="s">
        <v>682</v>
      </c>
      <c r="F114" s="591">
        <v>1000</v>
      </c>
      <c r="G114" s="591" t="s">
        <v>681</v>
      </c>
      <c r="H114" s="592">
        <f>C114/F114</f>
        <v>46543.382</v>
      </c>
      <c r="I114" s="465" t="s">
        <v>709</v>
      </c>
      <c r="J114" s="465"/>
      <c r="K114" s="467"/>
      <c r="L114" s="456"/>
    </row>
    <row r="115" spans="1:12" ht="14.25">
      <c r="A115" s="456"/>
      <c r="B115" s="473"/>
      <c r="C115" s="465"/>
      <c r="D115" s="465"/>
      <c r="E115" s="591"/>
      <c r="F115" s="465"/>
      <c r="G115" s="465"/>
      <c r="H115" s="465"/>
      <c r="I115" s="465"/>
      <c r="J115" s="465"/>
      <c r="K115" s="467"/>
      <c r="L115" s="456"/>
    </row>
    <row r="116" spans="1:12" ht="14.25">
      <c r="A116" s="456"/>
      <c r="B116" s="473"/>
      <c r="C116" s="465" t="s">
        <v>541</v>
      </c>
      <c r="D116" s="465"/>
      <c r="E116" s="591"/>
      <c r="F116" s="465" t="s">
        <v>709</v>
      </c>
      <c r="G116" s="465"/>
      <c r="H116" s="465"/>
      <c r="I116" s="465"/>
      <c r="J116" s="465"/>
      <c r="K116" s="467"/>
      <c r="L116" s="456"/>
    </row>
    <row r="117" spans="1:12" ht="14.25">
      <c r="A117" s="456"/>
      <c r="B117" s="473" t="s">
        <v>544</v>
      </c>
      <c r="C117" s="774">
        <v>50000</v>
      </c>
      <c r="D117" s="774"/>
      <c r="E117" s="591" t="s">
        <v>682</v>
      </c>
      <c r="F117" s="592">
        <f>H114</f>
        <v>46543.382</v>
      </c>
      <c r="G117" s="591" t="s">
        <v>681</v>
      </c>
      <c r="H117" s="475">
        <f>C117/F117</f>
        <v>1.0742665842374755</v>
      </c>
      <c r="I117" s="465" t="s">
        <v>542</v>
      </c>
      <c r="J117" s="465"/>
      <c r="K117" s="467"/>
      <c r="L117" s="456"/>
    </row>
    <row r="118" spans="1:12" ht="14.25">
      <c r="A118" s="456"/>
      <c r="B118" s="473"/>
      <c r="C118" s="465"/>
      <c r="D118" s="465"/>
      <c r="E118" s="591"/>
      <c r="F118" s="465"/>
      <c r="G118" s="465"/>
      <c r="H118" s="465"/>
      <c r="I118" s="465"/>
      <c r="J118" s="465"/>
      <c r="K118" s="467"/>
      <c r="L118" s="456"/>
    </row>
    <row r="119" spans="1:12" ht="14.25">
      <c r="A119" s="456"/>
      <c r="B119" s="481"/>
      <c r="C119" s="482" t="s">
        <v>551</v>
      </c>
      <c r="D119" s="482"/>
      <c r="E119" s="593"/>
      <c r="F119" s="482"/>
      <c r="G119" s="482"/>
      <c r="H119" s="482"/>
      <c r="I119" s="482"/>
      <c r="J119" s="482"/>
      <c r="K119" s="483"/>
      <c r="L119" s="456"/>
    </row>
    <row r="120" spans="1:12" ht="14.25">
      <c r="A120" s="456"/>
      <c r="B120" s="473" t="s">
        <v>127</v>
      </c>
      <c r="C120" s="774">
        <v>2500000</v>
      </c>
      <c r="D120" s="774"/>
      <c r="E120" s="591" t="s">
        <v>800</v>
      </c>
      <c r="F120" s="498">
        <v>0.25</v>
      </c>
      <c r="G120" s="591" t="s">
        <v>681</v>
      </c>
      <c r="H120" s="592">
        <f>C120*F120</f>
        <v>625000</v>
      </c>
      <c r="I120" s="465" t="s">
        <v>545</v>
      </c>
      <c r="J120" s="465"/>
      <c r="K120" s="467"/>
      <c r="L120" s="456"/>
    </row>
    <row r="121" spans="1:12" ht="14.25">
      <c r="A121" s="456"/>
      <c r="B121" s="473"/>
      <c r="C121" s="465"/>
      <c r="D121" s="465"/>
      <c r="E121" s="591"/>
      <c r="F121" s="465"/>
      <c r="G121" s="465"/>
      <c r="H121" s="465"/>
      <c r="I121" s="465"/>
      <c r="J121" s="465"/>
      <c r="K121" s="467"/>
      <c r="L121" s="456"/>
    </row>
    <row r="122" spans="1:12" ht="14.25">
      <c r="A122" s="456"/>
      <c r="B122" s="481"/>
      <c r="C122" s="482" t="s">
        <v>546</v>
      </c>
      <c r="D122" s="482"/>
      <c r="E122" s="593"/>
      <c r="F122" s="482" t="s">
        <v>542</v>
      </c>
      <c r="G122" s="482"/>
      <c r="H122" s="482"/>
      <c r="I122" s="482"/>
      <c r="J122" s="482" t="s">
        <v>547</v>
      </c>
      <c r="K122" s="483"/>
      <c r="L122" s="456"/>
    </row>
    <row r="123" spans="1:12" ht="14.25">
      <c r="A123" s="456"/>
      <c r="B123" s="473" t="s">
        <v>128</v>
      </c>
      <c r="C123" s="789">
        <f>H120</f>
        <v>625000</v>
      </c>
      <c r="D123" s="789"/>
      <c r="E123" s="591" t="s">
        <v>800</v>
      </c>
      <c r="F123" s="475">
        <f>H117</f>
        <v>1.0742665842374755</v>
      </c>
      <c r="G123" s="591" t="s">
        <v>682</v>
      </c>
      <c r="H123" s="591">
        <v>1000</v>
      </c>
      <c r="I123" s="591" t="s">
        <v>681</v>
      </c>
      <c r="J123" s="484">
        <f>C123*F123/H123</f>
        <v>671.4166151484222</v>
      </c>
      <c r="K123" s="467"/>
      <c r="L123" s="456"/>
    </row>
    <row r="124" spans="1:12" ht="15" thickBot="1">
      <c r="A124" s="456"/>
      <c r="B124" s="468"/>
      <c r="C124" s="485"/>
      <c r="D124" s="485"/>
      <c r="E124" s="486"/>
      <c r="F124" s="487"/>
      <c r="G124" s="486"/>
      <c r="H124" s="486"/>
      <c r="I124" s="486"/>
      <c r="J124" s="488"/>
      <c r="K124" s="470"/>
      <c r="L124" s="456"/>
    </row>
    <row r="125" spans="1:12" ht="40.5" customHeight="1">
      <c r="A125" s="456"/>
      <c r="B125" s="762" t="s">
        <v>671</v>
      </c>
      <c r="C125" s="762"/>
      <c r="D125" s="762"/>
      <c r="E125" s="762"/>
      <c r="F125" s="762"/>
      <c r="G125" s="762"/>
      <c r="H125" s="762"/>
      <c r="I125" s="762"/>
      <c r="J125" s="762"/>
      <c r="K125" s="762"/>
      <c r="L125" s="501"/>
    </row>
    <row r="126" spans="1:12" ht="14.25">
      <c r="A126" s="456"/>
      <c r="B126" s="763" t="s">
        <v>555</v>
      </c>
      <c r="C126" s="763"/>
      <c r="D126" s="763"/>
      <c r="E126" s="763"/>
      <c r="F126" s="763"/>
      <c r="G126" s="763"/>
      <c r="H126" s="763"/>
      <c r="I126" s="763"/>
      <c r="J126" s="763"/>
      <c r="K126" s="763"/>
      <c r="L126" s="501"/>
    </row>
    <row r="127" spans="1:12" ht="14.25">
      <c r="A127" s="456"/>
      <c r="B127" s="587"/>
      <c r="C127" s="587"/>
      <c r="D127" s="587"/>
      <c r="E127" s="587"/>
      <c r="F127" s="587"/>
      <c r="G127" s="587"/>
      <c r="H127" s="587"/>
      <c r="I127" s="587"/>
      <c r="J127" s="587"/>
      <c r="K127" s="587"/>
      <c r="L127" s="501"/>
    </row>
    <row r="128" spans="1:12" ht="14.25">
      <c r="A128" s="456"/>
      <c r="B128" s="763" t="s">
        <v>556</v>
      </c>
      <c r="C128" s="763"/>
      <c r="D128" s="763"/>
      <c r="E128" s="763"/>
      <c r="F128" s="763"/>
      <c r="G128" s="763"/>
      <c r="H128" s="763"/>
      <c r="I128" s="763"/>
      <c r="J128" s="763"/>
      <c r="K128" s="763"/>
      <c r="L128" s="501"/>
    </row>
    <row r="129" spans="1:12" ht="14.25">
      <c r="A129" s="456"/>
      <c r="B129" s="586"/>
      <c r="C129" s="586"/>
      <c r="D129" s="586"/>
      <c r="E129" s="586"/>
      <c r="F129" s="586"/>
      <c r="G129" s="586"/>
      <c r="H129" s="586"/>
      <c r="I129" s="586"/>
      <c r="J129" s="586"/>
      <c r="K129" s="586"/>
      <c r="L129" s="501"/>
    </row>
    <row r="130" spans="1:12" ht="74.25" customHeight="1">
      <c r="A130" s="456"/>
      <c r="B130" s="765" t="s">
        <v>129</v>
      </c>
      <c r="C130" s="765"/>
      <c r="D130" s="765"/>
      <c r="E130" s="765"/>
      <c r="F130" s="765"/>
      <c r="G130" s="765"/>
      <c r="H130" s="765"/>
      <c r="I130" s="765"/>
      <c r="J130" s="765"/>
      <c r="K130" s="765"/>
      <c r="L130" s="501"/>
    </row>
    <row r="131" spans="1:12" ht="15" thickBot="1">
      <c r="A131" s="456"/>
      <c r="L131" s="456"/>
    </row>
    <row r="132" spans="1:12" ht="14.25">
      <c r="A132" s="456"/>
      <c r="B132" s="461" t="s">
        <v>675</v>
      </c>
      <c r="C132" s="462"/>
      <c r="D132" s="462"/>
      <c r="E132" s="462"/>
      <c r="F132" s="462"/>
      <c r="G132" s="462"/>
      <c r="H132" s="462"/>
      <c r="I132" s="462"/>
      <c r="J132" s="462"/>
      <c r="K132" s="463"/>
      <c r="L132" s="456"/>
    </row>
    <row r="133" spans="1:12" ht="14.25">
      <c r="A133" s="456"/>
      <c r="B133" s="473"/>
      <c r="C133" s="764" t="s">
        <v>557</v>
      </c>
      <c r="D133" s="764"/>
      <c r="E133" s="465"/>
      <c r="F133" s="591" t="s">
        <v>558</v>
      </c>
      <c r="G133" s="465"/>
      <c r="H133" s="764" t="s">
        <v>545</v>
      </c>
      <c r="I133" s="764"/>
      <c r="J133" s="465"/>
      <c r="K133" s="467"/>
      <c r="L133" s="456"/>
    </row>
    <row r="134" spans="1:12" ht="14.25">
      <c r="A134" s="456"/>
      <c r="B134" s="473" t="s">
        <v>708</v>
      </c>
      <c r="C134" s="774">
        <v>100000</v>
      </c>
      <c r="D134" s="774"/>
      <c r="E134" s="591" t="s">
        <v>800</v>
      </c>
      <c r="F134" s="591">
        <v>0.115</v>
      </c>
      <c r="G134" s="591" t="s">
        <v>681</v>
      </c>
      <c r="H134" s="769">
        <f>C134*F134</f>
        <v>11500</v>
      </c>
      <c r="I134" s="769"/>
      <c r="J134" s="465"/>
      <c r="K134" s="467"/>
      <c r="L134" s="456"/>
    </row>
    <row r="135" spans="1:12" ht="14.25">
      <c r="A135" s="456"/>
      <c r="B135" s="473"/>
      <c r="C135" s="465"/>
      <c r="D135" s="465"/>
      <c r="E135" s="465"/>
      <c r="F135" s="465"/>
      <c r="G135" s="465"/>
      <c r="H135" s="465"/>
      <c r="I135" s="465"/>
      <c r="J135" s="465"/>
      <c r="K135" s="467"/>
      <c r="L135" s="456"/>
    </row>
    <row r="136" spans="1:12" ht="14.25">
      <c r="A136" s="456"/>
      <c r="B136" s="481"/>
      <c r="C136" s="775" t="s">
        <v>545</v>
      </c>
      <c r="D136" s="775"/>
      <c r="E136" s="482"/>
      <c r="F136" s="593" t="s">
        <v>559</v>
      </c>
      <c r="G136" s="593"/>
      <c r="H136" s="482"/>
      <c r="I136" s="482"/>
      <c r="J136" s="482" t="s">
        <v>560</v>
      </c>
      <c r="K136" s="483"/>
      <c r="L136" s="456"/>
    </row>
    <row r="137" spans="1:12" ht="14.25">
      <c r="A137" s="456"/>
      <c r="B137" s="473" t="s">
        <v>544</v>
      </c>
      <c r="C137" s="769">
        <f>H134</f>
        <v>11500</v>
      </c>
      <c r="D137" s="769"/>
      <c r="E137" s="591" t="s">
        <v>800</v>
      </c>
      <c r="F137" s="502">
        <v>0.815</v>
      </c>
      <c r="G137" s="591" t="s">
        <v>682</v>
      </c>
      <c r="H137" s="591">
        <v>1000</v>
      </c>
      <c r="I137" s="591" t="s">
        <v>681</v>
      </c>
      <c r="J137" s="503">
        <f>C137*F137/H137</f>
        <v>9.3725</v>
      </c>
      <c r="K137" s="467"/>
      <c r="L137" s="456"/>
    </row>
    <row r="138" spans="1:12" ht="15" thickBot="1">
      <c r="A138" s="456"/>
      <c r="B138" s="468"/>
      <c r="C138" s="617"/>
      <c r="D138" s="617"/>
      <c r="E138" s="486"/>
      <c r="F138" s="618"/>
      <c r="G138" s="486"/>
      <c r="H138" s="486"/>
      <c r="I138" s="486"/>
      <c r="J138" s="619"/>
      <c r="K138" s="470"/>
      <c r="L138" s="456"/>
    </row>
    <row r="139" spans="1:12" ht="40.5" customHeight="1">
      <c r="A139" s="456"/>
      <c r="B139" s="604" t="s">
        <v>671</v>
      </c>
      <c r="C139" s="605"/>
      <c r="D139" s="605"/>
      <c r="E139" s="606"/>
      <c r="F139" s="607"/>
      <c r="G139" s="606"/>
      <c r="H139" s="606"/>
      <c r="I139" s="606"/>
      <c r="J139" s="608"/>
      <c r="K139" s="609"/>
      <c r="L139" s="456"/>
    </row>
    <row r="140" spans="1:12" ht="14.25">
      <c r="A140" s="456"/>
      <c r="B140" s="610" t="s">
        <v>130</v>
      </c>
      <c r="C140" s="611"/>
      <c r="D140" s="611"/>
      <c r="E140" s="612"/>
      <c r="F140" s="613"/>
      <c r="G140" s="612"/>
      <c r="H140" s="612"/>
      <c r="I140" s="612"/>
      <c r="J140" s="614"/>
      <c r="K140" s="615"/>
      <c r="L140" s="456"/>
    </row>
    <row r="141" spans="1:12" ht="14.25">
      <c r="A141" s="456"/>
      <c r="B141" s="473"/>
      <c r="C141" s="592"/>
      <c r="D141" s="592"/>
      <c r="E141" s="591"/>
      <c r="F141" s="620"/>
      <c r="G141" s="591"/>
      <c r="H141" s="591"/>
      <c r="I141" s="591"/>
      <c r="J141" s="503"/>
      <c r="K141" s="467"/>
      <c r="L141" s="456"/>
    </row>
    <row r="142" spans="1:12" ht="14.25">
      <c r="A142" s="456"/>
      <c r="B142" s="610" t="s">
        <v>131</v>
      </c>
      <c r="C142" s="611"/>
      <c r="D142" s="611"/>
      <c r="E142" s="612"/>
      <c r="F142" s="613"/>
      <c r="G142" s="612"/>
      <c r="H142" s="612"/>
      <c r="I142" s="612"/>
      <c r="J142" s="614"/>
      <c r="K142" s="615"/>
      <c r="L142" s="456"/>
    </row>
    <row r="143" spans="1:12" ht="14.25">
      <c r="A143" s="456"/>
      <c r="B143" s="473"/>
      <c r="C143" s="592"/>
      <c r="D143" s="592"/>
      <c r="E143" s="591"/>
      <c r="F143" s="620"/>
      <c r="G143" s="591"/>
      <c r="H143" s="591"/>
      <c r="I143" s="591"/>
      <c r="J143" s="503"/>
      <c r="K143" s="467"/>
      <c r="L143" s="456"/>
    </row>
    <row r="144" spans="1:12" ht="76.5" customHeight="1">
      <c r="A144" s="456"/>
      <c r="B144" s="766" t="s">
        <v>132</v>
      </c>
      <c r="C144" s="767"/>
      <c r="D144" s="767"/>
      <c r="E144" s="767"/>
      <c r="F144" s="767"/>
      <c r="G144" s="767"/>
      <c r="H144" s="767"/>
      <c r="I144" s="767"/>
      <c r="J144" s="767"/>
      <c r="K144" s="768"/>
      <c r="L144" s="456"/>
    </row>
    <row r="145" spans="1:12" ht="15" thickBot="1">
      <c r="A145" s="456"/>
      <c r="B145" s="473"/>
      <c r="C145" s="592"/>
      <c r="D145" s="592"/>
      <c r="E145" s="591"/>
      <c r="F145" s="620"/>
      <c r="G145" s="591"/>
      <c r="H145" s="591"/>
      <c r="I145" s="591"/>
      <c r="J145" s="503"/>
      <c r="K145" s="467"/>
      <c r="L145" s="456"/>
    </row>
    <row r="146" spans="1:12" ht="14.25">
      <c r="A146" s="456"/>
      <c r="B146" s="461" t="s">
        <v>675</v>
      </c>
      <c r="C146" s="621"/>
      <c r="D146" s="621"/>
      <c r="E146" s="622"/>
      <c r="F146" s="623"/>
      <c r="G146" s="622"/>
      <c r="H146" s="622"/>
      <c r="I146" s="622"/>
      <c r="J146" s="624"/>
      <c r="K146" s="463"/>
      <c r="L146" s="456"/>
    </row>
    <row r="147" spans="1:12" ht="14.25">
      <c r="A147" s="456"/>
      <c r="B147" s="473"/>
      <c r="C147" s="769" t="s">
        <v>133</v>
      </c>
      <c r="D147" s="769"/>
      <c r="E147" s="591"/>
      <c r="F147" s="620" t="s">
        <v>134</v>
      </c>
      <c r="G147" s="591"/>
      <c r="H147" s="591"/>
      <c r="I147" s="591"/>
      <c r="J147" s="770" t="s">
        <v>135</v>
      </c>
      <c r="K147" s="771"/>
      <c r="L147" s="456"/>
    </row>
    <row r="148" spans="1:12" ht="14.25">
      <c r="A148" s="456"/>
      <c r="B148" s="473"/>
      <c r="C148" s="772">
        <v>41.225</v>
      </c>
      <c r="D148" s="772"/>
      <c r="E148" s="591" t="s">
        <v>800</v>
      </c>
      <c r="F148" s="774">
        <v>46543382</v>
      </c>
      <c r="G148" s="774"/>
      <c r="H148" s="591">
        <v>1000</v>
      </c>
      <c r="I148" s="591" t="s">
        <v>681</v>
      </c>
      <c r="J148" s="769">
        <f>C148*(F148/1000)</f>
        <v>1918750.92295</v>
      </c>
      <c r="K148" s="773"/>
      <c r="L148" s="456"/>
    </row>
    <row r="149" spans="1:12" ht="15" thickBot="1">
      <c r="A149" s="456"/>
      <c r="B149" s="468"/>
      <c r="C149" s="617"/>
      <c r="D149" s="617"/>
      <c r="E149" s="486"/>
      <c r="F149" s="618"/>
      <c r="G149" s="486"/>
      <c r="H149" s="486"/>
      <c r="I149" s="486"/>
      <c r="J149" s="619"/>
      <c r="K149" s="470"/>
      <c r="L149" s="456"/>
    </row>
    <row r="150" spans="1:12" ht="15" thickBot="1">
      <c r="A150" s="456"/>
      <c r="B150" s="468"/>
      <c r="C150" s="469"/>
      <c r="D150" s="469"/>
      <c r="E150" s="469"/>
      <c r="F150" s="469"/>
      <c r="G150" s="469"/>
      <c r="H150" s="469"/>
      <c r="I150" s="469"/>
      <c r="J150" s="469"/>
      <c r="K150" s="470"/>
      <c r="L150" s="456"/>
    </row>
    <row r="151" spans="1:12" ht="14.25">
      <c r="A151" s="456"/>
      <c r="B151" s="456"/>
      <c r="C151" s="456"/>
      <c r="D151" s="456"/>
      <c r="E151" s="456"/>
      <c r="F151" s="456"/>
      <c r="G151" s="456"/>
      <c r="H151" s="456"/>
      <c r="I151" s="456"/>
      <c r="J151" s="456"/>
      <c r="K151" s="456"/>
      <c r="L151" s="456"/>
    </row>
    <row r="152" spans="1:12" ht="14.25">
      <c r="A152" s="456"/>
      <c r="B152" s="456"/>
      <c r="C152" s="456"/>
      <c r="D152" s="456"/>
      <c r="E152" s="456"/>
      <c r="F152" s="456"/>
      <c r="G152" s="456"/>
      <c r="H152" s="456"/>
      <c r="I152" s="456"/>
      <c r="J152" s="456"/>
      <c r="K152" s="456"/>
      <c r="L152" s="456"/>
    </row>
    <row r="153" spans="1:12" ht="14.25">
      <c r="A153" s="456"/>
      <c r="B153" s="456"/>
      <c r="C153" s="456"/>
      <c r="D153" s="456"/>
      <c r="E153" s="456"/>
      <c r="F153" s="456"/>
      <c r="G153" s="456"/>
      <c r="H153" s="456"/>
      <c r="I153" s="456"/>
      <c r="J153" s="456"/>
      <c r="K153" s="456"/>
      <c r="L153" s="456"/>
    </row>
    <row r="154" spans="1:12" ht="14.25">
      <c r="A154" s="504"/>
      <c r="B154" s="504"/>
      <c r="C154" s="504"/>
      <c r="D154" s="504"/>
      <c r="E154" s="504"/>
      <c r="F154" s="504"/>
      <c r="G154" s="504"/>
      <c r="H154" s="504"/>
      <c r="I154" s="504"/>
      <c r="J154" s="504"/>
      <c r="K154" s="504"/>
      <c r="L154" s="504"/>
    </row>
    <row r="155" spans="1:12" ht="14.25">
      <c r="A155" s="504"/>
      <c r="B155" s="504"/>
      <c r="C155" s="504"/>
      <c r="D155" s="504"/>
      <c r="E155" s="504"/>
      <c r="F155" s="504"/>
      <c r="G155" s="504"/>
      <c r="H155" s="504"/>
      <c r="I155" s="504"/>
      <c r="J155" s="504"/>
      <c r="K155" s="504"/>
      <c r="L155" s="504"/>
    </row>
    <row r="156" spans="1:12" ht="14.25">
      <c r="A156" s="504"/>
      <c r="B156" s="504"/>
      <c r="C156" s="504"/>
      <c r="D156" s="504"/>
      <c r="E156" s="504"/>
      <c r="F156" s="504"/>
      <c r="G156" s="504"/>
      <c r="H156" s="504"/>
      <c r="I156" s="504"/>
      <c r="J156" s="504"/>
      <c r="K156" s="504"/>
      <c r="L156" s="504"/>
    </row>
    <row r="157" spans="1:12" ht="14.25">
      <c r="A157" s="504"/>
      <c r="B157" s="504"/>
      <c r="C157" s="504"/>
      <c r="D157" s="504"/>
      <c r="E157" s="504"/>
      <c r="F157" s="504"/>
      <c r="G157" s="504"/>
      <c r="H157" s="504"/>
      <c r="I157" s="504"/>
      <c r="J157" s="504"/>
      <c r="K157" s="504"/>
      <c r="L157" s="504"/>
    </row>
    <row r="158" spans="1:12" ht="14.25">
      <c r="A158" s="504"/>
      <c r="B158" s="504"/>
      <c r="C158" s="504"/>
      <c r="D158" s="504"/>
      <c r="E158" s="504"/>
      <c r="F158" s="504"/>
      <c r="G158" s="504"/>
      <c r="H158" s="504"/>
      <c r="I158" s="504"/>
      <c r="J158" s="504"/>
      <c r="K158" s="504"/>
      <c r="L158" s="504"/>
    </row>
    <row r="159" spans="1:12" ht="14.25">
      <c r="A159" s="504"/>
      <c r="B159" s="504"/>
      <c r="C159" s="504"/>
      <c r="D159" s="504"/>
      <c r="E159" s="504"/>
      <c r="F159" s="504"/>
      <c r="G159" s="504"/>
      <c r="H159" s="504"/>
      <c r="I159" s="504"/>
      <c r="J159" s="504"/>
      <c r="K159" s="504"/>
      <c r="L159" s="504"/>
    </row>
    <row r="160" spans="1:12" ht="14.25">
      <c r="A160" s="504"/>
      <c r="B160" s="504"/>
      <c r="C160" s="504"/>
      <c r="D160" s="504"/>
      <c r="E160" s="504"/>
      <c r="F160" s="504"/>
      <c r="G160" s="504"/>
      <c r="H160" s="504"/>
      <c r="I160" s="504"/>
      <c r="J160" s="504"/>
      <c r="K160" s="504"/>
      <c r="L160" s="504"/>
    </row>
    <row r="161" spans="1:12" ht="14.25">
      <c r="A161" s="504"/>
      <c r="B161" s="504"/>
      <c r="C161" s="504"/>
      <c r="D161" s="504"/>
      <c r="E161" s="504"/>
      <c r="F161" s="504"/>
      <c r="G161" s="504"/>
      <c r="H161" s="504"/>
      <c r="I161" s="504"/>
      <c r="J161" s="504"/>
      <c r="K161" s="504"/>
      <c r="L161" s="504"/>
    </row>
    <row r="162" spans="1:12" ht="14.25">
      <c r="A162" s="504"/>
      <c r="B162" s="504"/>
      <c r="C162" s="504"/>
      <c r="D162" s="504"/>
      <c r="E162" s="504"/>
      <c r="F162" s="504"/>
      <c r="G162" s="504"/>
      <c r="H162" s="504"/>
      <c r="I162" s="504"/>
      <c r="J162" s="504"/>
      <c r="K162" s="504"/>
      <c r="L162" s="504"/>
    </row>
    <row r="163" spans="1:12" ht="14.25">
      <c r="A163" s="504"/>
      <c r="B163" s="504"/>
      <c r="C163" s="504"/>
      <c r="D163" s="504"/>
      <c r="E163" s="504"/>
      <c r="F163" s="504"/>
      <c r="G163" s="504"/>
      <c r="H163" s="504"/>
      <c r="I163" s="504"/>
      <c r="J163" s="504"/>
      <c r="K163" s="504"/>
      <c r="L163" s="504"/>
    </row>
    <row r="164" spans="1:12" ht="14.25">
      <c r="A164" s="504"/>
      <c r="B164" s="504"/>
      <c r="C164" s="504"/>
      <c r="D164" s="504"/>
      <c r="E164" s="504"/>
      <c r="F164" s="504"/>
      <c r="G164" s="504"/>
      <c r="H164" s="504"/>
      <c r="I164" s="504"/>
      <c r="J164" s="504"/>
      <c r="K164" s="504"/>
      <c r="L164" s="504"/>
    </row>
    <row r="165" spans="1:12" ht="14.25">
      <c r="A165" s="504"/>
      <c r="B165" s="504"/>
      <c r="C165" s="504"/>
      <c r="D165" s="504"/>
      <c r="E165" s="504"/>
      <c r="F165" s="504"/>
      <c r="G165" s="504"/>
      <c r="H165" s="504"/>
      <c r="I165" s="504"/>
      <c r="J165" s="504"/>
      <c r="K165" s="504"/>
      <c r="L165" s="504"/>
    </row>
    <row r="166" spans="1:12" ht="14.25">
      <c r="A166" s="504"/>
      <c r="B166" s="504"/>
      <c r="C166" s="504"/>
      <c r="D166" s="504"/>
      <c r="E166" s="504"/>
      <c r="F166" s="504"/>
      <c r="G166" s="504"/>
      <c r="H166" s="504"/>
      <c r="I166" s="504"/>
      <c r="J166" s="504"/>
      <c r="K166" s="504"/>
      <c r="L166" s="504"/>
    </row>
    <row r="167" spans="1:12" ht="14.25">
      <c r="A167" s="504"/>
      <c r="B167" s="504"/>
      <c r="C167" s="504"/>
      <c r="D167" s="504"/>
      <c r="E167" s="504"/>
      <c r="F167" s="504"/>
      <c r="G167" s="504"/>
      <c r="H167" s="504"/>
      <c r="I167" s="504"/>
      <c r="J167" s="504"/>
      <c r="K167" s="504"/>
      <c r="L167" s="504"/>
    </row>
    <row r="168" spans="1:12" ht="14.25">
      <c r="A168" s="504"/>
      <c r="B168" s="504"/>
      <c r="C168" s="504"/>
      <c r="D168" s="504"/>
      <c r="E168" s="504"/>
      <c r="F168" s="504"/>
      <c r="G168" s="504"/>
      <c r="H168" s="504"/>
      <c r="I168" s="504"/>
      <c r="J168" s="504"/>
      <c r="K168" s="504"/>
      <c r="L168" s="504"/>
    </row>
    <row r="169" spans="1:12" ht="14.25">
      <c r="A169" s="504"/>
      <c r="B169" s="504"/>
      <c r="C169" s="504"/>
      <c r="D169" s="504"/>
      <c r="E169" s="504"/>
      <c r="F169" s="504"/>
      <c r="G169" s="504"/>
      <c r="H169" s="504"/>
      <c r="I169" s="504"/>
      <c r="J169" s="504"/>
      <c r="K169" s="504"/>
      <c r="L169" s="504"/>
    </row>
    <row r="170" spans="1:12" ht="14.25">
      <c r="A170" s="504"/>
      <c r="B170" s="504"/>
      <c r="C170" s="504"/>
      <c r="D170" s="504"/>
      <c r="E170" s="504"/>
      <c r="F170" s="504"/>
      <c r="G170" s="504"/>
      <c r="H170" s="504"/>
      <c r="I170" s="504"/>
      <c r="J170" s="504"/>
      <c r="K170" s="504"/>
      <c r="L170" s="504"/>
    </row>
    <row r="171" spans="1:12" ht="14.25">
      <c r="A171" s="504"/>
      <c r="B171" s="504"/>
      <c r="C171" s="504"/>
      <c r="D171" s="504"/>
      <c r="E171" s="504"/>
      <c r="F171" s="504"/>
      <c r="G171" s="504"/>
      <c r="H171" s="504"/>
      <c r="I171" s="504"/>
      <c r="J171" s="504"/>
      <c r="K171" s="504"/>
      <c r="L171" s="504"/>
    </row>
    <row r="172" spans="1:12" ht="14.25">
      <c r="A172" s="504"/>
      <c r="B172" s="504"/>
      <c r="C172" s="504"/>
      <c r="D172" s="504"/>
      <c r="E172" s="504"/>
      <c r="F172" s="504"/>
      <c r="G172" s="504"/>
      <c r="H172" s="504"/>
      <c r="I172" s="504"/>
      <c r="J172" s="504"/>
      <c r="K172" s="504"/>
      <c r="L172" s="504"/>
    </row>
    <row r="173" spans="1:12" ht="14.25">
      <c r="A173" s="504"/>
      <c r="B173" s="504"/>
      <c r="C173" s="504"/>
      <c r="D173" s="504"/>
      <c r="E173" s="504"/>
      <c r="F173" s="504"/>
      <c r="G173" s="504"/>
      <c r="H173" s="504"/>
      <c r="I173" s="504"/>
      <c r="J173" s="504"/>
      <c r="K173" s="504"/>
      <c r="L173" s="504"/>
    </row>
    <row r="174" spans="1:12" ht="14.25">
      <c r="A174" s="504"/>
      <c r="B174" s="504"/>
      <c r="C174" s="504"/>
      <c r="D174" s="504"/>
      <c r="E174" s="504"/>
      <c r="F174" s="504"/>
      <c r="G174" s="504"/>
      <c r="H174" s="504"/>
      <c r="I174" s="504"/>
      <c r="J174" s="504"/>
      <c r="K174" s="504"/>
      <c r="L174" s="504"/>
    </row>
    <row r="175" spans="1:12" ht="14.25">
      <c r="A175" s="504"/>
      <c r="B175" s="504"/>
      <c r="C175" s="504"/>
      <c r="D175" s="504"/>
      <c r="E175" s="504"/>
      <c r="F175" s="504"/>
      <c r="G175" s="504"/>
      <c r="H175" s="504"/>
      <c r="I175" s="504"/>
      <c r="J175" s="504"/>
      <c r="K175" s="504"/>
      <c r="L175" s="504"/>
    </row>
    <row r="176" spans="1:12" ht="14.25">
      <c r="A176" s="504"/>
      <c r="B176" s="504"/>
      <c r="C176" s="504"/>
      <c r="D176" s="504"/>
      <c r="E176" s="504"/>
      <c r="F176" s="504"/>
      <c r="G176" s="504"/>
      <c r="H176" s="504"/>
      <c r="I176" s="504"/>
      <c r="J176" s="504"/>
      <c r="K176" s="504"/>
      <c r="L176" s="504"/>
    </row>
    <row r="177" spans="1:12" ht="14.25">
      <c r="A177" s="504"/>
      <c r="B177" s="504"/>
      <c r="C177" s="504"/>
      <c r="D177" s="504"/>
      <c r="E177" s="504"/>
      <c r="F177" s="504"/>
      <c r="G177" s="504"/>
      <c r="H177" s="504"/>
      <c r="I177" s="504"/>
      <c r="J177" s="504"/>
      <c r="K177" s="504"/>
      <c r="L177" s="504"/>
    </row>
    <row r="178" spans="1:12" ht="14.25">
      <c r="A178" s="504"/>
      <c r="B178" s="504"/>
      <c r="C178" s="504"/>
      <c r="D178" s="504"/>
      <c r="E178" s="504"/>
      <c r="F178" s="504"/>
      <c r="G178" s="504"/>
      <c r="H178" s="504"/>
      <c r="I178" s="504"/>
      <c r="J178" s="504"/>
      <c r="K178" s="504"/>
      <c r="L178" s="504"/>
    </row>
    <row r="179" spans="1:12" ht="14.25">
      <c r="A179" s="504"/>
      <c r="B179" s="504"/>
      <c r="C179" s="504"/>
      <c r="D179" s="504"/>
      <c r="E179" s="504"/>
      <c r="F179" s="504"/>
      <c r="G179" s="504"/>
      <c r="H179" s="504"/>
      <c r="I179" s="504"/>
      <c r="J179" s="504"/>
      <c r="K179" s="504"/>
      <c r="L179" s="504"/>
    </row>
    <row r="180" spans="1:12" ht="14.25">
      <c r="A180" s="504"/>
      <c r="B180" s="504"/>
      <c r="C180" s="504"/>
      <c r="D180" s="504"/>
      <c r="E180" s="504"/>
      <c r="F180" s="504"/>
      <c r="G180" s="504"/>
      <c r="H180" s="504"/>
      <c r="I180" s="504"/>
      <c r="J180" s="504"/>
      <c r="K180" s="504"/>
      <c r="L180" s="504"/>
    </row>
    <row r="181" spans="1:12" ht="14.25">
      <c r="A181" s="504"/>
      <c r="B181" s="504"/>
      <c r="C181" s="504"/>
      <c r="D181" s="504"/>
      <c r="E181" s="504"/>
      <c r="F181" s="504"/>
      <c r="G181" s="504"/>
      <c r="H181" s="504"/>
      <c r="I181" s="504"/>
      <c r="J181" s="504"/>
      <c r="K181" s="504"/>
      <c r="L181" s="504"/>
    </row>
    <row r="182" spans="1:12" ht="14.25">
      <c r="A182" s="504"/>
      <c r="B182" s="504"/>
      <c r="C182" s="504"/>
      <c r="D182" s="504"/>
      <c r="E182" s="504"/>
      <c r="F182" s="504"/>
      <c r="G182" s="504"/>
      <c r="H182" s="504"/>
      <c r="I182" s="504"/>
      <c r="J182" s="504"/>
      <c r="K182" s="504"/>
      <c r="L182" s="504"/>
    </row>
    <row r="183" spans="1:12" ht="14.25">
      <c r="A183" s="504"/>
      <c r="B183" s="504"/>
      <c r="C183" s="504"/>
      <c r="D183" s="504"/>
      <c r="E183" s="504"/>
      <c r="F183" s="504"/>
      <c r="G183" s="504"/>
      <c r="H183" s="504"/>
      <c r="I183" s="504"/>
      <c r="J183" s="504"/>
      <c r="K183" s="504"/>
      <c r="L183" s="504"/>
    </row>
    <row r="184" spans="1:12" ht="14.25">
      <c r="A184" s="504"/>
      <c r="B184" s="504"/>
      <c r="C184" s="504"/>
      <c r="D184" s="504"/>
      <c r="E184" s="504"/>
      <c r="F184" s="504"/>
      <c r="G184" s="504"/>
      <c r="H184" s="504"/>
      <c r="I184" s="504"/>
      <c r="J184" s="504"/>
      <c r="K184" s="504"/>
      <c r="L184" s="504"/>
    </row>
    <row r="185" spans="1:12" ht="14.25">
      <c r="A185" s="504"/>
      <c r="B185" s="504"/>
      <c r="C185" s="504"/>
      <c r="D185" s="504"/>
      <c r="E185" s="504"/>
      <c r="F185" s="504"/>
      <c r="G185" s="504"/>
      <c r="H185" s="504"/>
      <c r="I185" s="504"/>
      <c r="J185" s="504"/>
      <c r="K185" s="504"/>
      <c r="L185" s="504"/>
    </row>
    <row r="186" spans="1:12" ht="14.25">
      <c r="A186" s="504"/>
      <c r="B186" s="504"/>
      <c r="C186" s="504"/>
      <c r="D186" s="504"/>
      <c r="E186" s="504"/>
      <c r="F186" s="504"/>
      <c r="G186" s="504"/>
      <c r="H186" s="504"/>
      <c r="I186" s="504"/>
      <c r="J186" s="504"/>
      <c r="K186" s="504"/>
      <c r="L186" s="504"/>
    </row>
    <row r="187" spans="1:12" ht="14.25">
      <c r="A187" s="504"/>
      <c r="B187" s="504"/>
      <c r="C187" s="504"/>
      <c r="D187" s="504"/>
      <c r="E187" s="504"/>
      <c r="F187" s="504"/>
      <c r="G187" s="504"/>
      <c r="H187" s="504"/>
      <c r="I187" s="504"/>
      <c r="J187" s="504"/>
      <c r="K187" s="504"/>
      <c r="L187" s="504"/>
    </row>
    <row r="188" spans="1:12" ht="14.25">
      <c r="A188" s="504"/>
      <c r="B188" s="504"/>
      <c r="C188" s="504"/>
      <c r="D188" s="504"/>
      <c r="E188" s="504"/>
      <c r="F188" s="504"/>
      <c r="G188" s="504"/>
      <c r="H188" s="504"/>
      <c r="I188" s="504"/>
      <c r="J188" s="504"/>
      <c r="K188" s="504"/>
      <c r="L188" s="504"/>
    </row>
    <row r="189" spans="1:12" ht="14.25">
      <c r="A189" s="504"/>
      <c r="B189" s="504"/>
      <c r="C189" s="504"/>
      <c r="D189" s="504"/>
      <c r="E189" s="504"/>
      <c r="F189" s="504"/>
      <c r="G189" s="504"/>
      <c r="H189" s="504"/>
      <c r="I189" s="504"/>
      <c r="J189" s="504"/>
      <c r="K189" s="504"/>
      <c r="L189" s="504"/>
    </row>
    <row r="190" spans="1:12" ht="14.25">
      <c r="A190" s="504"/>
      <c r="B190" s="504"/>
      <c r="C190" s="504"/>
      <c r="D190" s="504"/>
      <c r="E190" s="504"/>
      <c r="F190" s="504"/>
      <c r="G190" s="504"/>
      <c r="H190" s="504"/>
      <c r="I190" s="504"/>
      <c r="J190" s="504"/>
      <c r="K190" s="504"/>
      <c r="L190" s="504"/>
    </row>
    <row r="191" spans="1:12" ht="14.25">
      <c r="A191" s="504"/>
      <c r="B191" s="504"/>
      <c r="C191" s="504"/>
      <c r="D191" s="504"/>
      <c r="E191" s="504"/>
      <c r="F191" s="504"/>
      <c r="G191" s="504"/>
      <c r="H191" s="504"/>
      <c r="I191" s="504"/>
      <c r="J191" s="504"/>
      <c r="K191" s="504"/>
      <c r="L191" s="504"/>
    </row>
    <row r="192" spans="1:12" ht="14.25">
      <c r="A192" s="504"/>
      <c r="B192" s="504"/>
      <c r="C192" s="504"/>
      <c r="D192" s="504"/>
      <c r="E192" s="504"/>
      <c r="F192" s="504"/>
      <c r="G192" s="504"/>
      <c r="H192" s="504"/>
      <c r="I192" s="504"/>
      <c r="J192" s="504"/>
      <c r="K192" s="504"/>
      <c r="L192" s="504"/>
    </row>
    <row r="193" spans="1:12" ht="14.25">
      <c r="A193" s="504"/>
      <c r="B193" s="504"/>
      <c r="C193" s="504"/>
      <c r="D193" s="504"/>
      <c r="E193" s="504"/>
      <c r="F193" s="504"/>
      <c r="G193" s="504"/>
      <c r="H193" s="504"/>
      <c r="I193" s="504"/>
      <c r="J193" s="504"/>
      <c r="K193" s="504"/>
      <c r="L193" s="504"/>
    </row>
    <row r="194" spans="1:12" ht="14.25">
      <c r="A194" s="504"/>
      <c r="B194" s="504"/>
      <c r="C194" s="504"/>
      <c r="D194" s="504"/>
      <c r="E194" s="504"/>
      <c r="F194" s="504"/>
      <c r="G194" s="504"/>
      <c r="H194" s="504"/>
      <c r="I194" s="504"/>
      <c r="J194" s="504"/>
      <c r="K194" s="504"/>
      <c r="L194" s="504"/>
    </row>
    <row r="195" spans="1:12" ht="14.25">
      <c r="A195" s="504"/>
      <c r="B195" s="504"/>
      <c r="C195" s="504"/>
      <c r="D195" s="504"/>
      <c r="E195" s="504"/>
      <c r="F195" s="504"/>
      <c r="G195" s="504"/>
      <c r="H195" s="504"/>
      <c r="I195" s="504"/>
      <c r="J195" s="504"/>
      <c r="K195" s="504"/>
      <c r="L195" s="504"/>
    </row>
    <row r="196" spans="1:12" ht="14.25">
      <c r="A196" s="504"/>
      <c r="B196" s="504"/>
      <c r="C196" s="504"/>
      <c r="D196" s="504"/>
      <c r="E196" s="504"/>
      <c r="F196" s="504"/>
      <c r="G196" s="504"/>
      <c r="H196" s="504"/>
      <c r="I196" s="504"/>
      <c r="J196" s="504"/>
      <c r="K196" s="504"/>
      <c r="L196" s="504"/>
    </row>
    <row r="197" spans="1:12" ht="14.25">
      <c r="A197" s="504"/>
      <c r="B197" s="504"/>
      <c r="C197" s="504"/>
      <c r="D197" s="504"/>
      <c r="E197" s="504"/>
      <c r="F197" s="504"/>
      <c r="G197" s="504"/>
      <c r="H197" s="504"/>
      <c r="I197" s="504"/>
      <c r="J197" s="504"/>
      <c r="K197" s="504"/>
      <c r="L197" s="504"/>
    </row>
    <row r="198" spans="1:12" ht="14.25">
      <c r="A198" s="504"/>
      <c r="B198" s="504"/>
      <c r="C198" s="504"/>
      <c r="D198" s="504"/>
      <c r="E198" s="504"/>
      <c r="F198" s="504"/>
      <c r="G198" s="504"/>
      <c r="H198" s="504"/>
      <c r="I198" s="504"/>
      <c r="J198" s="504"/>
      <c r="K198" s="504"/>
      <c r="L198" s="504"/>
    </row>
    <row r="199" spans="1:12" ht="14.25">
      <c r="A199" s="504"/>
      <c r="B199" s="504"/>
      <c r="C199" s="504"/>
      <c r="D199" s="504"/>
      <c r="E199" s="504"/>
      <c r="F199" s="504"/>
      <c r="G199" s="504"/>
      <c r="H199" s="504"/>
      <c r="I199" s="504"/>
      <c r="J199" s="504"/>
      <c r="K199" s="504"/>
      <c r="L199" s="504"/>
    </row>
    <row r="200" spans="1:12" ht="14.25">
      <c r="A200" s="504"/>
      <c r="B200" s="504"/>
      <c r="C200" s="504"/>
      <c r="D200" s="504"/>
      <c r="E200" s="504"/>
      <c r="F200" s="504"/>
      <c r="G200" s="504"/>
      <c r="H200" s="504"/>
      <c r="I200" s="504"/>
      <c r="J200" s="504"/>
      <c r="K200" s="504"/>
      <c r="L200" s="504"/>
    </row>
    <row r="201" spans="1:12" ht="14.25">
      <c r="A201" s="504"/>
      <c r="B201" s="504"/>
      <c r="C201" s="504"/>
      <c r="D201" s="504"/>
      <c r="E201" s="504"/>
      <c r="F201" s="504"/>
      <c r="G201" s="504"/>
      <c r="H201" s="504"/>
      <c r="I201" s="504"/>
      <c r="J201" s="504"/>
      <c r="K201" s="504"/>
      <c r="L201" s="504"/>
    </row>
    <row r="202" spans="1:12" ht="14.25">
      <c r="A202" s="504"/>
      <c r="B202" s="504"/>
      <c r="C202" s="504"/>
      <c r="D202" s="504"/>
      <c r="E202" s="504"/>
      <c r="F202" s="504"/>
      <c r="G202" s="504"/>
      <c r="H202" s="504"/>
      <c r="I202" s="504"/>
      <c r="J202" s="504"/>
      <c r="K202" s="504"/>
      <c r="L202" s="504"/>
    </row>
    <row r="203" spans="1:12" ht="14.25">
      <c r="A203" s="504"/>
      <c r="B203" s="504"/>
      <c r="C203" s="504"/>
      <c r="D203" s="504"/>
      <c r="E203" s="504"/>
      <c r="F203" s="504"/>
      <c r="G203" s="504"/>
      <c r="H203" s="504"/>
      <c r="I203" s="504"/>
      <c r="J203" s="504"/>
      <c r="K203" s="504"/>
      <c r="L203" s="504"/>
    </row>
    <row r="204" spans="1:12" ht="14.25">
      <c r="A204" s="504"/>
      <c r="B204" s="504"/>
      <c r="C204" s="504"/>
      <c r="D204" s="504"/>
      <c r="E204" s="504"/>
      <c r="F204" s="504"/>
      <c r="G204" s="504"/>
      <c r="H204" s="504"/>
      <c r="I204" s="504"/>
      <c r="J204" s="504"/>
      <c r="K204" s="504"/>
      <c r="L204" s="504"/>
    </row>
    <row r="205" spans="1:12" ht="14.25">
      <c r="A205" s="504"/>
      <c r="B205" s="504"/>
      <c r="C205" s="504"/>
      <c r="D205" s="504"/>
      <c r="E205" s="504"/>
      <c r="F205" s="504"/>
      <c r="G205" s="504"/>
      <c r="H205" s="504"/>
      <c r="I205" s="504"/>
      <c r="J205" s="504"/>
      <c r="K205" s="504"/>
      <c r="L205" s="504"/>
    </row>
    <row r="206" spans="1:12" ht="14.25">
      <c r="A206" s="504"/>
      <c r="B206" s="504"/>
      <c r="C206" s="504"/>
      <c r="D206" s="504"/>
      <c r="E206" s="504"/>
      <c r="F206" s="504"/>
      <c r="G206" s="504"/>
      <c r="H206" s="504"/>
      <c r="I206" s="504"/>
      <c r="J206" s="504"/>
      <c r="K206" s="504"/>
      <c r="L206" s="504"/>
    </row>
    <row r="207" spans="1:12" ht="14.25">
      <c r="A207" s="504"/>
      <c r="B207" s="504"/>
      <c r="C207" s="504"/>
      <c r="D207" s="504"/>
      <c r="E207" s="504"/>
      <c r="F207" s="504"/>
      <c r="G207" s="504"/>
      <c r="H207" s="504"/>
      <c r="I207" s="504"/>
      <c r="J207" s="504"/>
      <c r="K207" s="504"/>
      <c r="L207" s="504"/>
    </row>
    <row r="208" spans="1:12" ht="14.25">
      <c r="A208" s="504"/>
      <c r="B208" s="504"/>
      <c r="C208" s="504"/>
      <c r="D208" s="504"/>
      <c r="E208" s="504"/>
      <c r="F208" s="504"/>
      <c r="G208" s="504"/>
      <c r="H208" s="504"/>
      <c r="I208" s="504"/>
      <c r="J208" s="504"/>
      <c r="K208" s="504"/>
      <c r="L208" s="504"/>
    </row>
    <row r="209" spans="1:12" ht="14.25">
      <c r="A209" s="504"/>
      <c r="B209" s="504"/>
      <c r="C209" s="504"/>
      <c r="D209" s="504"/>
      <c r="E209" s="504"/>
      <c r="F209" s="504"/>
      <c r="G209" s="504"/>
      <c r="H209" s="504"/>
      <c r="I209" s="504"/>
      <c r="J209" s="504"/>
      <c r="K209" s="504"/>
      <c r="L209" s="504"/>
    </row>
    <row r="210" spans="1:12" ht="14.25">
      <c r="A210" s="504"/>
      <c r="B210" s="504"/>
      <c r="C210" s="504"/>
      <c r="D210" s="504"/>
      <c r="E210" s="504"/>
      <c r="F210" s="504"/>
      <c r="G210" s="504"/>
      <c r="H210" s="504"/>
      <c r="I210" s="504"/>
      <c r="J210" s="504"/>
      <c r="K210" s="504"/>
      <c r="L210" s="504"/>
    </row>
    <row r="211" spans="1:12" ht="14.25">
      <c r="A211" s="504"/>
      <c r="B211" s="504"/>
      <c r="C211" s="504"/>
      <c r="D211" s="504"/>
      <c r="E211" s="504"/>
      <c r="F211" s="504"/>
      <c r="G211" s="504"/>
      <c r="H211" s="504"/>
      <c r="I211" s="504"/>
      <c r="J211" s="504"/>
      <c r="K211" s="504"/>
      <c r="L211" s="504"/>
    </row>
    <row r="212" spans="1:12" ht="14.25">
      <c r="A212" s="504"/>
      <c r="B212" s="504"/>
      <c r="C212" s="504"/>
      <c r="D212" s="504"/>
      <c r="E212" s="504"/>
      <c r="F212" s="504"/>
      <c r="G212" s="504"/>
      <c r="H212" s="504"/>
      <c r="I212" s="504"/>
      <c r="J212" s="504"/>
      <c r="K212" s="504"/>
      <c r="L212" s="504"/>
    </row>
    <row r="213" spans="1:12" ht="14.25">
      <c r="A213" s="504"/>
      <c r="B213" s="504"/>
      <c r="C213" s="504"/>
      <c r="D213" s="504"/>
      <c r="E213" s="504"/>
      <c r="F213" s="504"/>
      <c r="G213" s="504"/>
      <c r="H213" s="504"/>
      <c r="I213" s="504"/>
      <c r="J213" s="504"/>
      <c r="K213" s="504"/>
      <c r="L213" s="504"/>
    </row>
    <row r="214" spans="1:12" ht="14.25">
      <c r="A214" s="504"/>
      <c r="B214" s="504"/>
      <c r="C214" s="504"/>
      <c r="D214" s="504"/>
      <c r="E214" s="504"/>
      <c r="F214" s="504"/>
      <c r="G214" s="504"/>
      <c r="H214" s="504"/>
      <c r="I214" s="504"/>
      <c r="J214" s="504"/>
      <c r="K214" s="504"/>
      <c r="L214" s="504"/>
    </row>
    <row r="215" spans="1:12" ht="14.25">
      <c r="A215" s="504"/>
      <c r="B215" s="504"/>
      <c r="C215" s="504"/>
      <c r="D215" s="504"/>
      <c r="E215" s="504"/>
      <c r="F215" s="504"/>
      <c r="G215" s="504"/>
      <c r="H215" s="504"/>
      <c r="I215" s="504"/>
      <c r="J215" s="504"/>
      <c r="K215" s="504"/>
      <c r="L215" s="504"/>
    </row>
    <row r="216" spans="1:12" ht="14.25">
      <c r="A216" s="504"/>
      <c r="B216" s="504"/>
      <c r="C216" s="504"/>
      <c r="D216" s="504"/>
      <c r="E216" s="504"/>
      <c r="F216" s="504"/>
      <c r="G216" s="504"/>
      <c r="H216" s="504"/>
      <c r="I216" s="504"/>
      <c r="J216" s="504"/>
      <c r="K216" s="504"/>
      <c r="L216" s="504"/>
    </row>
    <row r="217" spans="1:12" ht="14.25">
      <c r="A217" s="504"/>
      <c r="B217" s="504"/>
      <c r="C217" s="504"/>
      <c r="D217" s="504"/>
      <c r="E217" s="504"/>
      <c r="F217" s="504"/>
      <c r="G217" s="504"/>
      <c r="H217" s="504"/>
      <c r="I217" s="504"/>
      <c r="J217" s="504"/>
      <c r="K217" s="504"/>
      <c r="L217" s="504"/>
    </row>
    <row r="218" spans="1:12" ht="14.25">
      <c r="A218" s="504"/>
      <c r="B218" s="504"/>
      <c r="C218" s="504"/>
      <c r="D218" s="504"/>
      <c r="E218" s="504"/>
      <c r="F218" s="504"/>
      <c r="G218" s="504"/>
      <c r="H218" s="504"/>
      <c r="I218" s="504"/>
      <c r="J218" s="504"/>
      <c r="K218" s="504"/>
      <c r="L218" s="504"/>
    </row>
    <row r="219" spans="1:12" ht="14.25">
      <c r="A219" s="504"/>
      <c r="B219" s="504"/>
      <c r="C219" s="504"/>
      <c r="D219" s="504"/>
      <c r="E219" s="504"/>
      <c r="F219" s="504"/>
      <c r="G219" s="504"/>
      <c r="H219" s="504"/>
      <c r="I219" s="504"/>
      <c r="J219" s="504"/>
      <c r="K219" s="504"/>
      <c r="L219" s="504"/>
    </row>
    <row r="220" spans="1:12" ht="14.25">
      <c r="A220" s="504"/>
      <c r="B220" s="504"/>
      <c r="C220" s="504"/>
      <c r="D220" s="504"/>
      <c r="E220" s="504"/>
      <c r="F220" s="504"/>
      <c r="G220" s="504"/>
      <c r="H220" s="504"/>
      <c r="I220" s="504"/>
      <c r="J220" s="504"/>
      <c r="K220" s="504"/>
      <c r="L220" s="504"/>
    </row>
    <row r="221" spans="1:12" ht="14.25">
      <c r="A221" s="504"/>
      <c r="B221" s="504"/>
      <c r="C221" s="504"/>
      <c r="D221" s="504"/>
      <c r="E221" s="504"/>
      <c r="F221" s="504"/>
      <c r="G221" s="504"/>
      <c r="H221" s="504"/>
      <c r="I221" s="504"/>
      <c r="J221" s="504"/>
      <c r="K221" s="504"/>
      <c r="L221" s="504"/>
    </row>
    <row r="222" spans="1:12" ht="14.25">
      <c r="A222" s="504"/>
      <c r="B222" s="504"/>
      <c r="C222" s="504"/>
      <c r="D222" s="504"/>
      <c r="E222" s="504"/>
      <c r="F222" s="504"/>
      <c r="G222" s="504"/>
      <c r="H222" s="504"/>
      <c r="I222" s="504"/>
      <c r="J222" s="504"/>
      <c r="K222" s="504"/>
      <c r="L222" s="504"/>
    </row>
    <row r="223" spans="1:12" ht="14.25">
      <c r="A223" s="504"/>
      <c r="B223" s="504"/>
      <c r="C223" s="504"/>
      <c r="D223" s="504"/>
      <c r="E223" s="504"/>
      <c r="F223" s="504"/>
      <c r="G223" s="504"/>
      <c r="H223" s="504"/>
      <c r="I223" s="504"/>
      <c r="J223" s="504"/>
      <c r="K223" s="504"/>
      <c r="L223" s="504"/>
    </row>
    <row r="224" spans="1:12" ht="14.25">
      <c r="A224" s="504"/>
      <c r="B224" s="504"/>
      <c r="C224" s="504"/>
      <c r="D224" s="504"/>
      <c r="E224" s="504"/>
      <c r="F224" s="504"/>
      <c r="G224" s="504"/>
      <c r="H224" s="504"/>
      <c r="I224" s="504"/>
      <c r="J224" s="504"/>
      <c r="K224" s="504"/>
      <c r="L224" s="504"/>
    </row>
    <row r="225" spans="1:12" ht="14.25">
      <c r="A225" s="504"/>
      <c r="B225" s="504"/>
      <c r="C225" s="504"/>
      <c r="D225" s="504"/>
      <c r="E225" s="504"/>
      <c r="F225" s="504"/>
      <c r="G225" s="504"/>
      <c r="H225" s="504"/>
      <c r="I225" s="504"/>
      <c r="J225" s="504"/>
      <c r="K225" s="504"/>
      <c r="L225" s="504"/>
    </row>
    <row r="226" spans="1:12" ht="14.25">
      <c r="A226" s="504"/>
      <c r="B226" s="504"/>
      <c r="C226" s="504"/>
      <c r="D226" s="504"/>
      <c r="E226" s="504"/>
      <c r="F226" s="504"/>
      <c r="G226" s="504"/>
      <c r="H226" s="504"/>
      <c r="I226" s="504"/>
      <c r="J226" s="504"/>
      <c r="K226" s="504"/>
      <c r="L226" s="504"/>
    </row>
    <row r="227" spans="1:12" ht="14.25">
      <c r="A227" s="504"/>
      <c r="B227" s="504"/>
      <c r="C227" s="504"/>
      <c r="D227" s="504"/>
      <c r="E227" s="504"/>
      <c r="F227" s="504"/>
      <c r="G227" s="504"/>
      <c r="H227" s="504"/>
      <c r="I227" s="504"/>
      <c r="J227" s="504"/>
      <c r="K227" s="504"/>
      <c r="L227" s="504"/>
    </row>
    <row r="228" spans="1:12" ht="14.25">
      <c r="A228" s="504"/>
      <c r="B228" s="504"/>
      <c r="C228" s="504"/>
      <c r="D228" s="504"/>
      <c r="E228" s="504"/>
      <c r="F228" s="504"/>
      <c r="G228" s="504"/>
      <c r="H228" s="504"/>
      <c r="I228" s="504"/>
      <c r="J228" s="504"/>
      <c r="K228" s="504"/>
      <c r="L228" s="504"/>
    </row>
    <row r="229" spans="1:12" ht="14.25">
      <c r="A229" s="504"/>
      <c r="B229" s="504"/>
      <c r="C229" s="504"/>
      <c r="D229" s="504"/>
      <c r="E229" s="504"/>
      <c r="F229" s="504"/>
      <c r="G229" s="504"/>
      <c r="H229" s="504"/>
      <c r="I229" s="504"/>
      <c r="J229" s="504"/>
      <c r="K229" s="504"/>
      <c r="L229" s="504"/>
    </row>
    <row r="230" spans="1:12" ht="14.25">
      <c r="A230" s="504"/>
      <c r="B230" s="504"/>
      <c r="C230" s="504"/>
      <c r="D230" s="504"/>
      <c r="E230" s="504"/>
      <c r="F230" s="504"/>
      <c r="G230" s="504"/>
      <c r="H230" s="504"/>
      <c r="I230" s="504"/>
      <c r="J230" s="504"/>
      <c r="K230" s="504"/>
      <c r="L230" s="504"/>
    </row>
    <row r="231" spans="1:12" ht="14.25">
      <c r="A231" s="504"/>
      <c r="B231" s="504"/>
      <c r="C231" s="504"/>
      <c r="D231" s="504"/>
      <c r="E231" s="504"/>
      <c r="F231" s="504"/>
      <c r="G231" s="504"/>
      <c r="H231" s="504"/>
      <c r="I231" s="504"/>
      <c r="J231" s="504"/>
      <c r="K231" s="504"/>
      <c r="L231" s="504"/>
    </row>
    <row r="232" spans="1:12" ht="14.25">
      <c r="A232" s="504"/>
      <c r="B232" s="504"/>
      <c r="C232" s="504"/>
      <c r="D232" s="504"/>
      <c r="E232" s="504"/>
      <c r="F232" s="504"/>
      <c r="G232" s="504"/>
      <c r="H232" s="504"/>
      <c r="I232" s="504"/>
      <c r="J232" s="504"/>
      <c r="K232" s="504"/>
      <c r="L232" s="504"/>
    </row>
    <row r="233" spans="1:12" ht="14.25">
      <c r="A233" s="504"/>
      <c r="B233" s="504"/>
      <c r="C233" s="504"/>
      <c r="D233" s="504"/>
      <c r="E233" s="504"/>
      <c r="F233" s="504"/>
      <c r="G233" s="504"/>
      <c r="H233" s="504"/>
      <c r="I233" s="504"/>
      <c r="J233" s="504"/>
      <c r="K233" s="504"/>
      <c r="L233" s="504"/>
    </row>
    <row r="234" spans="1:12" ht="14.25">
      <c r="A234" s="504"/>
      <c r="B234" s="504"/>
      <c r="C234" s="504"/>
      <c r="D234" s="504"/>
      <c r="E234" s="504"/>
      <c r="F234" s="504"/>
      <c r="G234" s="504"/>
      <c r="H234" s="504"/>
      <c r="I234" s="504"/>
      <c r="J234" s="504"/>
      <c r="K234" s="504"/>
      <c r="L234" s="504"/>
    </row>
    <row r="235" spans="1:12" ht="14.25">
      <c r="A235" s="504"/>
      <c r="B235" s="504"/>
      <c r="C235" s="504"/>
      <c r="D235" s="504"/>
      <c r="E235" s="504"/>
      <c r="F235" s="504"/>
      <c r="G235" s="504"/>
      <c r="H235" s="504"/>
      <c r="I235" s="504"/>
      <c r="J235" s="504"/>
      <c r="K235" s="504"/>
      <c r="L235" s="504"/>
    </row>
    <row r="236" spans="1:12" ht="14.25">
      <c r="A236" s="504"/>
      <c r="B236" s="504"/>
      <c r="C236" s="504"/>
      <c r="D236" s="504"/>
      <c r="E236" s="504"/>
      <c r="F236" s="504"/>
      <c r="G236" s="504"/>
      <c r="H236" s="504"/>
      <c r="I236" s="504"/>
      <c r="J236" s="504"/>
      <c r="K236" s="504"/>
      <c r="L236" s="504"/>
    </row>
    <row r="237" spans="1:12" ht="14.25">
      <c r="A237" s="504"/>
      <c r="B237" s="504"/>
      <c r="C237" s="504"/>
      <c r="D237" s="504"/>
      <c r="E237" s="504"/>
      <c r="F237" s="504"/>
      <c r="G237" s="504"/>
      <c r="H237" s="504"/>
      <c r="I237" s="504"/>
      <c r="J237" s="504"/>
      <c r="K237" s="504"/>
      <c r="L237" s="504"/>
    </row>
    <row r="238" spans="1:12" ht="14.25">
      <c r="A238" s="504"/>
      <c r="B238" s="504"/>
      <c r="C238" s="504"/>
      <c r="D238" s="504"/>
      <c r="E238" s="504"/>
      <c r="F238" s="504"/>
      <c r="G238" s="504"/>
      <c r="H238" s="504"/>
      <c r="I238" s="504"/>
      <c r="J238" s="504"/>
      <c r="K238" s="504"/>
      <c r="L238" s="504"/>
    </row>
    <row r="239" spans="1:12" ht="14.25">
      <c r="A239" s="504"/>
      <c r="B239" s="504"/>
      <c r="C239" s="504"/>
      <c r="D239" s="504"/>
      <c r="E239" s="504"/>
      <c r="F239" s="504"/>
      <c r="G239" s="504"/>
      <c r="H239" s="504"/>
      <c r="I239" s="504"/>
      <c r="J239" s="504"/>
      <c r="K239" s="504"/>
      <c r="L239" s="504"/>
    </row>
    <row r="240" spans="1:12" ht="14.25">
      <c r="A240" s="504"/>
      <c r="B240" s="504"/>
      <c r="C240" s="504"/>
      <c r="D240" s="504"/>
      <c r="E240" s="504"/>
      <c r="F240" s="504"/>
      <c r="G240" s="504"/>
      <c r="H240" s="504"/>
      <c r="I240" s="504"/>
      <c r="J240" s="504"/>
      <c r="K240" s="504"/>
      <c r="L240" s="504"/>
    </row>
    <row r="241" spans="1:12" ht="14.25">
      <c r="A241" s="504"/>
      <c r="B241" s="504"/>
      <c r="C241" s="504"/>
      <c r="D241" s="504"/>
      <c r="E241" s="504"/>
      <c r="F241" s="504"/>
      <c r="G241" s="504"/>
      <c r="H241" s="504"/>
      <c r="I241" s="504"/>
      <c r="J241" s="504"/>
      <c r="K241" s="504"/>
      <c r="L241" s="504"/>
    </row>
    <row r="242" spans="1:12" ht="14.25">
      <c r="A242" s="504"/>
      <c r="B242" s="504"/>
      <c r="C242" s="504"/>
      <c r="D242" s="504"/>
      <c r="E242" s="504"/>
      <c r="F242" s="504"/>
      <c r="G242" s="504"/>
      <c r="H242" s="504"/>
      <c r="I242" s="504"/>
      <c r="J242" s="504"/>
      <c r="K242" s="504"/>
      <c r="L242" s="504"/>
    </row>
    <row r="243" spans="1:12" ht="14.25">
      <c r="A243" s="504"/>
      <c r="B243" s="504"/>
      <c r="C243" s="504"/>
      <c r="D243" s="504"/>
      <c r="E243" s="504"/>
      <c r="F243" s="504"/>
      <c r="G243" s="504"/>
      <c r="H243" s="504"/>
      <c r="I243" s="504"/>
      <c r="J243" s="504"/>
      <c r="K243" s="504"/>
      <c r="L243" s="504"/>
    </row>
    <row r="244" spans="1:12" ht="14.25">
      <c r="A244" s="504"/>
      <c r="B244" s="504"/>
      <c r="C244" s="504"/>
      <c r="D244" s="504"/>
      <c r="E244" s="504"/>
      <c r="F244" s="504"/>
      <c r="G244" s="504"/>
      <c r="H244" s="504"/>
      <c r="I244" s="504"/>
      <c r="J244" s="504"/>
      <c r="K244" s="504"/>
      <c r="L244" s="504"/>
    </row>
    <row r="245" spans="1:12" ht="14.25">
      <c r="A245" s="504"/>
      <c r="B245" s="504"/>
      <c r="C245" s="504"/>
      <c r="D245" s="504"/>
      <c r="E245" s="504"/>
      <c r="F245" s="504"/>
      <c r="G245" s="504"/>
      <c r="H245" s="504"/>
      <c r="I245" s="504"/>
      <c r="J245" s="504"/>
      <c r="K245" s="504"/>
      <c r="L245" s="504"/>
    </row>
    <row r="246" spans="1:12" ht="14.25">
      <c r="A246" s="504"/>
      <c r="B246" s="504"/>
      <c r="C246" s="504"/>
      <c r="D246" s="504"/>
      <c r="E246" s="504"/>
      <c r="F246" s="504"/>
      <c r="G246" s="504"/>
      <c r="H246" s="504"/>
      <c r="I246" s="504"/>
      <c r="J246" s="504"/>
      <c r="K246" s="504"/>
      <c r="L246" s="504"/>
    </row>
    <row r="247" spans="1:12" ht="14.25">
      <c r="A247" s="504"/>
      <c r="B247" s="504"/>
      <c r="C247" s="504"/>
      <c r="D247" s="504"/>
      <c r="E247" s="504"/>
      <c r="F247" s="504"/>
      <c r="G247" s="504"/>
      <c r="H247" s="504"/>
      <c r="I247" s="504"/>
      <c r="J247" s="504"/>
      <c r="K247" s="504"/>
      <c r="L247" s="504"/>
    </row>
    <row r="248" spans="1:12" ht="14.25">
      <c r="A248" s="504"/>
      <c r="B248" s="504"/>
      <c r="C248" s="504"/>
      <c r="D248" s="504"/>
      <c r="E248" s="504"/>
      <c r="F248" s="504"/>
      <c r="G248" s="504"/>
      <c r="H248" s="504"/>
      <c r="I248" s="504"/>
      <c r="J248" s="504"/>
      <c r="K248" s="504"/>
      <c r="L248" s="504"/>
    </row>
    <row r="249" spans="1:12" ht="14.25">
      <c r="A249" s="504"/>
      <c r="B249" s="504"/>
      <c r="C249" s="504"/>
      <c r="D249" s="504"/>
      <c r="E249" s="504"/>
      <c r="F249" s="504"/>
      <c r="G249" s="504"/>
      <c r="H249" s="504"/>
      <c r="I249" s="504"/>
      <c r="J249" s="504"/>
      <c r="K249" s="504"/>
      <c r="L249" s="504"/>
    </row>
    <row r="250" spans="1:12" ht="14.25">
      <c r="A250" s="504"/>
      <c r="B250" s="504"/>
      <c r="C250" s="504"/>
      <c r="D250" s="504"/>
      <c r="E250" s="504"/>
      <c r="F250" s="504"/>
      <c r="G250" s="504"/>
      <c r="H250" s="504"/>
      <c r="I250" s="504"/>
      <c r="J250" s="504"/>
      <c r="K250" s="504"/>
      <c r="L250" s="504"/>
    </row>
    <row r="251" spans="1:12" ht="14.25">
      <c r="A251" s="504"/>
      <c r="B251" s="504"/>
      <c r="C251" s="504"/>
      <c r="D251" s="504"/>
      <c r="E251" s="504"/>
      <c r="F251" s="504"/>
      <c r="G251" s="504"/>
      <c r="H251" s="504"/>
      <c r="I251" s="504"/>
      <c r="J251" s="504"/>
      <c r="K251" s="504"/>
      <c r="L251" s="504"/>
    </row>
    <row r="252" spans="1:12" ht="14.25">
      <c r="A252" s="504"/>
      <c r="B252" s="504"/>
      <c r="C252" s="504"/>
      <c r="D252" s="504"/>
      <c r="E252" s="504"/>
      <c r="F252" s="504"/>
      <c r="G252" s="504"/>
      <c r="H252" s="504"/>
      <c r="I252" s="504"/>
      <c r="J252" s="504"/>
      <c r="K252" s="504"/>
      <c r="L252" s="504"/>
    </row>
    <row r="253" spans="1:12" ht="14.25">
      <c r="A253" s="504"/>
      <c r="B253" s="504"/>
      <c r="C253" s="504"/>
      <c r="D253" s="504"/>
      <c r="E253" s="504"/>
      <c r="F253" s="504"/>
      <c r="G253" s="504"/>
      <c r="H253" s="504"/>
      <c r="I253" s="504"/>
      <c r="J253" s="504"/>
      <c r="K253" s="504"/>
      <c r="L253" s="504"/>
    </row>
    <row r="254" spans="1:12" ht="14.25">
      <c r="A254" s="504"/>
      <c r="B254" s="504"/>
      <c r="C254" s="504"/>
      <c r="D254" s="504"/>
      <c r="E254" s="504"/>
      <c r="F254" s="504"/>
      <c r="G254" s="504"/>
      <c r="H254" s="504"/>
      <c r="I254" s="504"/>
      <c r="J254" s="504"/>
      <c r="K254" s="504"/>
      <c r="L254" s="504"/>
    </row>
    <row r="255" spans="1:12" ht="14.25">
      <c r="A255" s="504"/>
      <c r="B255" s="504"/>
      <c r="C255" s="504"/>
      <c r="D255" s="504"/>
      <c r="E255" s="504"/>
      <c r="F255" s="504"/>
      <c r="G255" s="504"/>
      <c r="H255" s="504"/>
      <c r="I255" s="504"/>
      <c r="J255" s="504"/>
      <c r="K255" s="504"/>
      <c r="L255" s="504"/>
    </row>
    <row r="256" spans="1:12" ht="14.25">
      <c r="A256" s="504"/>
      <c r="B256" s="504"/>
      <c r="C256" s="504"/>
      <c r="D256" s="504"/>
      <c r="E256" s="504"/>
      <c r="F256" s="504"/>
      <c r="G256" s="504"/>
      <c r="H256" s="504"/>
      <c r="I256" s="504"/>
      <c r="J256" s="504"/>
      <c r="K256" s="504"/>
      <c r="L256" s="504"/>
    </row>
    <row r="257" spans="1:12" ht="14.25">
      <c r="A257" s="504"/>
      <c r="B257" s="504"/>
      <c r="C257" s="504"/>
      <c r="D257" s="504"/>
      <c r="E257" s="504"/>
      <c r="F257" s="504"/>
      <c r="G257" s="504"/>
      <c r="H257" s="504"/>
      <c r="I257" s="504"/>
      <c r="J257" s="504"/>
      <c r="K257" s="504"/>
      <c r="L257" s="504"/>
    </row>
    <row r="258" spans="1:12" ht="14.25">
      <c r="A258" s="504"/>
      <c r="B258" s="504"/>
      <c r="C258" s="504"/>
      <c r="D258" s="504"/>
      <c r="E258" s="504"/>
      <c r="F258" s="504"/>
      <c r="G258" s="504"/>
      <c r="H258" s="504"/>
      <c r="I258" s="504"/>
      <c r="J258" s="504"/>
      <c r="K258" s="504"/>
      <c r="L258" s="504"/>
    </row>
    <row r="259" spans="1:12" ht="14.25">
      <c r="A259" s="504"/>
      <c r="B259" s="504"/>
      <c r="C259" s="504"/>
      <c r="D259" s="504"/>
      <c r="E259" s="504"/>
      <c r="F259" s="504"/>
      <c r="G259" s="504"/>
      <c r="H259" s="504"/>
      <c r="I259" s="504"/>
      <c r="J259" s="504"/>
      <c r="K259" s="504"/>
      <c r="L259" s="504"/>
    </row>
    <row r="260" spans="1:12" ht="14.25">
      <c r="A260" s="504"/>
      <c r="B260" s="504"/>
      <c r="C260" s="504"/>
      <c r="D260" s="504"/>
      <c r="E260" s="504"/>
      <c r="F260" s="504"/>
      <c r="G260" s="504"/>
      <c r="H260" s="504"/>
      <c r="I260" s="504"/>
      <c r="J260" s="504"/>
      <c r="K260" s="504"/>
      <c r="L260" s="504"/>
    </row>
    <row r="261" spans="1:12" ht="14.25">
      <c r="A261" s="504"/>
      <c r="B261" s="504"/>
      <c r="C261" s="504"/>
      <c r="D261" s="504"/>
      <c r="E261" s="504"/>
      <c r="F261" s="504"/>
      <c r="G261" s="504"/>
      <c r="H261" s="504"/>
      <c r="I261" s="504"/>
      <c r="J261" s="504"/>
      <c r="K261" s="504"/>
      <c r="L261" s="504"/>
    </row>
    <row r="262" spans="1:12" ht="14.25">
      <c r="A262" s="504"/>
      <c r="B262" s="504"/>
      <c r="C262" s="504"/>
      <c r="D262" s="504"/>
      <c r="E262" s="504"/>
      <c r="F262" s="504"/>
      <c r="G262" s="504"/>
      <c r="H262" s="504"/>
      <c r="I262" s="504"/>
      <c r="J262" s="504"/>
      <c r="K262" s="504"/>
      <c r="L262" s="504"/>
    </row>
    <row r="263" spans="1:12" ht="14.25">
      <c r="A263" s="504"/>
      <c r="B263" s="504"/>
      <c r="C263" s="504"/>
      <c r="D263" s="504"/>
      <c r="E263" s="504"/>
      <c r="F263" s="504"/>
      <c r="G263" s="504"/>
      <c r="H263" s="504"/>
      <c r="I263" s="504"/>
      <c r="J263" s="504"/>
      <c r="K263" s="504"/>
      <c r="L263" s="504"/>
    </row>
    <row r="264" spans="1:12" ht="14.25">
      <c r="A264" s="504"/>
      <c r="B264" s="504"/>
      <c r="C264" s="504"/>
      <c r="D264" s="504"/>
      <c r="E264" s="504"/>
      <c r="F264" s="504"/>
      <c r="G264" s="504"/>
      <c r="H264" s="504"/>
      <c r="I264" s="504"/>
      <c r="J264" s="504"/>
      <c r="K264" s="504"/>
      <c r="L264" s="504"/>
    </row>
    <row r="265" spans="1:12" ht="14.25">
      <c r="A265" s="504"/>
      <c r="B265" s="504"/>
      <c r="C265" s="504"/>
      <c r="D265" s="504"/>
      <c r="E265" s="504"/>
      <c r="F265" s="504"/>
      <c r="G265" s="504"/>
      <c r="H265" s="504"/>
      <c r="I265" s="504"/>
      <c r="J265" s="504"/>
      <c r="K265" s="504"/>
      <c r="L265" s="504"/>
    </row>
    <row r="266" spans="1:12" ht="14.25">
      <c r="A266" s="504"/>
      <c r="B266" s="504"/>
      <c r="C266" s="504"/>
      <c r="D266" s="504"/>
      <c r="E266" s="504"/>
      <c r="F266" s="504"/>
      <c r="G266" s="504"/>
      <c r="H266" s="504"/>
      <c r="I266" s="504"/>
      <c r="J266" s="504"/>
      <c r="K266" s="504"/>
      <c r="L266" s="504"/>
    </row>
    <row r="267" spans="1:12" ht="14.25">
      <c r="A267" s="504"/>
      <c r="B267" s="504"/>
      <c r="C267" s="504"/>
      <c r="D267" s="504"/>
      <c r="E267" s="504"/>
      <c r="F267" s="504"/>
      <c r="G267" s="504"/>
      <c r="H267" s="504"/>
      <c r="I267" s="504"/>
      <c r="J267" s="504"/>
      <c r="K267" s="504"/>
      <c r="L267" s="504"/>
    </row>
    <row r="268" spans="1:12" ht="14.25">
      <c r="A268" s="504"/>
      <c r="B268" s="504"/>
      <c r="C268" s="504"/>
      <c r="D268" s="504"/>
      <c r="E268" s="504"/>
      <c r="F268" s="504"/>
      <c r="G268" s="504"/>
      <c r="H268" s="504"/>
      <c r="I268" s="504"/>
      <c r="J268" s="504"/>
      <c r="K268" s="504"/>
      <c r="L268" s="504"/>
    </row>
    <row r="269" spans="1:12" ht="14.25">
      <c r="A269" s="504"/>
      <c r="B269" s="504"/>
      <c r="C269" s="504"/>
      <c r="D269" s="504"/>
      <c r="E269" s="504"/>
      <c r="F269" s="504"/>
      <c r="G269" s="504"/>
      <c r="H269" s="504"/>
      <c r="I269" s="504"/>
      <c r="J269" s="504"/>
      <c r="K269" s="504"/>
      <c r="L269" s="504"/>
    </row>
    <row r="270" spans="1:12" ht="14.25">
      <c r="A270" s="504"/>
      <c r="B270" s="504"/>
      <c r="C270" s="504"/>
      <c r="D270" s="504"/>
      <c r="E270" s="504"/>
      <c r="F270" s="504"/>
      <c r="G270" s="504"/>
      <c r="H270" s="504"/>
      <c r="I270" s="504"/>
      <c r="J270" s="504"/>
      <c r="K270" s="504"/>
      <c r="L270" s="504"/>
    </row>
    <row r="271" spans="1:12" ht="14.25">
      <c r="A271" s="504"/>
      <c r="B271" s="504"/>
      <c r="C271" s="504"/>
      <c r="D271" s="504"/>
      <c r="E271" s="504"/>
      <c r="F271" s="504"/>
      <c r="G271" s="504"/>
      <c r="H271" s="504"/>
      <c r="I271" s="504"/>
      <c r="J271" s="504"/>
      <c r="K271" s="504"/>
      <c r="L271" s="504"/>
    </row>
    <row r="272" spans="1:12" ht="14.25">
      <c r="A272" s="504"/>
      <c r="B272" s="504"/>
      <c r="C272" s="504"/>
      <c r="D272" s="504"/>
      <c r="E272" s="504"/>
      <c r="F272" s="504"/>
      <c r="G272" s="504"/>
      <c r="H272" s="504"/>
      <c r="I272" s="504"/>
      <c r="J272" s="504"/>
      <c r="K272" s="504"/>
      <c r="L272" s="504"/>
    </row>
    <row r="273" spans="1:12" ht="14.25">
      <c r="A273" s="504"/>
      <c r="B273" s="504"/>
      <c r="C273" s="504"/>
      <c r="D273" s="504"/>
      <c r="E273" s="504"/>
      <c r="F273" s="504"/>
      <c r="G273" s="504"/>
      <c r="H273" s="504"/>
      <c r="I273" s="504"/>
      <c r="J273" s="504"/>
      <c r="K273" s="504"/>
      <c r="L273" s="504"/>
    </row>
    <row r="274" spans="1:12" ht="14.25">
      <c r="A274" s="504"/>
      <c r="B274" s="504"/>
      <c r="C274" s="504"/>
      <c r="D274" s="504"/>
      <c r="E274" s="504"/>
      <c r="F274" s="504"/>
      <c r="G274" s="504"/>
      <c r="H274" s="504"/>
      <c r="I274" s="504"/>
      <c r="J274" s="504"/>
      <c r="K274" s="504"/>
      <c r="L274" s="504"/>
    </row>
    <row r="275" spans="1:12" ht="14.25">
      <c r="A275" s="504"/>
      <c r="B275" s="504"/>
      <c r="C275" s="504"/>
      <c r="D275" s="504"/>
      <c r="E275" s="504"/>
      <c r="F275" s="504"/>
      <c r="G275" s="504"/>
      <c r="H275" s="504"/>
      <c r="I275" s="504"/>
      <c r="J275" s="504"/>
      <c r="K275" s="504"/>
      <c r="L275" s="504"/>
    </row>
    <row r="276" spans="1:12" ht="14.25">
      <c r="A276" s="504"/>
      <c r="B276" s="504"/>
      <c r="C276" s="504"/>
      <c r="D276" s="504"/>
      <c r="E276" s="504"/>
      <c r="F276" s="504"/>
      <c r="G276" s="504"/>
      <c r="H276" s="504"/>
      <c r="I276" s="504"/>
      <c r="J276" s="504"/>
      <c r="K276" s="504"/>
      <c r="L276" s="504"/>
    </row>
    <row r="277" spans="1:12" ht="14.25">
      <c r="A277" s="504"/>
      <c r="B277" s="504"/>
      <c r="C277" s="504"/>
      <c r="D277" s="504"/>
      <c r="E277" s="504"/>
      <c r="F277" s="504"/>
      <c r="G277" s="504"/>
      <c r="H277" s="504"/>
      <c r="I277" s="504"/>
      <c r="J277" s="504"/>
      <c r="K277" s="504"/>
      <c r="L277" s="504"/>
    </row>
    <row r="278" spans="1:12" ht="14.25">
      <c r="A278" s="504"/>
      <c r="B278" s="504"/>
      <c r="C278" s="504"/>
      <c r="D278" s="504"/>
      <c r="E278" s="504"/>
      <c r="F278" s="504"/>
      <c r="G278" s="504"/>
      <c r="H278" s="504"/>
      <c r="I278" s="504"/>
      <c r="J278" s="504"/>
      <c r="K278" s="504"/>
      <c r="L278" s="504"/>
    </row>
    <row r="279" spans="1:12" ht="14.25">
      <c r="A279" s="504"/>
      <c r="B279" s="504"/>
      <c r="C279" s="504"/>
      <c r="D279" s="504"/>
      <c r="E279" s="504"/>
      <c r="F279" s="504"/>
      <c r="G279" s="504"/>
      <c r="H279" s="504"/>
      <c r="I279" s="504"/>
      <c r="J279" s="504"/>
      <c r="K279" s="504"/>
      <c r="L279" s="504"/>
    </row>
    <row r="280" spans="1:12" ht="14.25">
      <c r="A280" s="504"/>
      <c r="B280" s="504"/>
      <c r="C280" s="504"/>
      <c r="D280" s="504"/>
      <c r="E280" s="504"/>
      <c r="F280" s="504"/>
      <c r="G280" s="504"/>
      <c r="H280" s="504"/>
      <c r="I280" s="504"/>
      <c r="J280" s="504"/>
      <c r="K280" s="504"/>
      <c r="L280" s="504"/>
    </row>
    <row r="281" spans="1:12" ht="14.25">
      <c r="A281" s="504"/>
      <c r="B281" s="504"/>
      <c r="C281" s="504"/>
      <c r="D281" s="504"/>
      <c r="E281" s="504"/>
      <c r="F281" s="504"/>
      <c r="G281" s="504"/>
      <c r="H281" s="504"/>
      <c r="I281" s="504"/>
      <c r="J281" s="504"/>
      <c r="K281" s="504"/>
      <c r="L281" s="504"/>
    </row>
    <row r="282" spans="1:12" ht="14.25">
      <c r="A282" s="504"/>
      <c r="B282" s="504"/>
      <c r="C282" s="504"/>
      <c r="D282" s="504"/>
      <c r="E282" s="504"/>
      <c r="F282" s="504"/>
      <c r="G282" s="504"/>
      <c r="H282" s="504"/>
      <c r="I282" s="504"/>
      <c r="J282" s="504"/>
      <c r="K282" s="504"/>
      <c r="L282" s="504"/>
    </row>
    <row r="283" spans="1:12" ht="14.25">
      <c r="A283" s="504"/>
      <c r="B283" s="504"/>
      <c r="C283" s="504"/>
      <c r="D283" s="504"/>
      <c r="E283" s="504"/>
      <c r="F283" s="504"/>
      <c r="G283" s="504"/>
      <c r="H283" s="504"/>
      <c r="I283" s="504"/>
      <c r="J283" s="504"/>
      <c r="K283" s="504"/>
      <c r="L283" s="504"/>
    </row>
    <row r="284" spans="1:12" ht="14.25">
      <c r="A284" s="504"/>
      <c r="B284" s="504"/>
      <c r="C284" s="504"/>
      <c r="D284" s="504"/>
      <c r="E284" s="504"/>
      <c r="F284" s="504"/>
      <c r="G284" s="504"/>
      <c r="H284" s="504"/>
      <c r="I284" s="504"/>
      <c r="J284" s="504"/>
      <c r="K284" s="504"/>
      <c r="L284" s="504"/>
    </row>
    <row r="285" spans="1:12" ht="14.25">
      <c r="A285" s="504"/>
      <c r="B285" s="504"/>
      <c r="C285" s="504"/>
      <c r="D285" s="504"/>
      <c r="E285" s="504"/>
      <c r="F285" s="504"/>
      <c r="G285" s="504"/>
      <c r="H285" s="504"/>
      <c r="I285" s="504"/>
      <c r="J285" s="504"/>
      <c r="K285" s="504"/>
      <c r="L285" s="504"/>
    </row>
    <row r="286" spans="1:12" ht="14.25">
      <c r="A286" s="504"/>
      <c r="B286" s="504"/>
      <c r="C286" s="504"/>
      <c r="D286" s="504"/>
      <c r="E286" s="504"/>
      <c r="F286" s="504"/>
      <c r="G286" s="504"/>
      <c r="H286" s="504"/>
      <c r="I286" s="504"/>
      <c r="J286" s="504"/>
      <c r="K286" s="504"/>
      <c r="L286" s="504"/>
    </row>
    <row r="287" spans="1:12" ht="14.25">
      <c r="A287" s="504"/>
      <c r="B287" s="504"/>
      <c r="C287" s="504"/>
      <c r="D287" s="504"/>
      <c r="E287" s="504"/>
      <c r="F287" s="504"/>
      <c r="G287" s="504"/>
      <c r="H287" s="504"/>
      <c r="I287" s="504"/>
      <c r="J287" s="504"/>
      <c r="K287" s="504"/>
      <c r="L287" s="504"/>
    </row>
    <row r="288" spans="1:12" ht="14.25">
      <c r="A288" s="504"/>
      <c r="B288" s="504"/>
      <c r="C288" s="504"/>
      <c r="D288" s="504"/>
      <c r="E288" s="504"/>
      <c r="F288" s="504"/>
      <c r="G288" s="504"/>
      <c r="H288" s="504"/>
      <c r="I288" s="504"/>
      <c r="J288" s="504"/>
      <c r="K288" s="504"/>
      <c r="L288" s="504"/>
    </row>
    <row r="289" spans="1:12" ht="14.25">
      <c r="A289" s="504"/>
      <c r="B289" s="504"/>
      <c r="C289" s="504"/>
      <c r="D289" s="504"/>
      <c r="E289" s="504"/>
      <c r="F289" s="504"/>
      <c r="G289" s="504"/>
      <c r="H289" s="504"/>
      <c r="I289" s="504"/>
      <c r="J289" s="504"/>
      <c r="K289" s="504"/>
      <c r="L289" s="504"/>
    </row>
    <row r="290" spans="1:12" ht="14.25">
      <c r="A290" s="504"/>
      <c r="B290" s="504"/>
      <c r="C290" s="504"/>
      <c r="D290" s="504"/>
      <c r="E290" s="504"/>
      <c r="F290" s="504"/>
      <c r="G290" s="504"/>
      <c r="H290" s="504"/>
      <c r="I290" s="504"/>
      <c r="J290" s="504"/>
      <c r="K290" s="504"/>
      <c r="L290" s="504"/>
    </row>
    <row r="291" spans="1:12" ht="14.25">
      <c r="A291" s="504"/>
      <c r="B291" s="504"/>
      <c r="C291" s="504"/>
      <c r="D291" s="504"/>
      <c r="E291" s="504"/>
      <c r="F291" s="504"/>
      <c r="G291" s="504"/>
      <c r="H291" s="504"/>
      <c r="I291" s="504"/>
      <c r="J291" s="504"/>
      <c r="K291" s="504"/>
      <c r="L291" s="504"/>
    </row>
    <row r="292" spans="1:12" ht="14.25">
      <c r="A292" s="504"/>
      <c r="B292" s="504"/>
      <c r="C292" s="504"/>
      <c r="D292" s="504"/>
      <c r="E292" s="504"/>
      <c r="F292" s="504"/>
      <c r="G292" s="504"/>
      <c r="H292" s="504"/>
      <c r="I292" s="504"/>
      <c r="J292" s="504"/>
      <c r="K292" s="504"/>
      <c r="L292" s="504"/>
    </row>
    <row r="293" spans="1:12" ht="14.25">
      <c r="A293" s="504"/>
      <c r="B293" s="504"/>
      <c r="C293" s="504"/>
      <c r="D293" s="504"/>
      <c r="E293" s="504"/>
      <c r="F293" s="504"/>
      <c r="G293" s="504"/>
      <c r="H293" s="504"/>
      <c r="I293" s="504"/>
      <c r="J293" s="504"/>
      <c r="K293" s="504"/>
      <c r="L293" s="504"/>
    </row>
    <row r="294" spans="1:12" ht="14.25">
      <c r="A294" s="504"/>
      <c r="B294" s="504"/>
      <c r="C294" s="504"/>
      <c r="D294" s="504"/>
      <c r="E294" s="504"/>
      <c r="F294" s="504"/>
      <c r="G294" s="504"/>
      <c r="H294" s="504"/>
      <c r="I294" s="504"/>
      <c r="J294" s="504"/>
      <c r="K294" s="504"/>
      <c r="L294" s="504"/>
    </row>
    <row r="295" spans="1:12" ht="14.25">
      <c r="A295" s="504"/>
      <c r="B295" s="504"/>
      <c r="C295" s="504"/>
      <c r="D295" s="504"/>
      <c r="E295" s="504"/>
      <c r="F295" s="504"/>
      <c r="G295" s="504"/>
      <c r="H295" s="504"/>
      <c r="I295" s="504"/>
      <c r="J295" s="504"/>
      <c r="K295" s="504"/>
      <c r="L295" s="504"/>
    </row>
    <row r="296" spans="1:12" ht="14.25">
      <c r="A296" s="504"/>
      <c r="B296" s="504"/>
      <c r="C296" s="504"/>
      <c r="D296" s="504"/>
      <c r="E296" s="504"/>
      <c r="F296" s="504"/>
      <c r="G296" s="504"/>
      <c r="H296" s="504"/>
      <c r="I296" s="504"/>
      <c r="J296" s="504"/>
      <c r="K296" s="504"/>
      <c r="L296" s="504"/>
    </row>
    <row r="297" spans="1:12" ht="14.25">
      <c r="A297" s="504"/>
      <c r="B297" s="504"/>
      <c r="C297" s="504"/>
      <c r="D297" s="504"/>
      <c r="E297" s="504"/>
      <c r="F297" s="504"/>
      <c r="G297" s="504"/>
      <c r="H297" s="504"/>
      <c r="I297" s="504"/>
      <c r="J297" s="504"/>
      <c r="K297" s="504"/>
      <c r="L297" s="504"/>
    </row>
    <row r="298" spans="1:12" ht="14.25">
      <c r="A298" s="504"/>
      <c r="B298" s="504"/>
      <c r="C298" s="504"/>
      <c r="D298" s="504"/>
      <c r="E298" s="504"/>
      <c r="F298" s="504"/>
      <c r="G298" s="504"/>
      <c r="H298" s="504"/>
      <c r="I298" s="504"/>
      <c r="J298" s="504"/>
      <c r="K298" s="504"/>
      <c r="L298" s="504"/>
    </row>
    <row r="299" spans="1:12" ht="14.25">
      <c r="A299" s="504"/>
      <c r="B299" s="504"/>
      <c r="C299" s="504"/>
      <c r="D299" s="504"/>
      <c r="E299" s="504"/>
      <c r="F299" s="504"/>
      <c r="G299" s="504"/>
      <c r="H299" s="504"/>
      <c r="I299" s="504"/>
      <c r="J299" s="504"/>
      <c r="K299" s="504"/>
      <c r="L299" s="504"/>
    </row>
    <row r="300" spans="1:12" ht="14.25">
      <c r="A300" s="504"/>
      <c r="B300" s="504"/>
      <c r="C300" s="504"/>
      <c r="D300" s="504"/>
      <c r="E300" s="504"/>
      <c r="F300" s="504"/>
      <c r="G300" s="504"/>
      <c r="H300" s="504"/>
      <c r="I300" s="504"/>
      <c r="J300" s="504"/>
      <c r="K300" s="504"/>
      <c r="L300" s="504"/>
    </row>
    <row r="301" spans="1:12" ht="14.25">
      <c r="A301" s="504"/>
      <c r="B301" s="504"/>
      <c r="C301" s="504"/>
      <c r="D301" s="504"/>
      <c r="E301" s="504"/>
      <c r="F301" s="504"/>
      <c r="G301" s="504"/>
      <c r="H301" s="504"/>
      <c r="I301" s="504"/>
      <c r="J301" s="504"/>
      <c r="K301" s="504"/>
      <c r="L301" s="504"/>
    </row>
    <row r="302" spans="1:12" ht="14.25">
      <c r="A302" s="504"/>
      <c r="B302" s="504"/>
      <c r="C302" s="504"/>
      <c r="D302" s="504"/>
      <c r="E302" s="504"/>
      <c r="F302" s="504"/>
      <c r="G302" s="504"/>
      <c r="H302" s="504"/>
      <c r="I302" s="504"/>
      <c r="J302" s="504"/>
      <c r="K302" s="504"/>
      <c r="L302" s="504"/>
    </row>
    <row r="303" spans="1:12" ht="14.25">
      <c r="A303" s="504"/>
      <c r="B303" s="504"/>
      <c r="C303" s="504"/>
      <c r="D303" s="504"/>
      <c r="E303" s="504"/>
      <c r="F303" s="504"/>
      <c r="G303" s="504"/>
      <c r="H303" s="504"/>
      <c r="I303" s="504"/>
      <c r="J303" s="504"/>
      <c r="K303" s="504"/>
      <c r="L303" s="504"/>
    </row>
    <row r="304" spans="1:12" ht="14.25">
      <c r="A304" s="504"/>
      <c r="B304" s="504"/>
      <c r="C304" s="504"/>
      <c r="D304" s="504"/>
      <c r="E304" s="504"/>
      <c r="F304" s="504"/>
      <c r="G304" s="504"/>
      <c r="H304" s="504"/>
      <c r="I304" s="504"/>
      <c r="J304" s="504"/>
      <c r="K304" s="504"/>
      <c r="L304" s="504"/>
    </row>
    <row r="305" spans="1:12" ht="14.25">
      <c r="A305" s="504"/>
      <c r="B305" s="504"/>
      <c r="C305" s="504"/>
      <c r="D305" s="504"/>
      <c r="E305" s="504"/>
      <c r="F305" s="504"/>
      <c r="G305" s="504"/>
      <c r="H305" s="504"/>
      <c r="I305" s="504"/>
      <c r="J305" s="504"/>
      <c r="K305" s="504"/>
      <c r="L305" s="504"/>
    </row>
    <row r="306" spans="1:12" ht="14.25">
      <c r="A306" s="504"/>
      <c r="B306" s="504"/>
      <c r="C306" s="504"/>
      <c r="D306" s="504"/>
      <c r="E306" s="504"/>
      <c r="F306" s="504"/>
      <c r="G306" s="504"/>
      <c r="H306" s="504"/>
      <c r="I306" s="504"/>
      <c r="J306" s="504"/>
      <c r="K306" s="504"/>
      <c r="L306" s="504"/>
    </row>
    <row r="307" spans="1:12" ht="14.25">
      <c r="A307" s="504"/>
      <c r="B307" s="504"/>
      <c r="C307" s="504"/>
      <c r="D307" s="504"/>
      <c r="E307" s="504"/>
      <c r="F307" s="504"/>
      <c r="G307" s="504"/>
      <c r="H307" s="504"/>
      <c r="I307" s="504"/>
      <c r="J307" s="504"/>
      <c r="K307" s="504"/>
      <c r="L307" s="504"/>
    </row>
    <row r="308" spans="1:12" ht="14.25">
      <c r="A308" s="504"/>
      <c r="B308" s="504"/>
      <c r="C308" s="504"/>
      <c r="D308" s="504"/>
      <c r="E308" s="504"/>
      <c r="F308" s="504"/>
      <c r="G308" s="504"/>
      <c r="H308" s="504"/>
      <c r="I308" s="504"/>
      <c r="J308" s="504"/>
      <c r="K308" s="504"/>
      <c r="L308" s="504"/>
    </row>
    <row r="309" spans="1:12" ht="14.25">
      <c r="A309" s="504"/>
      <c r="B309" s="504"/>
      <c r="C309" s="504"/>
      <c r="D309" s="504"/>
      <c r="E309" s="504"/>
      <c r="F309" s="504"/>
      <c r="G309" s="504"/>
      <c r="H309" s="504"/>
      <c r="I309" s="504"/>
      <c r="J309" s="504"/>
      <c r="K309" s="504"/>
      <c r="L309" s="504"/>
    </row>
    <row r="310" spans="1:12" ht="14.25">
      <c r="A310" s="504"/>
      <c r="B310" s="504"/>
      <c r="C310" s="504"/>
      <c r="D310" s="504"/>
      <c r="E310" s="504"/>
      <c r="F310" s="504"/>
      <c r="G310" s="504"/>
      <c r="H310" s="504"/>
      <c r="I310" s="504"/>
      <c r="J310" s="504"/>
      <c r="K310" s="504"/>
      <c r="L310" s="504"/>
    </row>
    <row r="311" spans="1:12" ht="14.25">
      <c r="A311" s="504"/>
      <c r="B311" s="504"/>
      <c r="C311" s="504"/>
      <c r="D311" s="504"/>
      <c r="E311" s="504"/>
      <c r="F311" s="504"/>
      <c r="G311" s="504"/>
      <c r="H311" s="504"/>
      <c r="I311" s="504"/>
      <c r="J311" s="504"/>
      <c r="K311" s="504"/>
      <c r="L311" s="504"/>
    </row>
    <row r="312" spans="1:12" ht="14.25">
      <c r="A312" s="504"/>
      <c r="B312" s="504"/>
      <c r="C312" s="504"/>
      <c r="D312" s="504"/>
      <c r="E312" s="504"/>
      <c r="F312" s="504"/>
      <c r="G312" s="504"/>
      <c r="H312" s="504"/>
      <c r="I312" s="504"/>
      <c r="J312" s="504"/>
      <c r="K312" s="504"/>
      <c r="L312" s="504"/>
    </row>
    <row r="313" spans="1:12" ht="14.25">
      <c r="A313" s="504"/>
      <c r="B313" s="504"/>
      <c r="C313" s="504"/>
      <c r="D313" s="504"/>
      <c r="E313" s="504"/>
      <c r="F313" s="504"/>
      <c r="G313" s="504"/>
      <c r="H313" s="504"/>
      <c r="I313" s="504"/>
      <c r="J313" s="504"/>
      <c r="K313" s="504"/>
      <c r="L313" s="504"/>
    </row>
    <row r="314" spans="1:12" ht="14.25">
      <c r="A314" s="504"/>
      <c r="B314" s="504"/>
      <c r="C314" s="504"/>
      <c r="D314" s="504"/>
      <c r="E314" s="504"/>
      <c r="F314" s="504"/>
      <c r="G314" s="504"/>
      <c r="H314" s="504"/>
      <c r="I314" s="504"/>
      <c r="J314" s="504"/>
      <c r="K314" s="504"/>
      <c r="L314" s="504"/>
    </row>
    <row r="315" spans="1:12" ht="14.25">
      <c r="A315" s="504"/>
      <c r="B315" s="504"/>
      <c r="C315" s="504"/>
      <c r="D315" s="504"/>
      <c r="E315" s="504"/>
      <c r="F315" s="504"/>
      <c r="G315" s="504"/>
      <c r="H315" s="504"/>
      <c r="I315" s="504"/>
      <c r="J315" s="504"/>
      <c r="K315" s="504"/>
      <c r="L315" s="504"/>
    </row>
    <row r="316" spans="1:12" ht="14.25">
      <c r="A316" s="504"/>
      <c r="B316" s="504"/>
      <c r="C316" s="504"/>
      <c r="D316" s="504"/>
      <c r="E316" s="504"/>
      <c r="F316" s="504"/>
      <c r="G316" s="504"/>
      <c r="H316" s="504"/>
      <c r="I316" s="504"/>
      <c r="J316" s="504"/>
      <c r="K316" s="504"/>
      <c r="L316" s="504"/>
    </row>
    <row r="317" spans="1:12" ht="14.25">
      <c r="A317" s="504"/>
      <c r="B317" s="504"/>
      <c r="C317" s="504"/>
      <c r="D317" s="504"/>
      <c r="E317" s="504"/>
      <c r="F317" s="504"/>
      <c r="G317" s="504"/>
      <c r="H317" s="504"/>
      <c r="I317" s="504"/>
      <c r="J317" s="504"/>
      <c r="K317" s="504"/>
      <c r="L317" s="504"/>
    </row>
    <row r="318" spans="1:12" ht="14.25">
      <c r="A318" s="504"/>
      <c r="B318" s="504"/>
      <c r="C318" s="504"/>
      <c r="D318" s="504"/>
      <c r="E318" s="504"/>
      <c r="F318" s="504"/>
      <c r="G318" s="504"/>
      <c r="H318" s="504"/>
      <c r="I318" s="504"/>
      <c r="J318" s="504"/>
      <c r="K318" s="504"/>
      <c r="L318" s="504"/>
    </row>
    <row r="319" spans="1:12" ht="14.25">
      <c r="A319" s="504"/>
      <c r="B319" s="504"/>
      <c r="C319" s="504"/>
      <c r="D319" s="504"/>
      <c r="E319" s="504"/>
      <c r="F319" s="504"/>
      <c r="G319" s="504"/>
      <c r="H319" s="504"/>
      <c r="I319" s="504"/>
      <c r="J319" s="504"/>
      <c r="K319" s="504"/>
      <c r="L319" s="504"/>
    </row>
    <row r="320" spans="1:12" ht="14.25">
      <c r="A320" s="504"/>
      <c r="B320" s="504"/>
      <c r="C320" s="504"/>
      <c r="D320" s="504"/>
      <c r="E320" s="504"/>
      <c r="F320" s="504"/>
      <c r="G320" s="504"/>
      <c r="H320" s="504"/>
      <c r="I320" s="504"/>
      <c r="J320" s="504"/>
      <c r="K320" s="504"/>
      <c r="L320" s="504"/>
    </row>
    <row r="321" spans="1:12" ht="14.25">
      <c r="A321" s="504"/>
      <c r="B321" s="504"/>
      <c r="C321" s="504"/>
      <c r="D321" s="504"/>
      <c r="E321" s="504"/>
      <c r="F321" s="504"/>
      <c r="G321" s="504"/>
      <c r="H321" s="504"/>
      <c r="I321" s="504"/>
      <c r="J321" s="504"/>
      <c r="K321" s="504"/>
      <c r="L321" s="504"/>
    </row>
    <row r="322" spans="1:12" ht="14.25">
      <c r="A322" s="504"/>
      <c r="B322" s="504"/>
      <c r="C322" s="504"/>
      <c r="D322" s="504"/>
      <c r="E322" s="504"/>
      <c r="F322" s="504"/>
      <c r="G322" s="504"/>
      <c r="H322" s="504"/>
      <c r="I322" s="504"/>
      <c r="J322" s="504"/>
      <c r="K322" s="504"/>
      <c r="L322" s="504"/>
    </row>
    <row r="323" spans="1:12" ht="14.25">
      <c r="A323" s="504"/>
      <c r="B323" s="504"/>
      <c r="C323" s="504"/>
      <c r="D323" s="504"/>
      <c r="E323" s="504"/>
      <c r="F323" s="504"/>
      <c r="G323" s="504"/>
      <c r="H323" s="504"/>
      <c r="I323" s="504"/>
      <c r="J323" s="504"/>
      <c r="K323" s="504"/>
      <c r="L323" s="504"/>
    </row>
    <row r="324" spans="1:12" ht="14.25">
      <c r="A324" s="504"/>
      <c r="B324" s="504"/>
      <c r="C324" s="504"/>
      <c r="D324" s="504"/>
      <c r="E324" s="504"/>
      <c r="F324" s="504"/>
      <c r="G324" s="504"/>
      <c r="H324" s="504"/>
      <c r="I324" s="504"/>
      <c r="J324" s="504"/>
      <c r="K324" s="504"/>
      <c r="L324" s="504"/>
    </row>
    <row r="325" spans="1:12" ht="14.25">
      <c r="A325" s="504"/>
      <c r="B325" s="504"/>
      <c r="C325" s="504"/>
      <c r="D325" s="504"/>
      <c r="E325" s="504"/>
      <c r="F325" s="504"/>
      <c r="G325" s="504"/>
      <c r="H325" s="504"/>
      <c r="I325" s="504"/>
      <c r="J325" s="504"/>
      <c r="K325" s="504"/>
      <c r="L325" s="504"/>
    </row>
    <row r="326" spans="1:12" ht="14.25">
      <c r="A326" s="504"/>
      <c r="B326" s="504"/>
      <c r="C326" s="504"/>
      <c r="D326" s="504"/>
      <c r="E326" s="504"/>
      <c r="F326" s="504"/>
      <c r="G326" s="504"/>
      <c r="H326" s="504"/>
      <c r="I326" s="504"/>
      <c r="J326" s="504"/>
      <c r="K326" s="504"/>
      <c r="L326" s="504"/>
    </row>
    <row r="327" spans="1:12" ht="14.25">
      <c r="A327" s="504"/>
      <c r="B327" s="504"/>
      <c r="C327" s="504"/>
      <c r="D327" s="504"/>
      <c r="E327" s="504"/>
      <c r="F327" s="504"/>
      <c r="G327" s="504"/>
      <c r="H327" s="504"/>
      <c r="I327" s="504"/>
      <c r="J327" s="504"/>
      <c r="K327" s="504"/>
      <c r="L327" s="504"/>
    </row>
    <row r="328" spans="1:12" ht="14.25">
      <c r="A328" s="504"/>
      <c r="B328" s="504"/>
      <c r="C328" s="504"/>
      <c r="D328" s="504"/>
      <c r="E328" s="504"/>
      <c r="F328" s="504"/>
      <c r="G328" s="504"/>
      <c r="H328" s="504"/>
      <c r="I328" s="504"/>
      <c r="J328" s="504"/>
      <c r="K328" s="504"/>
      <c r="L328" s="504"/>
    </row>
    <row r="329" spans="1:12" ht="14.25">
      <c r="A329" s="504"/>
      <c r="B329" s="504"/>
      <c r="C329" s="504"/>
      <c r="D329" s="504"/>
      <c r="E329" s="504"/>
      <c r="F329" s="504"/>
      <c r="G329" s="504"/>
      <c r="H329" s="504"/>
      <c r="I329" s="504"/>
      <c r="J329" s="504"/>
      <c r="K329" s="504"/>
      <c r="L329" s="504"/>
    </row>
    <row r="330" spans="1:12" ht="14.25">
      <c r="A330" s="504"/>
      <c r="B330" s="504"/>
      <c r="C330" s="504"/>
      <c r="D330" s="504"/>
      <c r="E330" s="504"/>
      <c r="F330" s="504"/>
      <c r="G330" s="504"/>
      <c r="H330" s="504"/>
      <c r="I330" s="504"/>
      <c r="J330" s="504"/>
      <c r="K330" s="504"/>
      <c r="L330" s="504"/>
    </row>
    <row r="331" spans="1:12" ht="14.25">
      <c r="A331" s="504"/>
      <c r="B331" s="504"/>
      <c r="C331" s="504"/>
      <c r="D331" s="504"/>
      <c r="E331" s="504"/>
      <c r="F331" s="504"/>
      <c r="G331" s="504"/>
      <c r="H331" s="504"/>
      <c r="I331" s="504"/>
      <c r="J331" s="504"/>
      <c r="K331" s="504"/>
      <c r="L331" s="504"/>
    </row>
    <row r="332" spans="1:12" ht="14.25">
      <c r="A332" s="504"/>
      <c r="B332" s="504"/>
      <c r="C332" s="504"/>
      <c r="D332" s="504"/>
      <c r="E332" s="504"/>
      <c r="F332" s="504"/>
      <c r="G332" s="504"/>
      <c r="H332" s="504"/>
      <c r="I332" s="504"/>
      <c r="J332" s="504"/>
      <c r="K332" s="504"/>
      <c r="L332" s="504"/>
    </row>
    <row r="333" spans="1:12" ht="14.25">
      <c r="A333" s="504"/>
      <c r="B333" s="504"/>
      <c r="C333" s="504"/>
      <c r="D333" s="504"/>
      <c r="E333" s="504"/>
      <c r="F333" s="504"/>
      <c r="G333" s="504"/>
      <c r="H333" s="504"/>
      <c r="I333" s="504"/>
      <c r="J333" s="504"/>
      <c r="K333" s="504"/>
      <c r="L333" s="504"/>
    </row>
    <row r="334" spans="1:12" ht="14.25">
      <c r="A334" s="504"/>
      <c r="B334" s="504"/>
      <c r="C334" s="504"/>
      <c r="D334" s="504"/>
      <c r="E334" s="504"/>
      <c r="F334" s="504"/>
      <c r="G334" s="504"/>
      <c r="H334" s="504"/>
      <c r="I334" s="504"/>
      <c r="J334" s="504"/>
      <c r="K334" s="504"/>
      <c r="L334" s="504"/>
    </row>
    <row r="335" spans="1:12" ht="14.25">
      <c r="A335" s="504"/>
      <c r="B335" s="504"/>
      <c r="C335" s="504"/>
      <c r="D335" s="504"/>
      <c r="E335" s="504"/>
      <c r="F335" s="504"/>
      <c r="G335" s="504"/>
      <c r="H335" s="504"/>
      <c r="I335" s="504"/>
      <c r="J335" s="504"/>
      <c r="K335" s="504"/>
      <c r="L335" s="504"/>
    </row>
    <row r="336" spans="1:12" ht="14.25">
      <c r="A336" s="504"/>
      <c r="B336" s="504"/>
      <c r="C336" s="504"/>
      <c r="D336" s="504"/>
      <c r="E336" s="504"/>
      <c r="F336" s="504"/>
      <c r="G336" s="504"/>
      <c r="H336" s="504"/>
      <c r="I336" s="504"/>
      <c r="J336" s="504"/>
      <c r="K336" s="504"/>
      <c r="L336" s="504"/>
    </row>
    <row r="337" spans="1:12" ht="14.25">
      <c r="A337" s="504"/>
      <c r="B337" s="504"/>
      <c r="C337" s="504"/>
      <c r="D337" s="504"/>
      <c r="E337" s="504"/>
      <c r="F337" s="504"/>
      <c r="G337" s="504"/>
      <c r="H337" s="504"/>
      <c r="I337" s="504"/>
      <c r="J337" s="504"/>
      <c r="K337" s="504"/>
      <c r="L337" s="504"/>
    </row>
    <row r="338" spans="1:12" ht="14.25">
      <c r="A338" s="504"/>
      <c r="B338" s="504"/>
      <c r="C338" s="504"/>
      <c r="D338" s="504"/>
      <c r="E338" s="504"/>
      <c r="F338" s="504"/>
      <c r="G338" s="504"/>
      <c r="H338" s="504"/>
      <c r="I338" s="504"/>
      <c r="J338" s="504"/>
      <c r="K338" s="504"/>
      <c r="L338" s="504"/>
    </row>
    <row r="339" spans="1:12" ht="14.25">
      <c r="A339" s="504"/>
      <c r="B339" s="504"/>
      <c r="C339" s="504"/>
      <c r="D339" s="504"/>
      <c r="E339" s="504"/>
      <c r="F339" s="504"/>
      <c r="G339" s="504"/>
      <c r="H339" s="504"/>
      <c r="I339" s="504"/>
      <c r="J339" s="504"/>
      <c r="K339" s="504"/>
      <c r="L339" s="504"/>
    </row>
    <row r="340" spans="1:12" ht="14.25">
      <c r="A340" s="504"/>
      <c r="B340" s="504"/>
      <c r="C340" s="504"/>
      <c r="D340" s="504"/>
      <c r="E340" s="504"/>
      <c r="F340" s="504"/>
      <c r="G340" s="504"/>
      <c r="H340" s="504"/>
      <c r="I340" s="504"/>
      <c r="J340" s="504"/>
      <c r="K340" s="504"/>
      <c r="L340" s="504"/>
    </row>
    <row r="341" spans="1:12" ht="14.25">
      <c r="A341" s="504"/>
      <c r="B341" s="504"/>
      <c r="C341" s="504"/>
      <c r="D341" s="504"/>
      <c r="E341" s="504"/>
      <c r="F341" s="504"/>
      <c r="G341" s="504"/>
      <c r="H341" s="504"/>
      <c r="I341" s="504"/>
      <c r="J341" s="504"/>
      <c r="K341" s="504"/>
      <c r="L341" s="504"/>
    </row>
    <row r="342" spans="1:12" ht="14.25">
      <c r="A342" s="504"/>
      <c r="B342" s="504"/>
      <c r="C342" s="504"/>
      <c r="D342" s="504"/>
      <c r="E342" s="504"/>
      <c r="F342" s="504"/>
      <c r="G342" s="504"/>
      <c r="H342" s="504"/>
      <c r="I342" s="504"/>
      <c r="J342" s="504"/>
      <c r="K342" s="504"/>
      <c r="L342" s="504"/>
    </row>
    <row r="343" spans="1:12" ht="14.25">
      <c r="A343" s="504"/>
      <c r="B343" s="504"/>
      <c r="C343" s="504"/>
      <c r="D343" s="504"/>
      <c r="E343" s="504"/>
      <c r="F343" s="504"/>
      <c r="G343" s="504"/>
      <c r="H343" s="504"/>
      <c r="I343" s="504"/>
      <c r="J343" s="504"/>
      <c r="K343" s="504"/>
      <c r="L343" s="504"/>
    </row>
    <row r="344" spans="1:12" ht="14.25">
      <c r="A344" s="504"/>
      <c r="B344" s="504"/>
      <c r="C344" s="504"/>
      <c r="D344" s="504"/>
      <c r="E344" s="504"/>
      <c r="F344" s="504"/>
      <c r="G344" s="504"/>
      <c r="H344" s="504"/>
      <c r="I344" s="504"/>
      <c r="J344" s="504"/>
      <c r="K344" s="504"/>
      <c r="L344" s="504"/>
    </row>
    <row r="345" spans="1:12" ht="14.25">
      <c r="A345" s="504"/>
      <c r="B345" s="504"/>
      <c r="C345" s="504"/>
      <c r="D345" s="504"/>
      <c r="E345" s="504"/>
      <c r="F345" s="504"/>
      <c r="G345" s="504"/>
      <c r="H345" s="504"/>
      <c r="I345" s="504"/>
      <c r="J345" s="504"/>
      <c r="K345" s="504"/>
      <c r="L345" s="504"/>
    </row>
    <row r="346" spans="1:12" ht="14.25">
      <c r="A346" s="504"/>
      <c r="B346" s="504"/>
      <c r="C346" s="504"/>
      <c r="D346" s="504"/>
      <c r="E346" s="504"/>
      <c r="F346" s="504"/>
      <c r="G346" s="504"/>
      <c r="H346" s="504"/>
      <c r="I346" s="504"/>
      <c r="J346" s="504"/>
      <c r="K346" s="504"/>
      <c r="L346" s="504"/>
    </row>
    <row r="347" spans="1:12" ht="14.25">
      <c r="A347" s="504"/>
      <c r="B347" s="504"/>
      <c r="C347" s="504"/>
      <c r="D347" s="504"/>
      <c r="E347" s="504"/>
      <c r="F347" s="504"/>
      <c r="G347" s="504"/>
      <c r="H347" s="504"/>
      <c r="I347" s="504"/>
      <c r="J347" s="504"/>
      <c r="K347" s="504"/>
      <c r="L347" s="504"/>
    </row>
    <row r="348" spans="1:12" ht="14.25">
      <c r="A348" s="504"/>
      <c r="B348" s="504"/>
      <c r="C348" s="504"/>
      <c r="D348" s="504"/>
      <c r="E348" s="504"/>
      <c r="F348" s="504"/>
      <c r="G348" s="504"/>
      <c r="H348" s="504"/>
      <c r="I348" s="504"/>
      <c r="J348" s="504"/>
      <c r="K348" s="504"/>
      <c r="L348" s="504"/>
    </row>
    <row r="349" spans="1:12" ht="14.25">
      <c r="A349" s="504"/>
      <c r="B349" s="504"/>
      <c r="C349" s="504"/>
      <c r="D349" s="504"/>
      <c r="E349" s="504"/>
      <c r="F349" s="504"/>
      <c r="G349" s="504"/>
      <c r="H349" s="504"/>
      <c r="I349" s="504"/>
      <c r="J349" s="504"/>
      <c r="K349" s="504"/>
      <c r="L349" s="504"/>
    </row>
    <row r="350" spans="1:12" ht="14.25">
      <c r="A350" s="504"/>
      <c r="B350" s="504"/>
      <c r="C350" s="504"/>
      <c r="D350" s="504"/>
      <c r="E350" s="504"/>
      <c r="F350" s="504"/>
      <c r="G350" s="504"/>
      <c r="H350" s="504"/>
      <c r="I350" s="504"/>
      <c r="J350" s="504"/>
      <c r="K350" s="504"/>
      <c r="L350" s="504"/>
    </row>
    <row r="351" spans="1:12" ht="14.25">
      <c r="A351" s="504"/>
      <c r="B351" s="504"/>
      <c r="C351" s="504"/>
      <c r="D351" s="504"/>
      <c r="E351" s="504"/>
      <c r="F351" s="504"/>
      <c r="G351" s="504"/>
      <c r="H351" s="504"/>
      <c r="I351" s="504"/>
      <c r="J351" s="504"/>
      <c r="K351" s="504"/>
      <c r="L351" s="504"/>
    </row>
    <row r="352" spans="1:12" ht="14.25">
      <c r="A352" s="504"/>
      <c r="B352" s="504"/>
      <c r="C352" s="504"/>
      <c r="D352" s="504"/>
      <c r="E352" s="504"/>
      <c r="F352" s="504"/>
      <c r="G352" s="504"/>
      <c r="H352" s="504"/>
      <c r="I352" s="504"/>
      <c r="J352" s="504"/>
      <c r="K352" s="504"/>
      <c r="L352" s="504"/>
    </row>
    <row r="353" spans="1:12" ht="14.25">
      <c r="A353" s="504"/>
      <c r="B353" s="504"/>
      <c r="C353" s="504"/>
      <c r="D353" s="504"/>
      <c r="E353" s="504"/>
      <c r="F353" s="504"/>
      <c r="G353" s="504"/>
      <c r="H353" s="504"/>
      <c r="I353" s="504"/>
      <c r="J353" s="504"/>
      <c r="K353" s="504"/>
      <c r="L353" s="504"/>
    </row>
    <row r="354" spans="1:12" ht="14.25">
      <c r="A354" s="504"/>
      <c r="B354" s="504"/>
      <c r="C354" s="504"/>
      <c r="D354" s="504"/>
      <c r="E354" s="504"/>
      <c r="F354" s="504"/>
      <c r="G354" s="504"/>
      <c r="H354" s="504"/>
      <c r="I354" s="504"/>
      <c r="J354" s="504"/>
      <c r="K354" s="504"/>
      <c r="L354" s="504"/>
    </row>
  </sheetData>
  <sheetProtection sheet="1" objects="1" scenarios="1"/>
  <mergeCells count="56">
    <mergeCell ref="C120:D120"/>
    <mergeCell ref="B105:K105"/>
    <mergeCell ref="C74:D74"/>
    <mergeCell ref="B85:K85"/>
    <mergeCell ref="B86:K86"/>
    <mergeCell ref="C77:D77"/>
    <mergeCell ref="C80:D80"/>
    <mergeCell ref="C83:D83"/>
    <mergeCell ref="B88:K88"/>
    <mergeCell ref="C114:D114"/>
    <mergeCell ref="C134:D134"/>
    <mergeCell ref="H134:I134"/>
    <mergeCell ref="B90:K90"/>
    <mergeCell ref="C94:D94"/>
    <mergeCell ref="C97:D97"/>
    <mergeCell ref="C100:D100"/>
    <mergeCell ref="C103:D103"/>
    <mergeCell ref="C117:D117"/>
    <mergeCell ref="C123:D123"/>
    <mergeCell ref="B110:K110"/>
    <mergeCell ref="B52:K52"/>
    <mergeCell ref="B53:K53"/>
    <mergeCell ref="B55:K55"/>
    <mergeCell ref="B57:K57"/>
    <mergeCell ref="B30:K30"/>
    <mergeCell ref="B31:K31"/>
    <mergeCell ref="I51:K51"/>
    <mergeCell ref="B6:K6"/>
    <mergeCell ref="B7:K7"/>
    <mergeCell ref="B8:K8"/>
    <mergeCell ref="B10:K10"/>
    <mergeCell ref="B12:K12"/>
    <mergeCell ref="C25:D25"/>
    <mergeCell ref="F23:G23"/>
    <mergeCell ref="C136:D136"/>
    <mergeCell ref="C137:D137"/>
    <mergeCell ref="B33:K33"/>
    <mergeCell ref="B35:K35"/>
    <mergeCell ref="B106:K106"/>
    <mergeCell ref="B108:K108"/>
    <mergeCell ref="C41:D41"/>
    <mergeCell ref="B48:C48"/>
    <mergeCell ref="G50:H50"/>
    <mergeCell ref="B58:K58"/>
    <mergeCell ref="B144:K144"/>
    <mergeCell ref="C147:D147"/>
    <mergeCell ref="J147:K147"/>
    <mergeCell ref="C148:D148"/>
    <mergeCell ref="J148:K148"/>
    <mergeCell ref="F148:G148"/>
    <mergeCell ref="B125:K125"/>
    <mergeCell ref="B126:K126"/>
    <mergeCell ref="B128:K128"/>
    <mergeCell ref="C133:D133"/>
    <mergeCell ref="H133:I133"/>
    <mergeCell ref="B130:K130"/>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05" t="s">
        <v>561</v>
      </c>
    </row>
    <row r="3" ht="31.5">
      <c r="A3" s="506" t="s">
        <v>562</v>
      </c>
    </row>
    <row r="4" ht="15.75">
      <c r="A4" s="507" t="s">
        <v>563</v>
      </c>
    </row>
    <row r="7" ht="31.5">
      <c r="A7" s="506" t="s">
        <v>564</v>
      </c>
    </row>
    <row r="8" ht="15.75">
      <c r="A8" s="507" t="s">
        <v>565</v>
      </c>
    </row>
    <row r="11" ht="15.75">
      <c r="A11" s="1" t="s">
        <v>767</v>
      </c>
    </row>
    <row r="12" ht="15.75">
      <c r="A12" s="507" t="s">
        <v>768</v>
      </c>
    </row>
    <row r="15" ht="15.75">
      <c r="A15" s="1" t="s">
        <v>769</v>
      </c>
    </row>
    <row r="16" ht="15.75">
      <c r="A16" s="507" t="s">
        <v>770</v>
      </c>
    </row>
    <row r="19" ht="15.75">
      <c r="A19" s="1" t="s">
        <v>771</v>
      </c>
    </row>
    <row r="20" ht="15.75">
      <c r="A20" s="507" t="s">
        <v>2</v>
      </c>
    </row>
    <row r="23" ht="15.75">
      <c r="A23" s="1" t="s">
        <v>3</v>
      </c>
    </row>
    <row r="24" ht="15.75">
      <c r="A24" s="507" t="s">
        <v>4</v>
      </c>
    </row>
    <row r="27" ht="15.75">
      <c r="A27" s="1" t="s">
        <v>5</v>
      </c>
    </row>
    <row r="28" ht="15.75">
      <c r="A28" s="507" t="s">
        <v>6</v>
      </c>
    </row>
    <row r="31" ht="15.75">
      <c r="A31" s="1" t="s">
        <v>7</v>
      </c>
    </row>
    <row r="32" ht="15.75">
      <c r="A32" s="507" t="s">
        <v>8</v>
      </c>
    </row>
    <row r="35" ht="15.75">
      <c r="A35" s="1" t="s">
        <v>9</v>
      </c>
    </row>
    <row r="36" ht="15.75">
      <c r="A36" s="507" t="s">
        <v>10</v>
      </c>
    </row>
    <row r="39" ht="15.75">
      <c r="A39" s="1" t="s">
        <v>11</v>
      </c>
    </row>
    <row r="40" ht="15.75">
      <c r="A40" s="507" t="s">
        <v>12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48"/>
  <sheetViews>
    <sheetView zoomScalePageLayoutView="0" workbookViewId="0" topLeftCell="A1">
      <selection activeCell="C11" sqref="C11"/>
    </sheetView>
  </sheetViews>
  <sheetFormatPr defaultColWidth="8.796875" defaultRowHeight="15"/>
  <cols>
    <col min="1" max="1" width="80.09765625" style="33" customWidth="1"/>
    <col min="2" max="16384" width="8.8984375" style="33" customWidth="1"/>
  </cols>
  <sheetData>
    <row r="1" ht="15.75">
      <c r="A1" s="545" t="s">
        <v>171</v>
      </c>
    </row>
    <row r="2" ht="15.75">
      <c r="A2" s="525" t="s">
        <v>172</v>
      </c>
    </row>
    <row r="4" ht="15.75">
      <c r="A4" s="545" t="s">
        <v>143</v>
      </c>
    </row>
    <row r="5" ht="15.75">
      <c r="A5" s="33" t="s">
        <v>144</v>
      </c>
    </row>
    <row r="7" ht="15.75">
      <c r="A7" s="545" t="s">
        <v>116</v>
      </c>
    </row>
    <row r="8" ht="15.75">
      <c r="A8" s="525" t="s">
        <v>107</v>
      </c>
    </row>
    <row r="9" ht="15.75">
      <c r="A9" s="525" t="s">
        <v>108</v>
      </c>
    </row>
    <row r="10" ht="31.5">
      <c r="A10" s="510" t="s">
        <v>109</v>
      </c>
    </row>
    <row r="11" ht="15.75">
      <c r="A11" s="525" t="s">
        <v>145</v>
      </c>
    </row>
    <row r="12" ht="15.75">
      <c r="A12" s="525" t="s">
        <v>146</v>
      </c>
    </row>
    <row r="13" ht="15.75">
      <c r="A13" s="525" t="s">
        <v>147</v>
      </c>
    </row>
    <row r="14" ht="15.75">
      <c r="A14" s="525" t="s">
        <v>148</v>
      </c>
    </row>
    <row r="15" ht="15.75">
      <c r="A15" s="525" t="s">
        <v>149</v>
      </c>
    </row>
    <row r="16" ht="15.75">
      <c r="A16" s="525" t="s">
        <v>150</v>
      </c>
    </row>
    <row r="17" ht="15.75">
      <c r="A17" s="525" t="s">
        <v>151</v>
      </c>
    </row>
    <row r="18" ht="15.75">
      <c r="A18" s="525" t="s">
        <v>152</v>
      </c>
    </row>
    <row r="19" ht="15.75">
      <c r="A19" s="525" t="s">
        <v>153</v>
      </c>
    </row>
    <row r="20" ht="15.75">
      <c r="A20" s="525" t="s">
        <v>154</v>
      </c>
    </row>
    <row r="21" ht="15.75">
      <c r="A21" s="525" t="s">
        <v>155</v>
      </c>
    </row>
    <row r="22" ht="15.75">
      <c r="A22" s="525" t="s">
        <v>156</v>
      </c>
    </row>
    <row r="23" ht="15.75">
      <c r="A23" s="525" t="s">
        <v>157</v>
      </c>
    </row>
    <row r="24" ht="15.75">
      <c r="A24" s="525" t="s">
        <v>158</v>
      </c>
    </row>
    <row r="25" ht="15.75">
      <c r="A25" s="525" t="s">
        <v>159</v>
      </c>
    </row>
    <row r="26" ht="15.75">
      <c r="A26" s="525" t="s">
        <v>160</v>
      </c>
    </row>
    <row r="27" ht="15.75">
      <c r="A27" s="525" t="s">
        <v>161</v>
      </c>
    </row>
    <row r="28" ht="15.75">
      <c r="A28" s="525" t="s">
        <v>162</v>
      </c>
    </row>
    <row r="29" ht="15.75">
      <c r="A29" s="525" t="s">
        <v>163</v>
      </c>
    </row>
    <row r="30" ht="15.75">
      <c r="A30" s="525" t="s">
        <v>164</v>
      </c>
    </row>
    <row r="31" ht="15.75">
      <c r="A31" s="525" t="s">
        <v>165</v>
      </c>
    </row>
    <row r="32" ht="15.75">
      <c r="A32" s="525" t="s">
        <v>166</v>
      </c>
    </row>
    <row r="33" ht="15.75">
      <c r="A33" s="525" t="s">
        <v>167</v>
      </c>
    </row>
    <row r="34" ht="15.75">
      <c r="A34" s="525" t="s">
        <v>168</v>
      </c>
    </row>
    <row r="35" ht="15.75">
      <c r="A35" s="525" t="s">
        <v>169</v>
      </c>
    </row>
    <row r="36" ht="15.75">
      <c r="A36" s="525" t="s">
        <v>170</v>
      </c>
    </row>
    <row r="38" ht="15.75">
      <c r="A38" s="379" t="s">
        <v>658</v>
      </c>
    </row>
    <row r="39" ht="15.75">
      <c r="A39" s="33" t="s">
        <v>659</v>
      </c>
    </row>
    <row r="40" ht="15.75">
      <c r="A40" s="33" t="s">
        <v>660</v>
      </c>
    </row>
    <row r="41" ht="15.75">
      <c r="A41" s="33" t="s">
        <v>661</v>
      </c>
    </row>
    <row r="43" ht="15.75">
      <c r="A43" s="379" t="s">
        <v>648</v>
      </c>
    </row>
    <row r="44" ht="15.75">
      <c r="A44" s="33" t="s">
        <v>657</v>
      </c>
    </row>
    <row r="46" ht="15.75">
      <c r="A46" s="379" t="s">
        <v>401</v>
      </c>
    </row>
    <row r="47" ht="15.75">
      <c r="A47" s="378" t="s">
        <v>402</v>
      </c>
    </row>
    <row r="48" ht="15.75">
      <c r="A48" s="378" t="s">
        <v>403</v>
      </c>
    </row>
    <row r="49" ht="15.75">
      <c r="A49" s="378" t="s">
        <v>404</v>
      </c>
    </row>
    <row r="50" ht="15.75">
      <c r="A50" s="33" t="s">
        <v>646</v>
      </c>
    </row>
    <row r="52" ht="15.75">
      <c r="A52" s="351" t="s">
        <v>1073</v>
      </c>
    </row>
    <row r="53" ht="15.75">
      <c r="A53" s="354" t="s">
        <v>381</v>
      </c>
    </row>
    <row r="54" ht="15.75">
      <c r="A54" s="33" t="s">
        <v>382</v>
      </c>
    </row>
    <row r="55" ht="15.75">
      <c r="A55" s="33" t="s">
        <v>383</v>
      </c>
    </row>
    <row r="56" ht="21.75" customHeight="1">
      <c r="A56" s="36" t="s">
        <v>384</v>
      </c>
    </row>
    <row r="57" ht="15.75">
      <c r="A57" s="33" t="s">
        <v>385</v>
      </c>
    </row>
    <row r="58" ht="15.75">
      <c r="A58" s="33" t="s">
        <v>386</v>
      </c>
    </row>
    <row r="59" ht="15.75">
      <c r="A59" s="33" t="s">
        <v>387</v>
      </c>
    </row>
    <row r="60" ht="15.75">
      <c r="A60" s="33" t="s">
        <v>388</v>
      </c>
    </row>
    <row r="61" ht="15.75">
      <c r="A61" s="33" t="s">
        <v>389</v>
      </c>
    </row>
    <row r="62" ht="15.75">
      <c r="A62" s="33" t="s">
        <v>390</v>
      </c>
    </row>
    <row r="63" ht="15.75">
      <c r="A63" s="33" t="s">
        <v>391</v>
      </c>
    </row>
    <row r="65" ht="15.75">
      <c r="A65" s="351" t="s">
        <v>1068</v>
      </c>
    </row>
    <row r="66" ht="15.75">
      <c r="A66" s="33" t="s">
        <v>1069</v>
      </c>
    </row>
    <row r="68" ht="15.75">
      <c r="A68" s="351" t="s">
        <v>1066</v>
      </c>
    </row>
    <row r="69" ht="15.75">
      <c r="A69" s="33" t="s">
        <v>1067</v>
      </c>
    </row>
    <row r="71" ht="15.75">
      <c r="A71" s="351" t="s">
        <v>1063</v>
      </c>
    </row>
    <row r="72" ht="15.75">
      <c r="A72" s="33" t="s">
        <v>1064</v>
      </c>
    </row>
    <row r="73" ht="15.75">
      <c r="A73" s="33" t="s">
        <v>1065</v>
      </c>
    </row>
    <row r="75" ht="15.75">
      <c r="A75" s="351" t="s">
        <v>99</v>
      </c>
    </row>
    <row r="76" ht="15.75">
      <c r="A76" s="33" t="s">
        <v>84</v>
      </c>
    </row>
    <row r="77" ht="15.75">
      <c r="A77" s="33" t="s">
        <v>85</v>
      </c>
    </row>
    <row r="78" ht="15.75">
      <c r="A78" s="33" t="s">
        <v>86</v>
      </c>
    </row>
    <row r="79" ht="15.75">
      <c r="A79" s="33" t="s">
        <v>93</v>
      </c>
    </row>
    <row r="80" ht="15.75">
      <c r="A80" s="33" t="s">
        <v>87</v>
      </c>
    </row>
    <row r="81" ht="15.75">
      <c r="A81" s="33" t="s">
        <v>88</v>
      </c>
    </row>
    <row r="82" ht="31.5">
      <c r="A82" s="36" t="s">
        <v>94</v>
      </c>
    </row>
    <row r="83" ht="31.5">
      <c r="A83" s="36" t="s">
        <v>89</v>
      </c>
    </row>
    <row r="84" ht="15.75">
      <c r="A84" s="36" t="s">
        <v>90</v>
      </c>
    </row>
    <row r="85" ht="15.75">
      <c r="A85" s="36" t="s">
        <v>91</v>
      </c>
    </row>
    <row r="86" ht="31.5">
      <c r="A86" s="36" t="s">
        <v>1056</v>
      </c>
    </row>
    <row r="87" ht="15.75">
      <c r="A87" s="33" t="s">
        <v>1057</v>
      </c>
    </row>
    <row r="88" ht="31.5">
      <c r="A88" s="36" t="s">
        <v>92</v>
      </c>
    </row>
    <row r="89" ht="15.75">
      <c r="A89" s="33" t="s">
        <v>96</v>
      </c>
    </row>
    <row r="90" ht="15.75">
      <c r="A90" s="33" t="s">
        <v>97</v>
      </c>
    </row>
    <row r="91" ht="15.75">
      <c r="A91" s="33" t="s">
        <v>98</v>
      </c>
    </row>
    <row r="92" ht="31.5">
      <c r="A92" s="36" t="s">
        <v>1055</v>
      </c>
    </row>
    <row r="93" ht="15.75">
      <c r="A93" s="33" t="s">
        <v>1054</v>
      </c>
    </row>
    <row r="94" ht="31.5">
      <c r="A94" s="36" t="s">
        <v>1053</v>
      </c>
    </row>
    <row r="95" ht="15.75">
      <c r="A95" s="33" t="s">
        <v>1058</v>
      </c>
    </row>
    <row r="97" ht="15.75">
      <c r="A97" s="351" t="s">
        <v>773</v>
      </c>
    </row>
    <row r="98" ht="15.75">
      <c r="A98" s="33" t="s">
        <v>774</v>
      </c>
    </row>
    <row r="99" ht="15.75">
      <c r="A99" s="33" t="s">
        <v>775</v>
      </c>
    </row>
    <row r="100" ht="15.75">
      <c r="A100" s="33" t="s">
        <v>776</v>
      </c>
    </row>
    <row r="101" ht="15.75">
      <c r="A101" s="33" t="s">
        <v>95</v>
      </c>
    </row>
    <row r="104" ht="15.75">
      <c r="A104" s="351" t="s">
        <v>80</v>
      </c>
    </row>
    <row r="105" ht="15.75">
      <c r="A105" s="33" t="s">
        <v>81</v>
      </c>
    </row>
    <row r="107" ht="15.75">
      <c r="A107" s="351" t="s">
        <v>73</v>
      </c>
    </row>
    <row r="108" ht="15.75">
      <c r="A108" s="33" t="s">
        <v>74</v>
      </c>
    </row>
    <row r="109" ht="15.75">
      <c r="A109" s="33" t="s">
        <v>75</v>
      </c>
    </row>
    <row r="110" ht="31.5">
      <c r="A110" s="36" t="s">
        <v>76</v>
      </c>
    </row>
    <row r="111" ht="15.75">
      <c r="A111" s="33" t="s">
        <v>77</v>
      </c>
    </row>
    <row r="112" ht="15.75">
      <c r="A112" s="33" t="s">
        <v>78</v>
      </c>
    </row>
    <row r="113" ht="15.75">
      <c r="A113" s="33" t="s">
        <v>79</v>
      </c>
    </row>
    <row r="115" ht="18" customHeight="1">
      <c r="A115" s="351" t="s">
        <v>1023</v>
      </c>
    </row>
    <row r="116" ht="48.75" customHeight="1">
      <c r="A116" s="36" t="s">
        <v>1059</v>
      </c>
    </row>
    <row r="117" ht="15.75">
      <c r="A117" s="33" t="s">
        <v>1024</v>
      </c>
    </row>
    <row r="118" ht="15.75">
      <c r="A118" s="33" t="s">
        <v>1025</v>
      </c>
    </row>
    <row r="119" ht="15.75">
      <c r="A119" s="33" t="s">
        <v>1060</v>
      </c>
    </row>
    <row r="120" ht="15.75">
      <c r="A120" s="33" t="s">
        <v>1026</v>
      </c>
    </row>
    <row r="121" ht="15.75">
      <c r="A121" s="33" t="s">
        <v>1027</v>
      </c>
    </row>
    <row r="122" ht="15.75">
      <c r="A122" s="33" t="s">
        <v>38</v>
      </c>
    </row>
    <row r="123" ht="15.75">
      <c r="A123" s="33" t="s">
        <v>1028</v>
      </c>
    </row>
    <row r="124" ht="15.75">
      <c r="A124" s="33" t="s">
        <v>1029</v>
      </c>
    </row>
    <row r="125" ht="31.5">
      <c r="A125" s="36" t="s">
        <v>1030</v>
      </c>
    </row>
    <row r="126" ht="31.5">
      <c r="A126" s="36" t="s">
        <v>50</v>
      </c>
    </row>
    <row r="127" ht="15.75">
      <c r="A127" s="33" t="s">
        <v>1031</v>
      </c>
    </row>
    <row r="128" ht="15.75">
      <c r="A128" s="33" t="s">
        <v>1032</v>
      </c>
    </row>
    <row r="129" ht="15.75">
      <c r="A129" s="33" t="s">
        <v>1061</v>
      </c>
    </row>
    <row r="130" ht="15.75">
      <c r="A130" s="33" t="s">
        <v>1033</v>
      </c>
    </row>
    <row r="131" ht="15.75">
      <c r="A131" s="33" t="s">
        <v>32</v>
      </c>
    </row>
    <row r="132" ht="31.5">
      <c r="A132" s="36" t="s">
        <v>33</v>
      </c>
    </row>
    <row r="133" ht="15.75">
      <c r="A133" s="33" t="s">
        <v>1043</v>
      </c>
    </row>
    <row r="134" ht="15.75">
      <c r="A134" s="33" t="s">
        <v>1044</v>
      </c>
    </row>
    <row r="135" ht="31.5">
      <c r="A135" s="36" t="s">
        <v>1045</v>
      </c>
    </row>
    <row r="136" ht="15.75">
      <c r="A136" s="33" t="s">
        <v>60</v>
      </c>
    </row>
    <row r="137" ht="15.75">
      <c r="A137" s="33" t="s">
        <v>61</v>
      </c>
    </row>
    <row r="138" ht="15.75">
      <c r="A138" s="33" t="s">
        <v>62</v>
      </c>
    </row>
    <row r="139" ht="15.75">
      <c r="A139" s="33" t="s">
        <v>63</v>
      </c>
    </row>
    <row r="140" ht="15.75">
      <c r="A140" s="33" t="s">
        <v>64</v>
      </c>
    </row>
    <row r="141" ht="15.75">
      <c r="A141" s="33" t="s">
        <v>65</v>
      </c>
    </row>
    <row r="142" ht="15.75">
      <c r="A142" s="33" t="s">
        <v>66</v>
      </c>
    </row>
    <row r="143" ht="15.75">
      <c r="A143" s="33" t="s">
        <v>67</v>
      </c>
    </row>
    <row r="144" ht="15.75">
      <c r="A144" s="33" t="s">
        <v>68</v>
      </c>
    </row>
    <row r="145" ht="15.75">
      <c r="A145" s="33" t="s">
        <v>70</v>
      </c>
    </row>
    <row r="146" ht="15.75">
      <c r="A146" s="33" t="s">
        <v>71</v>
      </c>
    </row>
    <row r="147" ht="15.75">
      <c r="A147" s="33" t="s">
        <v>72</v>
      </c>
    </row>
    <row r="148" ht="15.75">
      <c r="A148" s="33" t="s">
        <v>69</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82"/>
  <sheetViews>
    <sheetView tabSelected="1" zoomScalePageLayoutView="0" workbookViewId="0" topLeftCell="A16">
      <selection activeCell="F40" sqref="F40:F41"/>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6" ht="15.75">
      <c r="A1" s="48"/>
      <c r="B1" s="48"/>
      <c r="C1" s="47" t="s">
        <v>873</v>
      </c>
      <c r="D1" s="48"/>
      <c r="E1" s="48"/>
      <c r="F1" s="177">
        <f>inputPrYr!C5</f>
        <v>2012</v>
      </c>
    </row>
    <row r="2" spans="1:6" ht="15.75">
      <c r="A2" s="698" t="str">
        <f>CONCATENATE("To the Clerk of ",(inputPrYr!D3),", State of Kansas")</f>
        <v>To the Clerk of Miami County, State of Kansas</v>
      </c>
      <c r="B2" s="707"/>
      <c r="C2" s="707"/>
      <c r="D2" s="707"/>
      <c r="E2" s="707"/>
      <c r="F2" s="707"/>
    </row>
    <row r="3" spans="1:6" ht="15.75">
      <c r="A3" s="141" t="s">
        <v>662</v>
      </c>
      <c r="B3" s="57"/>
      <c r="C3" s="57"/>
      <c r="D3" s="57"/>
      <c r="E3" s="57"/>
      <c r="F3" s="57"/>
    </row>
    <row r="4" spans="1:6" ht="15.75">
      <c r="A4" s="696" t="str">
        <f>(inputPrYr!D2)</f>
        <v>City of Paola</v>
      </c>
      <c r="B4" s="697"/>
      <c r="C4" s="697"/>
      <c r="D4" s="697"/>
      <c r="E4" s="697"/>
      <c r="F4" s="697"/>
    </row>
    <row r="5" spans="1:6" ht="15.75">
      <c r="A5" s="141" t="s">
        <v>786</v>
      </c>
      <c r="B5" s="57"/>
      <c r="C5" s="57"/>
      <c r="D5" s="57"/>
      <c r="E5" s="57"/>
      <c r="F5" s="57"/>
    </row>
    <row r="6" spans="1:6" ht="15.75">
      <c r="A6" s="141" t="s">
        <v>787</v>
      </c>
      <c r="B6" s="57"/>
      <c r="C6" s="57"/>
      <c r="D6" s="57"/>
      <c r="E6" s="57"/>
      <c r="F6" s="57"/>
    </row>
    <row r="7" spans="1:6" ht="15.75">
      <c r="A7" s="141" t="str">
        <f>CONCATENATE("maximum expenditures for the various funds for the year ",F1,"; and")</f>
        <v>maximum expenditures for the various funds for the year 2012; and</v>
      </c>
      <c r="B7" s="57"/>
      <c r="C7" s="57"/>
      <c r="D7" s="57"/>
      <c r="E7" s="57"/>
      <c r="F7" s="57"/>
    </row>
    <row r="8" spans="1:6" ht="15.75">
      <c r="A8" s="141" t="str">
        <f>CONCATENATE("(3) the Amounts(s) of ",F1-1," Ad Valorem Tax are within statutory limitations.")</f>
        <v>(3) the Amounts(s) of 2011 Ad Valorem Tax are within statutory limitations.</v>
      </c>
      <c r="B8" s="57"/>
      <c r="C8" s="57"/>
      <c r="D8" s="57"/>
      <c r="E8" s="57"/>
      <c r="F8" s="57"/>
    </row>
    <row r="9" spans="1:6" ht="15.75">
      <c r="A9" s="48"/>
      <c r="B9" s="48"/>
      <c r="C9" s="48"/>
      <c r="D9" s="142" t="str">
        <f>CONCATENATE("",F1," Adopted Budget")</f>
        <v>2012 Adopted Budget</v>
      </c>
      <c r="E9" s="143"/>
      <c r="F9" s="144"/>
    </row>
    <row r="10" spans="1:6" ht="21" customHeight="1">
      <c r="A10" s="48"/>
      <c r="B10" s="48"/>
      <c r="C10" s="145"/>
      <c r="D10" s="146" t="s">
        <v>788</v>
      </c>
      <c r="E10" s="147" t="str">
        <f>CONCATENATE("Amount of ",F1-1,"")</f>
        <v>Amount of 2011</v>
      </c>
      <c r="F10" s="147" t="s">
        <v>789</v>
      </c>
    </row>
    <row r="11" spans="1:6" ht="15.75">
      <c r="A11" s="53"/>
      <c r="B11" s="48"/>
      <c r="C11" s="147" t="s">
        <v>790</v>
      </c>
      <c r="D11" s="452" t="s">
        <v>45</v>
      </c>
      <c r="E11" s="149" t="s">
        <v>991</v>
      </c>
      <c r="F11" s="148" t="s">
        <v>791</v>
      </c>
    </row>
    <row r="12" spans="1:6" ht="15.75">
      <c r="A12" s="150" t="s">
        <v>792</v>
      </c>
      <c r="B12" s="72"/>
      <c r="C12" s="151" t="s">
        <v>793</v>
      </c>
      <c r="D12" s="453" t="s">
        <v>669</v>
      </c>
      <c r="E12" s="152" t="s">
        <v>992</v>
      </c>
      <c r="F12" s="151" t="s">
        <v>794</v>
      </c>
    </row>
    <row r="13" spans="1:6" ht="15.75">
      <c r="A13" s="153" t="str">
        <f>CONCATENATE("Computation to Determine Limit for ",F1,"")</f>
        <v>Computation to Determine Limit for 2012</v>
      </c>
      <c r="B13" s="94"/>
      <c r="C13" s="154">
        <v>2</v>
      </c>
      <c r="D13" s="155"/>
      <c r="E13" s="155"/>
      <c r="F13" s="155"/>
    </row>
    <row r="14" spans="1:6" ht="15.75">
      <c r="A14" s="153" t="s">
        <v>42</v>
      </c>
      <c r="B14" s="72"/>
      <c r="C14" s="151">
        <v>3</v>
      </c>
      <c r="D14" s="148"/>
      <c r="E14" s="148"/>
      <c r="F14" s="148"/>
    </row>
    <row r="15" spans="1:6" ht="15.75">
      <c r="A15" s="153" t="s">
        <v>937</v>
      </c>
      <c r="B15" s="72"/>
      <c r="C15" s="151">
        <v>4</v>
      </c>
      <c r="D15" s="148"/>
      <c r="E15" s="148"/>
      <c r="F15" s="148"/>
    </row>
    <row r="16" spans="1:6" ht="15.75">
      <c r="A16" s="153" t="s">
        <v>795</v>
      </c>
      <c r="B16" s="94"/>
      <c r="C16" s="154">
        <v>5</v>
      </c>
      <c r="D16" s="156"/>
      <c r="E16" s="156"/>
      <c r="F16" s="156"/>
    </row>
    <row r="17" spans="1:6" ht="15.75">
      <c r="A17" s="153" t="s">
        <v>796</v>
      </c>
      <c r="B17" s="94"/>
      <c r="C17" s="154">
        <v>6</v>
      </c>
      <c r="D17" s="156"/>
      <c r="E17" s="156"/>
      <c r="F17" s="156"/>
    </row>
    <row r="18" spans="1:6" ht="15.75">
      <c r="A18" s="157" t="s">
        <v>797</v>
      </c>
      <c r="B18" s="158" t="s">
        <v>798</v>
      </c>
      <c r="C18" s="159"/>
      <c r="D18" s="160"/>
      <c r="E18" s="160"/>
      <c r="F18" s="160"/>
    </row>
    <row r="19" spans="1:6" ht="15.75">
      <c r="A19" s="65" t="s">
        <v>781</v>
      </c>
      <c r="B19" s="161" t="str">
        <f>IF(inputPrYr!C17&gt;0,(inputPrYr!C17),"  ")</f>
        <v>12-101a</v>
      </c>
      <c r="C19" s="154">
        <v>7</v>
      </c>
      <c r="D19" s="244">
        <f>IF(general!$E$101&lt;&gt;0,general!$E$101,"  ")</f>
        <v>3964319</v>
      </c>
      <c r="E19" s="603">
        <f>IF(general!$E$108&lt;&gt;0,general!$E$108,0)</f>
        <v>1161648</v>
      </c>
      <c r="F19" s="546">
        <f>IF($F$39=0,"",ROUND(E19/$F$39*1000,3))</f>
        <v>25.009</v>
      </c>
    </row>
    <row r="20" spans="1:6" ht="15.75">
      <c r="A20" s="65" t="s">
        <v>82</v>
      </c>
      <c r="B20" s="161" t="str">
        <f>IF(inputPrYr!C18&gt;0,(inputPrYr!C18),"  ")</f>
        <v>10-113</v>
      </c>
      <c r="C20" s="154">
        <f>IF('DebtSvs-levy page 8'!C85&gt;0,'DebtSvs-levy page 8'!C85,"  ")</f>
        <v>8</v>
      </c>
      <c r="D20" s="244">
        <f>IF('DebtSvs-levy page 8'!E39&lt;&gt;0,'DebtSvs-levy page 8'!E39,"  ")</f>
        <v>2129781</v>
      </c>
      <c r="E20" s="603">
        <f>IF('DebtSvs-levy page 8'!$E$46&lt;&gt;0,'DebtSvs-levy page 8'!$E$46,0)</f>
        <v>220586</v>
      </c>
      <c r="F20" s="546">
        <f>IF($F$39=0,"",ROUND(E20/$F$39*1000,3))</f>
        <v>4.749</v>
      </c>
    </row>
    <row r="21" spans="1:9" ht="15.75">
      <c r="A21" s="88" t="str">
        <f>IF(inputPrYr!$B20&gt;"  ",(inputPrYr!$B20),"  ")</f>
        <v>Library - Fund 02</v>
      </c>
      <c r="B21" s="161" t="str">
        <f>IF(inputPrYr!C20&gt;0,(inputPrYr!C20),"  ")</f>
        <v>12-1220</v>
      </c>
      <c r="C21" s="154">
        <f>IF('DebtSvs-levy page 8'!C85&gt;0,'DebtSvs-levy page 8'!C85,"  ")</f>
        <v>8</v>
      </c>
      <c r="D21" s="244">
        <f>IF('DebtSvs-levy page 8'!E77&lt;&gt;0,'DebtSvs-levy page 8'!E77,"  ")</f>
        <v>287288</v>
      </c>
      <c r="E21" s="603">
        <f>IF('DebtSvs-levy page 8'!$E$84&lt;&gt;0,'DebtSvs-levy page 8'!$E$84,0)</f>
        <v>219619</v>
      </c>
      <c r="F21" s="546">
        <f>IF($F$39=0,"",ROUND(E21/$F$39*1000,3))</f>
        <v>4.728</v>
      </c>
      <c r="H21" s="581"/>
      <c r="I21" s="581"/>
    </row>
    <row r="22" spans="1:9" ht="15.75">
      <c r="A22" s="88" t="str">
        <f>IF(inputPrYr!$B21&gt;"  ",(inputPrYr!$B21),"  ")</f>
        <v>Employee Benefits - Fund 05</v>
      </c>
      <c r="B22" s="161" t="str">
        <f>IF(inputPrYr!C21&gt;0,(inputPrYr!C21),"  ")</f>
        <v>12-16,102</v>
      </c>
      <c r="C22" s="154">
        <f>IF('levy page9'!C61&gt;0,'levy page9'!C61,"  ")</f>
        <v>9</v>
      </c>
      <c r="D22" s="244">
        <f>IF('levy page9'!$E$51&gt;0,'levy page9'!$E$51,"  ")</f>
        <v>1403785</v>
      </c>
      <c r="E22" s="603">
        <f>IF('levy page9'!$E$58&lt;&gt;0,'levy page9'!$E$58,0)</f>
        <v>316919</v>
      </c>
      <c r="F22" s="546">
        <f>IF($F$39=0,"",ROUND(E22/$F$39*1000,3))</f>
        <v>6.823</v>
      </c>
      <c r="H22" s="581"/>
      <c r="I22" s="581"/>
    </row>
    <row r="23" spans="1:6" ht="15.75">
      <c r="A23" s="162" t="str">
        <f>IF(inputPrYr!$B34&gt;"  ",(inputPrYr!$B34),"  ")</f>
        <v>Special Highway - Fund 17</v>
      </c>
      <c r="B23" s="163"/>
      <c r="C23" s="164">
        <f>IF('Sp Hiway'!C62&gt;0,'Sp Hiway'!C62,"  ")</f>
        <v>10</v>
      </c>
      <c r="D23" s="244">
        <f>IF('Sp Hiway'!$E$25&gt;0,'Sp Hiway'!$E$25,"  ")</f>
        <v>191582</v>
      </c>
      <c r="E23" s="244"/>
      <c r="F23" s="159"/>
    </row>
    <row r="24" spans="1:6" ht="15.75">
      <c r="A24" s="162" t="str">
        <f>IF(inputPrYr!$B35&gt;"  ",(inputPrYr!$B35),"  ")</f>
        <v>Sewer Service - Fund 04</v>
      </c>
      <c r="B24" s="163"/>
      <c r="C24" s="164">
        <f>IF('Sp Hiway'!C62&gt;0,'Sp Hiway'!C62,"  ")</f>
        <v>10</v>
      </c>
      <c r="D24" s="244">
        <f>IF('Sp Hiway'!$E$56&gt;0,'Sp Hiway'!$E$56,"  ")</f>
        <v>801217</v>
      </c>
      <c r="E24" s="244"/>
      <c r="F24" s="159"/>
    </row>
    <row r="25" spans="1:6" ht="15.75">
      <c r="A25" s="162" t="str">
        <f>IF(inputPrYr!$B36&gt;"  ",(inputPrYr!$B36),"  ")</f>
        <v>Aquatics Center - Fund 07</v>
      </c>
      <c r="B25" s="165"/>
      <c r="C25" s="164">
        <f>IF('no levy page15'!C77&gt;0,'no levy page15'!C77,"  ")</f>
        <v>11</v>
      </c>
      <c r="D25" s="244">
        <f>IF('no levy page15'!$E$33&gt;0,'no levy page15'!$E$33,"  ")</f>
        <v>384840</v>
      </c>
      <c r="E25" s="244"/>
      <c r="F25" s="159"/>
    </row>
    <row r="26" spans="1:6" ht="15.75">
      <c r="A26" s="162" t="str">
        <f>IF(inputPrYr!$B37&gt;"  ",(inputPrYr!$B37),"  ")</f>
        <v>Community Center - Fund 08</v>
      </c>
      <c r="B26" s="163"/>
      <c r="C26" s="164">
        <f>IF('no levy page15'!C77&gt;0,'no levy page15'!C77,"  ")</f>
        <v>11</v>
      </c>
      <c r="D26" s="244">
        <f>IF('no levy page15'!$E$71&gt;0,'no levy page15'!$E$71,"  ")</f>
        <v>160071</v>
      </c>
      <c r="E26" s="244"/>
      <c r="F26" s="159"/>
    </row>
    <row r="27" spans="1:6" ht="15.75">
      <c r="A27" s="162" t="str">
        <f>IF(inputPrYr!$B38&gt;"  ",(inputPrYr!$B38),"  ")</f>
        <v>Water Utility - Fund 09</v>
      </c>
      <c r="B27" s="165"/>
      <c r="C27" s="164">
        <f>IF('no levy page16'!C60&gt;0,'no levy page16'!C60,"  ")</f>
        <v>12</v>
      </c>
      <c r="D27" s="244">
        <f>IF('no levy page16'!$E$33&gt;0,'no levy page16'!$E$33,"  ")</f>
        <v>2261886</v>
      </c>
      <c r="E27" s="244"/>
      <c r="F27" s="159"/>
    </row>
    <row r="28" spans="1:6" ht="15.75">
      <c r="A28" s="162" t="str">
        <f>IF(inputPrYr!$B39&gt;"  ",(inputPrYr!$B39),"  ")</f>
        <v>Sewer Reserve - Fund 11</v>
      </c>
      <c r="B28" s="166"/>
      <c r="C28" s="164">
        <f>IF('no levy page16'!C60&gt;0,'no levy page16'!C60,"  ")</f>
        <v>12</v>
      </c>
      <c r="D28" s="244">
        <f>IF('no levy page16'!$E$54&gt;0,'no levy page16'!$E$54,"  ")</f>
        <v>152671</v>
      </c>
      <c r="E28" s="244"/>
      <c r="F28" s="159"/>
    </row>
    <row r="29" spans="1:6" ht="15.75">
      <c r="A29" s="162" t="str">
        <f>IF(inputPrYr!$B40&gt;"  ",(inputPrYr!$B40),"  ")</f>
        <v>Stormwater - Fund 12</v>
      </c>
      <c r="B29" s="166"/>
      <c r="C29" s="164">
        <f>IF('no levy page17'!C60&gt;0,'no levy page17'!C60,"  ")</f>
        <v>13</v>
      </c>
      <c r="D29" s="244">
        <f>IF('no levy page17'!$E$25&gt;0,'no levy page17'!$E$25,"  ")</f>
        <v>262778</v>
      </c>
      <c r="E29" s="244"/>
      <c r="F29" s="159"/>
    </row>
    <row r="30" spans="1:6" ht="15.75">
      <c r="A30" s="162" t="str">
        <f>IF(inputPrYr!$B41&gt;"  ",(inputPrYr!$B41),"  ")</f>
        <v>Health &amp; Sanitation - Fund 13</v>
      </c>
      <c r="B30" s="166"/>
      <c r="C30" s="164">
        <f>IF('no levy page17'!C60&gt;0,'no levy page17'!C60,"  ")</f>
        <v>13</v>
      </c>
      <c r="D30" s="244">
        <f>IF('no levy page17'!$E$54&gt;0,'no levy page17'!$E$54,"  ")</f>
        <v>343023</v>
      </c>
      <c r="E30" s="244"/>
      <c r="F30" s="159"/>
    </row>
    <row r="31" spans="1:6" ht="15.75">
      <c r="A31" s="162" t="str">
        <f>IF(inputPrYr!$B42&gt;"  ",(inputPrYr!$B42),"  ")</f>
        <v>Special Parks &amp; Rec - Fund 14</v>
      </c>
      <c r="B31" s="163"/>
      <c r="C31" s="164">
        <f>IF('no levy page18'!C53&gt;0,'no levy page18'!C53,"  ")</f>
        <v>14</v>
      </c>
      <c r="D31" s="244">
        <f>IF('no levy page18'!$E$22&gt;0,'no levy page18'!$E$22,"  ")</f>
        <v>28581</v>
      </c>
      <c r="E31" s="244"/>
      <c r="F31" s="159"/>
    </row>
    <row r="32" spans="1:6" ht="15.75">
      <c r="A32" s="162" t="str">
        <f>IF(inputPrYr!$B43&gt;"  ",(inputPrYr!$B43),"  ")</f>
        <v>Water Treatment Plant - Fund 15</v>
      </c>
      <c r="B32" s="163"/>
      <c r="C32" s="164">
        <f>IF('no levy page18'!C53&gt;0,'no levy page18'!C53,"  ")</f>
        <v>14</v>
      </c>
      <c r="D32" s="244">
        <f>IF('no levy page18'!$E$47&gt;0,'no levy page18'!$E$47,"  ")</f>
        <v>267954</v>
      </c>
      <c r="E32" s="244"/>
      <c r="F32" s="159"/>
    </row>
    <row r="33" spans="1:6" ht="15.75">
      <c r="A33" s="162" t="str">
        <f>IF(inputPrYr!$B44&gt;"  ",(inputPrYr!$B44),"  ")</f>
        <v>Waste Water TP - Fund 16 </v>
      </c>
      <c r="B33" s="163"/>
      <c r="C33" s="164">
        <f>IF('no levy page19'!C60&gt;0,'no levy page19'!C60,"  ")</f>
        <v>15</v>
      </c>
      <c r="D33" s="244">
        <f>IF('no levy page19'!$E$29&gt;0,'no levy page19'!$E$29,"  ")</f>
        <v>1035830</v>
      </c>
      <c r="E33" s="244"/>
      <c r="F33" s="159"/>
    </row>
    <row r="34" spans="1:6" ht="15.75">
      <c r="A34" s="162" t="s">
        <v>758</v>
      </c>
      <c r="B34" s="163"/>
      <c r="C34" s="164">
        <v>15</v>
      </c>
      <c r="D34" s="244">
        <f>IF('no levy page19'!$E$54&gt;0,'no levy page19'!$E$54,"  ")</f>
        <v>81686</v>
      </c>
      <c r="E34" s="244"/>
      <c r="F34" s="159"/>
    </row>
    <row r="35" spans="1:6" ht="15.75">
      <c r="A35" s="162" t="str">
        <f>IF(inputPrYr!$B57&gt;"  ",(NonBudA!$A3),"  ")</f>
        <v>Non-Budgeted Funds-A</v>
      </c>
      <c r="B35" s="166"/>
      <c r="C35" s="164">
        <f>IF(NonBudA!F33&gt;0,NonBudA!F33,"  ")</f>
        <v>16</v>
      </c>
      <c r="D35" s="244"/>
      <c r="E35" s="244"/>
      <c r="F35" s="159"/>
    </row>
    <row r="36" spans="1:6" ht="15.75">
      <c r="A36" s="162" t="str">
        <f>IF(inputPrYr!$B63&gt;"  ",(NonBudB!$A3),"  ")</f>
        <v>Non-Budgeted Funds-B</v>
      </c>
      <c r="B36" s="166"/>
      <c r="C36" s="164">
        <f>IF(NonBudB!F33&gt;0,NonBudB!F33,"  ")</f>
        <v>17</v>
      </c>
      <c r="D36" s="244"/>
      <c r="E36" s="244"/>
      <c r="F36" s="159"/>
    </row>
    <row r="37" spans="1:6" ht="15.75">
      <c r="A37" s="421" t="s">
        <v>126</v>
      </c>
      <c r="B37" s="94"/>
      <c r="C37" s="262" t="s">
        <v>800</v>
      </c>
      <c r="D37" s="550">
        <f>SUM(D19:D36)</f>
        <v>13757292</v>
      </c>
      <c r="E37" s="550">
        <f>SUM(E19:E36)</f>
        <v>1918772</v>
      </c>
      <c r="F37" s="551">
        <f>IF(SUM(F19:F36)=0,"",SUM(F19:F36))</f>
        <v>41.309</v>
      </c>
    </row>
    <row r="38" spans="1:6" ht="15.75">
      <c r="A38" s="167" t="s">
        <v>1049</v>
      </c>
      <c r="B38" s="168"/>
      <c r="C38" s="169"/>
      <c r="D38" s="170"/>
      <c r="E38" s="171" t="str">
        <f>IF(E37&gt;computation!J40,"Yes","No")</f>
        <v>No</v>
      </c>
      <c r="F38" s="451" t="s">
        <v>941</v>
      </c>
    </row>
    <row r="39" spans="1:6" ht="15.75">
      <c r="A39" s="153" t="s">
        <v>1048</v>
      </c>
      <c r="B39" s="94"/>
      <c r="C39" s="154">
        <f>summ!D51</f>
        <v>18</v>
      </c>
      <c r="D39" s="48"/>
      <c r="E39" s="48"/>
      <c r="F39" s="552">
        <v>46449708</v>
      </c>
    </row>
    <row r="40" spans="1:6" ht="15.75">
      <c r="A40" s="153" t="s">
        <v>48</v>
      </c>
      <c r="B40" s="94"/>
      <c r="C40" s="154">
        <f>IF(nhood!C39&gt;0,nhood!C39,"")</f>
        <v>19</v>
      </c>
      <c r="D40" s="48"/>
      <c r="E40" s="48"/>
      <c r="F40" s="693" t="str">
        <f>CONCATENATE("Nov 1, ",F1-1," Total Assessed Valuation")</f>
        <v>Nov 1, 2011 Total Assessed Valuation</v>
      </c>
    </row>
    <row r="41" spans="1:6" ht="15.75">
      <c r="A41" s="77"/>
      <c r="B41" s="77"/>
      <c r="C41" s="77"/>
      <c r="D41" s="77"/>
      <c r="E41" s="77"/>
      <c r="F41" s="694"/>
    </row>
    <row r="42" spans="1:6" ht="15.75">
      <c r="A42" s="76" t="s">
        <v>801</v>
      </c>
      <c r="B42" s="77"/>
      <c r="C42" s="48"/>
      <c r="D42" s="294"/>
      <c r="E42" s="77"/>
      <c r="F42" s="77"/>
    </row>
    <row r="43" spans="1:6" ht="15.75">
      <c r="A43" s="356"/>
      <c r="B43" s="77"/>
      <c r="C43" s="48"/>
      <c r="D43" s="294"/>
      <c r="E43" s="77"/>
      <c r="F43" s="77"/>
    </row>
    <row r="44" spans="1:6" ht="15.75">
      <c r="A44" s="634" t="s">
        <v>208</v>
      </c>
      <c r="B44" s="48"/>
      <c r="C44" s="691" t="s">
        <v>211</v>
      </c>
      <c r="D44" s="691"/>
      <c r="E44" s="714"/>
      <c r="F44" s="714"/>
    </row>
    <row r="45" spans="1:6" ht="15.75">
      <c r="A45" s="76" t="s">
        <v>957</v>
      </c>
      <c r="B45" s="77"/>
      <c r="C45" s="48"/>
      <c r="D45" s="294"/>
      <c r="E45" s="294"/>
      <c r="F45" s="294"/>
    </row>
    <row r="46" spans="1:6" ht="15.75">
      <c r="A46" s="635" t="s">
        <v>209</v>
      </c>
      <c r="B46" s="172"/>
      <c r="C46" s="691" t="s">
        <v>212</v>
      </c>
      <c r="D46" s="691"/>
      <c r="E46" s="714"/>
      <c r="F46" s="714"/>
    </row>
    <row r="47" spans="1:6" ht="15.75">
      <c r="A47" s="634" t="s">
        <v>210</v>
      </c>
      <c r="B47" s="172"/>
      <c r="C47" s="72"/>
      <c r="D47" s="72"/>
      <c r="E47" s="173"/>
      <c r="F47" s="173"/>
    </row>
    <row r="48" spans="1:6" ht="15.75">
      <c r="A48" s="357"/>
      <c r="B48" s="174"/>
      <c r="C48" s="691" t="s">
        <v>213</v>
      </c>
      <c r="D48" s="691"/>
      <c r="E48" s="714"/>
      <c r="F48" s="714"/>
    </row>
    <row r="49" spans="1:6" ht="15.75">
      <c r="A49" s="582" t="s">
        <v>37</v>
      </c>
      <c r="B49" s="175">
        <f>F1-1</f>
        <v>2011</v>
      </c>
      <c r="C49" s="72"/>
      <c r="D49" s="72"/>
      <c r="E49" s="173"/>
      <c r="F49" s="173"/>
    </row>
    <row r="50" spans="1:6" ht="15.75">
      <c r="A50" s="294"/>
      <c r="B50" s="175"/>
      <c r="C50" s="691" t="s">
        <v>214</v>
      </c>
      <c r="D50" s="691"/>
      <c r="E50" s="714"/>
      <c r="F50" s="714"/>
    </row>
    <row r="51" spans="1:6" ht="15.75">
      <c r="A51" s="583"/>
      <c r="B51" s="48"/>
      <c r="C51" s="72"/>
      <c r="D51" s="72"/>
      <c r="E51" s="72"/>
      <c r="F51" s="72"/>
    </row>
    <row r="52" spans="1:6" ht="15.75">
      <c r="A52" s="140" t="s">
        <v>803</v>
      </c>
      <c r="B52" s="48"/>
      <c r="C52" s="691" t="s">
        <v>215</v>
      </c>
      <c r="D52" s="691"/>
      <c r="E52" s="714"/>
      <c r="F52" s="714"/>
    </row>
    <row r="53" spans="1:6" ht="15.75">
      <c r="A53" s="107"/>
      <c r="B53" s="48"/>
      <c r="C53" s="699" t="s">
        <v>802</v>
      </c>
      <c r="D53" s="692"/>
      <c r="E53" s="692"/>
      <c r="F53" s="692"/>
    </row>
    <row r="54" ht="15.75">
      <c r="A54" s="33"/>
    </row>
    <row r="64" spans="1:6" ht="15">
      <c r="A64" s="107"/>
      <c r="B64" s="107"/>
      <c r="C64" s="107"/>
      <c r="D64" s="107"/>
      <c r="E64" s="107"/>
      <c r="F64" s="107"/>
    </row>
    <row r="65" spans="1:6" ht="15">
      <c r="A65" s="107"/>
      <c r="B65" s="107"/>
      <c r="C65" s="107"/>
      <c r="D65" s="107"/>
      <c r="E65" s="107"/>
      <c r="F65" s="107"/>
    </row>
    <row r="66" spans="1:6" ht="15">
      <c r="A66" s="107"/>
      <c r="B66" s="107"/>
      <c r="C66" s="107"/>
      <c r="D66" s="107"/>
      <c r="E66" s="107"/>
      <c r="F66" s="107"/>
    </row>
    <row r="67" spans="1:6" ht="15">
      <c r="A67" s="107"/>
      <c r="B67" s="107"/>
      <c r="C67" s="107"/>
      <c r="D67" s="107"/>
      <c r="E67" s="107"/>
      <c r="F67" s="107"/>
    </row>
    <row r="68" spans="1:6" ht="15">
      <c r="A68" s="107"/>
      <c r="B68" s="107"/>
      <c r="C68" s="107"/>
      <c r="D68" s="107"/>
      <c r="E68" s="107"/>
      <c r="F68" s="107"/>
    </row>
    <row r="69" spans="1:6" ht="15">
      <c r="A69" s="107"/>
      <c r="B69" s="107"/>
      <c r="C69" s="107"/>
      <c r="D69" s="107"/>
      <c r="E69" s="107"/>
      <c r="F69" s="107"/>
    </row>
    <row r="70" spans="1:6" ht="15">
      <c r="A70" s="107"/>
      <c r="B70" s="107"/>
      <c r="C70" s="107"/>
      <c r="D70" s="107"/>
      <c r="E70" s="107"/>
      <c r="F70" s="107"/>
    </row>
    <row r="71" spans="1:6" ht="15">
      <c r="A71" s="107"/>
      <c r="B71" s="107"/>
      <c r="C71" s="107"/>
      <c r="D71" s="107"/>
      <c r="E71" s="107"/>
      <c r="F71" s="107"/>
    </row>
    <row r="72" spans="1:6" ht="15">
      <c r="A72" s="107"/>
      <c r="B72" s="107"/>
      <c r="C72" s="107"/>
      <c r="D72" s="107"/>
      <c r="E72" s="107"/>
      <c r="F72" s="107"/>
    </row>
    <row r="73" spans="1:6" ht="15">
      <c r="A73" s="107"/>
      <c r="B73" s="107"/>
      <c r="C73" s="107"/>
      <c r="D73" s="107"/>
      <c r="E73" s="107"/>
      <c r="F73" s="107"/>
    </row>
    <row r="74" spans="1:6" ht="15">
      <c r="A74" s="107"/>
      <c r="B74" s="107"/>
      <c r="C74" s="107"/>
      <c r="D74" s="107"/>
      <c r="E74" s="107"/>
      <c r="F74" s="107"/>
    </row>
    <row r="75" spans="1:6" ht="15">
      <c r="A75" s="107"/>
      <c r="B75" s="107"/>
      <c r="C75" s="107"/>
      <c r="D75" s="107"/>
      <c r="E75" s="107"/>
      <c r="F75" s="107"/>
    </row>
    <row r="76" spans="1:6" ht="15">
      <c r="A76" s="107"/>
      <c r="B76" s="107"/>
      <c r="C76" s="107"/>
      <c r="D76" s="107"/>
      <c r="E76" s="107"/>
      <c r="F76" s="107"/>
    </row>
    <row r="77" spans="1:6" ht="15">
      <c r="A77" s="107"/>
      <c r="B77" s="107"/>
      <c r="C77" s="107"/>
      <c r="D77" s="107"/>
      <c r="E77" s="107"/>
      <c r="F77" s="107"/>
    </row>
    <row r="78" spans="1:6" ht="15">
      <c r="A78" s="107"/>
      <c r="B78" s="107"/>
      <c r="C78" s="107"/>
      <c r="D78" s="107"/>
      <c r="E78" s="107"/>
      <c r="F78" s="107"/>
    </row>
    <row r="79" spans="1:6" ht="15">
      <c r="A79" s="107"/>
      <c r="B79" s="107"/>
      <c r="C79" s="107"/>
      <c r="D79" s="107"/>
      <c r="E79" s="107"/>
      <c r="F79" s="107"/>
    </row>
    <row r="82" spans="1:6" ht="15.75">
      <c r="A82" s="33"/>
      <c r="B82" s="33"/>
      <c r="C82" s="33"/>
      <c r="D82" s="33"/>
      <c r="E82" s="33"/>
      <c r="F82" s="33"/>
    </row>
  </sheetData>
  <sheetProtection/>
  <mergeCells count="9">
    <mergeCell ref="A4:F4"/>
    <mergeCell ref="A2:F2"/>
    <mergeCell ref="C53:F53"/>
    <mergeCell ref="F40:F41"/>
    <mergeCell ref="C44:F44"/>
    <mergeCell ref="C46:F46"/>
    <mergeCell ref="C48:F48"/>
    <mergeCell ref="C50:F50"/>
    <mergeCell ref="C52:F52"/>
  </mergeCells>
  <printOptions horizontalCentered="1"/>
  <pageMargins left="0.5" right="0.5" top="0.87" bottom="0.5" header="0.39" footer="0.25"/>
  <pageSetup blackAndWhite="1" fitToHeight="1" fitToWidth="1" horizontalDpi="120" verticalDpi="120" orientation="portrait" scale="92"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8" sqref="J38"/>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Paola</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716" t="str">
        <f>CONCATENATE("Computation to Determine Limit for ",J1,"")</f>
        <v>Computation to Determine Limit for 2012</v>
      </c>
      <c r="B3" s="717"/>
      <c r="C3" s="717"/>
      <c r="D3" s="717"/>
      <c r="E3" s="717"/>
      <c r="F3" s="717"/>
      <c r="G3" s="717"/>
      <c r="H3" s="717"/>
      <c r="I3" s="717"/>
      <c r="J3" s="717"/>
    </row>
    <row r="4" spans="1:10" ht="15.75">
      <c r="A4" s="177"/>
      <c r="B4" s="177"/>
      <c r="C4" s="177"/>
      <c r="D4" s="177"/>
      <c r="E4" s="717"/>
      <c r="F4" s="717"/>
      <c r="G4" s="717"/>
      <c r="H4" s="179"/>
      <c r="I4" s="177"/>
      <c r="J4" s="180" t="s">
        <v>886</v>
      </c>
    </row>
    <row r="5" spans="1:10" ht="15.75">
      <c r="A5" s="181" t="s">
        <v>887</v>
      </c>
      <c r="B5" s="177" t="str">
        <f>CONCATENATE("Total Tax Levy Amount in ",J1-1," Budget")</f>
        <v>Total Tax Levy Amount in 2011 Budget</v>
      </c>
      <c r="C5" s="177"/>
      <c r="D5" s="177"/>
      <c r="E5" s="182"/>
      <c r="F5" s="182"/>
      <c r="G5" s="182"/>
      <c r="H5" s="183" t="s">
        <v>888</v>
      </c>
      <c r="I5" s="182" t="s">
        <v>889</v>
      </c>
      <c r="J5" s="184">
        <f>inputPrYr!E31</f>
        <v>1905568</v>
      </c>
    </row>
    <row r="6" spans="1:10" ht="15.75">
      <c r="A6" s="181" t="s">
        <v>890</v>
      </c>
      <c r="B6" s="177" t="str">
        <f>CONCATENATE("Debt Service Levy in ",J1-1," Budget")</f>
        <v>Debt Service Levy in 2011 Budget</v>
      </c>
      <c r="C6" s="177"/>
      <c r="D6" s="177"/>
      <c r="E6" s="182"/>
      <c r="F6" s="182"/>
      <c r="G6" s="182"/>
      <c r="H6" s="183" t="s">
        <v>891</v>
      </c>
      <c r="I6" s="182" t="s">
        <v>889</v>
      </c>
      <c r="J6" s="185">
        <f>inputPrYr!E18</f>
        <v>223493</v>
      </c>
    </row>
    <row r="7" spans="1:10" ht="15.75">
      <c r="A7" s="181" t="s">
        <v>917</v>
      </c>
      <c r="B7" s="186" t="s">
        <v>914</v>
      </c>
      <c r="C7" s="177"/>
      <c r="D7" s="177"/>
      <c r="E7" s="182"/>
      <c r="F7" s="182"/>
      <c r="G7" s="182"/>
      <c r="H7" s="182"/>
      <c r="I7" s="182" t="s">
        <v>889</v>
      </c>
      <c r="J7" s="187">
        <f>J5-J6</f>
        <v>1682075</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892</v>
      </c>
      <c r="B11" s="186" t="str">
        <f>CONCATENATE("New Improvements for ",J1-1,":")</f>
        <v>New Improvements for 2011:</v>
      </c>
      <c r="C11" s="177"/>
      <c r="D11" s="177"/>
      <c r="E11" s="183"/>
      <c r="F11" s="183" t="s">
        <v>888</v>
      </c>
      <c r="G11" s="188">
        <f>inputOth!E8</f>
        <v>229933</v>
      </c>
      <c r="H11" s="189"/>
      <c r="I11" s="182"/>
      <c r="J11" s="182"/>
    </row>
    <row r="12" spans="1:10" ht="15.75">
      <c r="A12" s="181"/>
      <c r="B12" s="190"/>
      <c r="C12" s="177"/>
      <c r="D12" s="177"/>
      <c r="E12" s="183"/>
      <c r="F12" s="183"/>
      <c r="G12" s="189"/>
      <c r="H12" s="189"/>
      <c r="I12" s="182"/>
      <c r="J12" s="182"/>
    </row>
    <row r="13" spans="1:10" ht="15.75">
      <c r="A13" s="181" t="s">
        <v>893</v>
      </c>
      <c r="B13" s="186" t="str">
        <f>CONCATENATE("Increase in Personal Property for ",J1-1,":")</f>
        <v>Increase in Personal Property for 2011:</v>
      </c>
      <c r="C13" s="177"/>
      <c r="D13" s="177"/>
      <c r="E13" s="183"/>
      <c r="F13" s="183"/>
      <c r="G13" s="189"/>
      <c r="H13" s="189"/>
      <c r="I13" s="182"/>
      <c r="J13" s="182"/>
    </row>
    <row r="14" spans="1:10" ht="15.75">
      <c r="A14" s="191"/>
      <c r="B14" s="177" t="s">
        <v>894</v>
      </c>
      <c r="C14" s="177" t="str">
        <f>CONCATENATE("Personal Property ",J1-1,"")</f>
        <v>Personal Property 2011</v>
      </c>
      <c r="D14" s="190" t="s">
        <v>888</v>
      </c>
      <c r="E14" s="188">
        <f>inputOth!E9</f>
        <v>1835912</v>
      </c>
      <c r="F14" s="183"/>
      <c r="G14" s="182"/>
      <c r="H14" s="182"/>
      <c r="I14" s="189"/>
      <c r="J14" s="182"/>
    </row>
    <row r="15" spans="1:10" ht="15.75">
      <c r="A15" s="190"/>
      <c r="B15" s="177" t="s">
        <v>895</v>
      </c>
      <c r="C15" s="177" t="str">
        <f>CONCATENATE("Personal Property ",J1-2,"")</f>
        <v>Personal Property 2010</v>
      </c>
      <c r="D15" s="190" t="s">
        <v>891</v>
      </c>
      <c r="E15" s="192">
        <f>inputOth!E15</f>
        <v>1480351</v>
      </c>
      <c r="F15" s="183"/>
      <c r="G15" s="189"/>
      <c r="H15" s="189"/>
      <c r="I15" s="182"/>
      <c r="J15" s="182"/>
    </row>
    <row r="16" spans="1:10" ht="15.75">
      <c r="A16" s="190"/>
      <c r="B16" s="177" t="s">
        <v>896</v>
      </c>
      <c r="C16" s="177" t="s">
        <v>916</v>
      </c>
      <c r="D16" s="177"/>
      <c r="E16" s="182"/>
      <c r="F16" s="182" t="s">
        <v>888</v>
      </c>
      <c r="G16" s="184">
        <f>IF(E14&gt;E15,E14-E15,0)</f>
        <v>355561</v>
      </c>
      <c r="H16" s="189"/>
      <c r="I16" s="182"/>
      <c r="J16" s="182"/>
    </row>
    <row r="17" spans="1:10" ht="15.75">
      <c r="A17" s="190"/>
      <c r="B17" s="190"/>
      <c r="C17" s="177"/>
      <c r="D17" s="177"/>
      <c r="E17" s="182"/>
      <c r="F17" s="182"/>
      <c r="G17" s="189" t="s">
        <v>909</v>
      </c>
      <c r="H17" s="189"/>
      <c r="I17" s="182"/>
      <c r="J17" s="182"/>
    </row>
    <row r="18" spans="1:10" ht="15.75">
      <c r="A18" s="190" t="s">
        <v>897</v>
      </c>
      <c r="B18" s="186" t="str">
        <f>CONCATENATE("Valuation of annexed territory for ",J1-1,"")</f>
        <v>Valuation of annexed territory for 2011</v>
      </c>
      <c r="C18" s="177"/>
      <c r="D18" s="177"/>
      <c r="E18" s="189"/>
      <c r="F18" s="182"/>
      <c r="G18" s="182"/>
      <c r="H18" s="182"/>
      <c r="I18" s="182"/>
      <c r="J18" s="182"/>
    </row>
    <row r="19" spans="1:10" ht="15.75">
      <c r="A19" s="190"/>
      <c r="B19" s="177" t="s">
        <v>898</v>
      </c>
      <c r="C19" s="177" t="s">
        <v>918</v>
      </c>
      <c r="D19" s="190" t="s">
        <v>888</v>
      </c>
      <c r="E19" s="188">
        <f>inputOth!E11</f>
        <v>0</v>
      </c>
      <c r="F19" s="182"/>
      <c r="G19" s="182"/>
      <c r="H19" s="182"/>
      <c r="I19" s="182"/>
      <c r="J19" s="182"/>
    </row>
    <row r="20" spans="1:10" ht="15.75">
      <c r="A20" s="190"/>
      <c r="B20" s="177" t="s">
        <v>899</v>
      </c>
      <c r="C20" s="177" t="s">
        <v>919</v>
      </c>
      <c r="D20" s="190" t="s">
        <v>888</v>
      </c>
      <c r="E20" s="188">
        <f>inputOth!E12</f>
        <v>0</v>
      </c>
      <c r="F20" s="182"/>
      <c r="G20" s="189"/>
      <c r="H20" s="189"/>
      <c r="I20" s="182"/>
      <c r="J20" s="182"/>
    </row>
    <row r="21" spans="1:10" ht="15.75">
      <c r="A21" s="190"/>
      <c r="B21" s="177" t="s">
        <v>900</v>
      </c>
      <c r="C21" s="177" t="s">
        <v>915</v>
      </c>
      <c r="D21" s="190" t="s">
        <v>891</v>
      </c>
      <c r="E21" s="188">
        <f>inputOth!E13</f>
        <v>0</v>
      </c>
      <c r="F21" s="182"/>
      <c r="G21" s="189"/>
      <c r="H21" s="189"/>
      <c r="I21" s="182"/>
      <c r="J21" s="182"/>
    </row>
    <row r="22" spans="1:10" ht="15.75">
      <c r="A22" s="190"/>
      <c r="B22" s="177" t="s">
        <v>901</v>
      </c>
      <c r="C22" s="177" t="s">
        <v>920</v>
      </c>
      <c r="D22" s="190"/>
      <c r="E22" s="189"/>
      <c r="F22" s="182" t="s">
        <v>888</v>
      </c>
      <c r="G22" s="184">
        <f>E19+E20-E21</f>
        <v>0</v>
      </c>
      <c r="H22" s="189"/>
      <c r="I22" s="182"/>
      <c r="J22" s="182"/>
    </row>
    <row r="23" spans="1:10" ht="15.75">
      <c r="A23" s="190"/>
      <c r="B23" s="190"/>
      <c r="C23" s="177"/>
      <c r="D23" s="190"/>
      <c r="E23" s="189"/>
      <c r="F23" s="182"/>
      <c r="G23" s="189"/>
      <c r="H23" s="189"/>
      <c r="I23" s="182"/>
      <c r="J23" s="182"/>
    </row>
    <row r="24" spans="1:10" ht="15.75">
      <c r="A24" s="190" t="s">
        <v>902</v>
      </c>
      <c r="B24" s="186" t="str">
        <f>CONCATENATE("Valuation of Property that has Changed in Use during ",J1-1,"")</f>
        <v>Valuation of Property that has Changed in Use during 2011</v>
      </c>
      <c r="C24" s="177"/>
      <c r="D24" s="177"/>
      <c r="E24" s="182"/>
      <c r="F24" s="182"/>
      <c r="G24" s="98">
        <f>inputOth!E14</f>
        <v>26881</v>
      </c>
      <c r="H24" s="182"/>
      <c r="I24" s="182"/>
      <c r="J24" s="182"/>
    </row>
    <row r="25" spans="1:10" ht="15.75">
      <c r="A25" s="177" t="s">
        <v>788</v>
      </c>
      <c r="B25" s="177"/>
      <c r="C25" s="177"/>
      <c r="D25" s="190"/>
      <c r="E25" s="189"/>
      <c r="F25" s="182"/>
      <c r="G25" s="193"/>
      <c r="H25" s="189"/>
      <c r="I25" s="182"/>
      <c r="J25" s="182"/>
    </row>
    <row r="26" spans="1:10" ht="15.75">
      <c r="A26" s="190" t="s">
        <v>903</v>
      </c>
      <c r="B26" s="186" t="s">
        <v>921</v>
      </c>
      <c r="C26" s="177"/>
      <c r="D26" s="177"/>
      <c r="E26" s="182"/>
      <c r="F26" s="182"/>
      <c r="G26" s="184">
        <f>G11+G16+G22+G24</f>
        <v>612375</v>
      </c>
      <c r="H26" s="189"/>
      <c r="I26" s="182"/>
      <c r="J26" s="182"/>
    </row>
    <row r="27" spans="1:10" ht="15.75">
      <c r="A27" s="190"/>
      <c r="B27" s="190"/>
      <c r="C27" s="186"/>
      <c r="D27" s="177"/>
      <c r="E27" s="182"/>
      <c r="F27" s="182"/>
      <c r="G27" s="189"/>
      <c r="H27" s="189"/>
      <c r="I27" s="182"/>
      <c r="J27" s="182"/>
    </row>
    <row r="28" spans="1:10" ht="15.75">
      <c r="A28" s="190" t="s">
        <v>904</v>
      </c>
      <c r="B28" s="177" t="str">
        <f>CONCATENATE("Total Estimated Valuation July 1,",J1-1,"")</f>
        <v>Total Estimated Valuation July 1,2011</v>
      </c>
      <c r="C28" s="177"/>
      <c r="D28" s="177"/>
      <c r="E28" s="184">
        <f>inputOth!E7</f>
        <v>46543382</v>
      </c>
      <c r="F28" s="182"/>
      <c r="G28" s="182"/>
      <c r="H28" s="182"/>
      <c r="I28" s="183"/>
      <c r="J28" s="182"/>
    </row>
    <row r="29" spans="1:10" ht="15.75">
      <c r="A29" s="190"/>
      <c r="B29" s="190"/>
      <c r="C29" s="177"/>
      <c r="D29" s="177"/>
      <c r="E29" s="189"/>
      <c r="F29" s="182"/>
      <c r="G29" s="182"/>
      <c r="H29" s="182"/>
      <c r="I29" s="183"/>
      <c r="J29" s="182"/>
    </row>
    <row r="30" spans="1:10" ht="15.75">
      <c r="A30" s="190" t="s">
        <v>905</v>
      </c>
      <c r="B30" s="186" t="s">
        <v>922</v>
      </c>
      <c r="C30" s="177"/>
      <c r="D30" s="177"/>
      <c r="E30" s="182"/>
      <c r="F30" s="182"/>
      <c r="G30" s="184">
        <f>E28-G26</f>
        <v>45931007</v>
      </c>
      <c r="H30" s="189"/>
      <c r="I30" s="183"/>
      <c r="J30" s="182"/>
    </row>
    <row r="31" spans="1:10" ht="15.75">
      <c r="A31" s="190"/>
      <c r="B31" s="190"/>
      <c r="C31" s="186"/>
      <c r="D31" s="177"/>
      <c r="E31" s="177"/>
      <c r="F31" s="177"/>
      <c r="G31" s="194"/>
      <c r="H31" s="195"/>
      <c r="I31" s="190"/>
      <c r="J31" s="177"/>
    </row>
    <row r="32" spans="1:10" ht="15.75">
      <c r="A32" s="190" t="s">
        <v>906</v>
      </c>
      <c r="B32" s="177" t="s">
        <v>923</v>
      </c>
      <c r="C32" s="177"/>
      <c r="D32" s="177"/>
      <c r="E32" s="177"/>
      <c r="F32" s="177"/>
      <c r="G32" s="196">
        <f>IF(G30&gt;0,G26/G30,0)</f>
        <v>0.013332496716216129</v>
      </c>
      <c r="H32" s="195"/>
      <c r="I32" s="177"/>
      <c r="J32" s="177"/>
    </row>
    <row r="33" spans="1:10" ht="15.75">
      <c r="A33" s="190"/>
      <c r="B33" s="190"/>
      <c r="C33" s="177"/>
      <c r="D33" s="177"/>
      <c r="E33" s="177"/>
      <c r="F33" s="177"/>
      <c r="G33" s="195"/>
      <c r="H33" s="195"/>
      <c r="I33" s="177"/>
      <c r="J33" s="177"/>
    </row>
    <row r="34" spans="1:10" ht="15.75">
      <c r="A34" s="190" t="s">
        <v>907</v>
      </c>
      <c r="B34" s="177" t="s">
        <v>924</v>
      </c>
      <c r="C34" s="177"/>
      <c r="D34" s="177"/>
      <c r="E34" s="177"/>
      <c r="F34" s="177"/>
      <c r="G34" s="195"/>
      <c r="H34" s="197" t="s">
        <v>888</v>
      </c>
      <c r="I34" s="177" t="s">
        <v>889</v>
      </c>
      <c r="J34" s="184">
        <f>ROUND(G32*J7,0)</f>
        <v>22426</v>
      </c>
    </row>
    <row r="35" spans="1:10" ht="15.75">
      <c r="A35" s="190"/>
      <c r="B35" s="190"/>
      <c r="C35" s="177"/>
      <c r="D35" s="177"/>
      <c r="E35" s="177"/>
      <c r="F35" s="177"/>
      <c r="G35" s="195"/>
      <c r="H35" s="197"/>
      <c r="I35" s="177"/>
      <c r="J35" s="189"/>
    </row>
    <row r="36" spans="1:10" ht="16.5" thickBot="1">
      <c r="A36" s="190" t="s">
        <v>908</v>
      </c>
      <c r="B36" s="186" t="s">
        <v>930</v>
      </c>
      <c r="C36" s="177"/>
      <c r="D36" s="177"/>
      <c r="E36" s="177"/>
      <c r="F36" s="177"/>
      <c r="G36" s="177"/>
      <c r="H36" s="177"/>
      <c r="I36" s="177" t="s">
        <v>889</v>
      </c>
      <c r="J36" s="198">
        <f>J7+J34</f>
        <v>1704501</v>
      </c>
    </row>
    <row r="37" spans="1:10" ht="16.5" thickTop="1">
      <c r="A37" s="177"/>
      <c r="B37" s="177"/>
      <c r="C37" s="177"/>
      <c r="D37" s="177"/>
      <c r="E37" s="177"/>
      <c r="F37" s="177"/>
      <c r="G37" s="177"/>
      <c r="H37" s="177"/>
      <c r="I37" s="177"/>
      <c r="J37" s="177"/>
    </row>
    <row r="38" spans="1:10" ht="15.75">
      <c r="A38" s="190" t="s">
        <v>928</v>
      </c>
      <c r="B38" s="186" t="str">
        <f>CONCATENATE("Debt Service in this ",J1," Budget")</f>
        <v>Debt Service in this 2012 Budget</v>
      </c>
      <c r="C38" s="177"/>
      <c r="D38" s="177"/>
      <c r="E38" s="177"/>
      <c r="F38" s="177"/>
      <c r="G38" s="177"/>
      <c r="H38" s="177"/>
      <c r="I38" s="177"/>
      <c r="J38" s="199">
        <f>'DebtSvs-levy page 8'!E46</f>
        <v>220586</v>
      </c>
    </row>
    <row r="39" spans="1:10" ht="15.75">
      <c r="A39" s="190"/>
      <c r="B39" s="186"/>
      <c r="C39" s="177"/>
      <c r="D39" s="177"/>
      <c r="E39" s="177"/>
      <c r="F39" s="177"/>
      <c r="G39" s="177"/>
      <c r="H39" s="177"/>
      <c r="I39" s="177"/>
      <c r="J39" s="195"/>
    </row>
    <row r="40" spans="1:10" ht="16.5" thickBot="1">
      <c r="A40" s="190" t="s">
        <v>929</v>
      </c>
      <c r="B40" s="186" t="s">
        <v>931</v>
      </c>
      <c r="C40" s="177"/>
      <c r="D40" s="177"/>
      <c r="E40" s="177"/>
      <c r="F40" s="177"/>
      <c r="G40" s="177"/>
      <c r="H40" s="177"/>
      <c r="I40" s="177"/>
      <c r="J40" s="198">
        <f>J36+J38</f>
        <v>1925087</v>
      </c>
    </row>
    <row r="41" spans="1:10" ht="16.5" thickTop="1">
      <c r="A41" s="177"/>
      <c r="B41" s="177"/>
      <c r="C41" s="177"/>
      <c r="D41" s="177"/>
      <c r="E41" s="177"/>
      <c r="F41" s="177"/>
      <c r="G41" s="177"/>
      <c r="H41" s="177"/>
      <c r="I41" s="177"/>
      <c r="J41" s="177"/>
    </row>
    <row r="42" spans="1:10" s="200" customFormat="1" ht="18.75">
      <c r="A42" s="715" t="str">
        <f>CONCATENATE("If the ",J1," budget includes tax levies exceeding the total on line 15, you must")</f>
        <v>If the 2012 budget includes tax levies exceeding the total on line 15, you must</v>
      </c>
      <c r="B42" s="715"/>
      <c r="C42" s="715"/>
      <c r="D42" s="715"/>
      <c r="E42" s="715"/>
      <c r="F42" s="715"/>
      <c r="G42" s="715"/>
      <c r="H42" s="715"/>
      <c r="I42" s="715"/>
      <c r="J42" s="715"/>
    </row>
    <row r="43" spans="1:10" s="200" customFormat="1" ht="18.75">
      <c r="A43" s="715" t="s">
        <v>1008</v>
      </c>
      <c r="B43" s="715"/>
      <c r="C43" s="715"/>
      <c r="D43" s="715"/>
      <c r="E43" s="715"/>
      <c r="F43" s="715"/>
      <c r="G43" s="715"/>
      <c r="H43" s="715"/>
      <c r="I43" s="715"/>
      <c r="J43" s="715"/>
    </row>
    <row r="44" spans="1:10" s="200" customFormat="1" ht="18.75">
      <c r="A44" s="715" t="s">
        <v>1009</v>
      </c>
      <c r="B44" s="715"/>
      <c r="C44" s="715"/>
      <c r="D44" s="715"/>
      <c r="E44" s="715"/>
      <c r="F44" s="715"/>
      <c r="G44" s="715"/>
      <c r="H44" s="715"/>
      <c r="I44" s="715"/>
      <c r="J44" s="715"/>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3">
      <selection activeCell="C19" sqref="C19"/>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Paola</v>
      </c>
      <c r="B1" s="201"/>
      <c r="C1" s="48"/>
      <c r="D1" s="48"/>
      <c r="E1" s="48"/>
      <c r="F1" s="48">
        <f>inputPrYr!C5</f>
        <v>2012</v>
      </c>
    </row>
    <row r="2" spans="1:6" ht="15.75">
      <c r="A2" s="48"/>
      <c r="B2" s="48"/>
      <c r="C2" s="48"/>
      <c r="D2" s="48"/>
      <c r="E2" s="48"/>
      <c r="F2" s="48"/>
    </row>
    <row r="3" spans="1:6" ht="15.75">
      <c r="A3" s="718" t="s">
        <v>43</v>
      </c>
      <c r="B3" s="718"/>
      <c r="C3" s="718"/>
      <c r="D3" s="718"/>
      <c r="E3" s="718"/>
      <c r="F3" s="48"/>
    </row>
    <row r="4" spans="1:6" ht="15.75">
      <c r="A4" s="48"/>
      <c r="B4" s="202"/>
      <c r="C4" s="202"/>
      <c r="D4" s="202"/>
      <c r="E4" s="48"/>
      <c r="F4" s="48"/>
    </row>
    <row r="5" spans="1:6" ht="21" customHeight="1">
      <c r="A5" s="203" t="s">
        <v>1007</v>
      </c>
      <c r="B5" s="204" t="s">
        <v>1006</v>
      </c>
      <c r="C5" s="719" t="str">
        <f>CONCATENATE("Allocation for Year ",F1,"")</f>
        <v>Allocation for Year 2012</v>
      </c>
      <c r="D5" s="720"/>
      <c r="E5" s="720"/>
      <c r="F5" s="721"/>
    </row>
    <row r="6" spans="1:6" ht="15.75">
      <c r="A6" s="205" t="str">
        <f>CONCATENATE("for ",F1-1,"")</f>
        <v>for 2011</v>
      </c>
      <c r="B6" s="205" t="str">
        <f>CONCATENATE("for ",F1-2,"")</f>
        <v>for 2010</v>
      </c>
      <c r="C6" s="151" t="s">
        <v>882</v>
      </c>
      <c r="D6" s="151" t="s">
        <v>883</v>
      </c>
      <c r="E6" s="151" t="s">
        <v>881</v>
      </c>
      <c r="F6" s="159" t="s">
        <v>977</v>
      </c>
    </row>
    <row r="7" spans="1:6" ht="15.75">
      <c r="A7" s="88" t="str">
        <f>(inputPrYr!B17)</f>
        <v>General - Fund 01</v>
      </c>
      <c r="B7" s="154">
        <f>(inputPrYr!E17)</f>
        <v>1150689</v>
      </c>
      <c r="C7" s="154">
        <f>IF(inputPrYr!E17=0,0,C22-SUM(C8:C19))</f>
        <v>109834</v>
      </c>
      <c r="D7" s="154">
        <f>IF(inputPrYr!E17=0,0,D23-SUM(D8:D19))</f>
        <v>1275</v>
      </c>
      <c r="E7" s="154">
        <f>IF(inputPrYr!E17=0,0,E24-SUM(E8:E19))</f>
        <v>544</v>
      </c>
      <c r="F7" s="154">
        <f>IF(inputPrYr!E17=0,0,F25-SUM(F8:F18))</f>
        <v>0</v>
      </c>
    </row>
    <row r="8" spans="1:6" ht="15.75">
      <c r="A8" s="88" t="str">
        <f>IF(inputPrYr!$B18&gt;"  ",(inputPrYr!$B18),"  ")</f>
        <v>Bond &amp; Interest - Fund 06</v>
      </c>
      <c r="B8" s="154">
        <f>IF(inputPrYr!$E18&gt;0,(inputPrYr!$E18),"  ")</f>
        <v>223493</v>
      </c>
      <c r="C8" s="154">
        <f>IF(inputPrYr!E18&gt;0,ROUND(B8*$C$26,0),"  ")</f>
        <v>21333</v>
      </c>
      <c r="D8" s="154">
        <f>IF(inputPrYr!E18&gt;0,ROUND(+B8*D$27,0)," ")</f>
        <v>248</v>
      </c>
      <c r="E8" s="154">
        <f>IF(inputPrYr!E18&gt;0,ROUND(B8*E$28,0)," ")</f>
        <v>106</v>
      </c>
      <c r="F8" s="154">
        <f>IF(inputPrYr!E18&gt;0,ROUND(B8*F$29,0)," ")</f>
        <v>0</v>
      </c>
    </row>
    <row r="9" spans="1:6" ht="15.75">
      <c r="A9" s="88" t="str">
        <f>IF(inputPrYr!$B20&gt;"  ",(inputPrYr!$B20),"  ")</f>
        <v>Library - Fund 02</v>
      </c>
      <c r="B9" s="154">
        <f>IF(inputPrYr!$E20&gt;0,(inputPrYr!$E20),"  ")</f>
        <v>217457</v>
      </c>
      <c r="C9" s="154">
        <f>IF(inputPrYr!E20&gt;0,ROUND(B9*$C$26,0),"  ")</f>
        <v>20756</v>
      </c>
      <c r="D9" s="154">
        <f>IF(inputPrYr!E20&gt;0,ROUND(+B9*D$27,0)," ")</f>
        <v>241</v>
      </c>
      <c r="E9" s="154">
        <f>IF(inputPrYr!E20&gt;0,ROUND(+B9*E$28,0)," ")</f>
        <v>103</v>
      </c>
      <c r="F9" s="154">
        <f>IF(inputPrYr!E20&gt;0,ROUND(+B9*F$29,0)," ")</f>
        <v>0</v>
      </c>
    </row>
    <row r="10" spans="1:6" ht="15.75">
      <c r="A10" s="88" t="str">
        <f>IF(inputPrYr!$B21&gt;"  ",(inputPrYr!$B21),"  ")</f>
        <v>Employee Benefits - Fund 05</v>
      </c>
      <c r="B10" s="154">
        <f>IF(inputPrYr!$E21&gt;0,(inputPrYr!$E21),"  ")</f>
        <v>313929</v>
      </c>
      <c r="C10" s="154">
        <f>IF(inputPrYr!E21&gt;0,ROUND(B10*$C$26,0),"  ")</f>
        <v>29965</v>
      </c>
      <c r="D10" s="154">
        <f>IF(inputPrYr!E21&gt;0,ROUND(+B10*D$27,0)," ")</f>
        <v>348</v>
      </c>
      <c r="E10" s="154">
        <f>IF(inputPrYr!E21&gt;0,ROUND(+B10*E$28,0)," ")</f>
        <v>148</v>
      </c>
      <c r="F10" s="154">
        <f>IF(inputPrYr!E21&gt;0,ROUND(+B10*F$29,0)," ")</f>
        <v>0</v>
      </c>
    </row>
    <row r="11" spans="1:6" ht="15.75">
      <c r="A11" s="88" t="str">
        <f>IF(inputPrYr!$B22&gt;"  ",(inputPrYr!$B22),"  ")</f>
        <v>  </v>
      </c>
      <c r="B11" s="154" t="str">
        <f>IF(inputPrYr!$E22&gt;0,(inputPrYr!$E22),"  ")</f>
        <v>  </v>
      </c>
      <c r="C11" s="154" t="str">
        <f>IF(inputPrYr!E22&gt;0,ROUND(B11*$C$26,0),"  ")</f>
        <v>  </v>
      </c>
      <c r="D11" s="154" t="str">
        <f>IF(inputPrYr!E22&gt;0,ROUND(+B11*D$27,0)," ")</f>
        <v> </v>
      </c>
      <c r="E11" s="154" t="str">
        <f>IF(inputPrYr!E22&gt;0,ROUND(+B11*E$28,0)," ")</f>
        <v> </v>
      </c>
      <c r="F11" s="154" t="str">
        <f>IF(inputPrYr!E22&gt;0,ROUND(+B11*F$29,0)," ")</f>
        <v> </v>
      </c>
    </row>
    <row r="12" spans="1:6" ht="15.75">
      <c r="A12" s="88" t="str">
        <f>IF(inputPrYr!$B23&gt;"  ",(inputPrYr!$B23),"  ")</f>
        <v>  </v>
      </c>
      <c r="B12" s="154" t="str">
        <f>IF(inputPrYr!$E23&gt;0,(inputPrYr!$E23),"  ")</f>
        <v>  </v>
      </c>
      <c r="C12" s="154" t="str">
        <f>IF(inputPrYr!E23&gt;0,ROUND(B12*$C$26,0),"  ")</f>
        <v>  </v>
      </c>
      <c r="D12" s="154" t="str">
        <f>IF(inputPrYr!E23&gt;0,ROUND(+B12*D$27,0)," ")</f>
        <v> </v>
      </c>
      <c r="E12" s="154" t="str">
        <f>IF(inputPrYr!E23&gt;0,ROUND(+B12*E$28,0)," ")</f>
        <v> </v>
      </c>
      <c r="F12" s="154" t="str">
        <f>IF(inputPrYr!E23&gt;0,ROUND(+B12*F$29,0)," ")</f>
        <v> </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806</v>
      </c>
      <c r="B20" s="206">
        <f>SUM(B7:B19)</f>
        <v>1905568</v>
      </c>
      <c r="C20" s="206">
        <f>SUM(C7:C19)</f>
        <v>181888</v>
      </c>
      <c r="D20" s="206">
        <f>SUM(D7:D19)</f>
        <v>2112</v>
      </c>
      <c r="E20" s="206">
        <f>SUM(E7:E19)</f>
        <v>901</v>
      </c>
      <c r="F20" s="207">
        <f>SUM(F7:F19)</f>
        <v>0</v>
      </c>
    </row>
    <row r="21" spans="1:6" ht="16.5" thickTop="1">
      <c r="A21" s="48"/>
      <c r="B21" s="78"/>
      <c r="C21" s="78"/>
      <c r="D21" s="78"/>
      <c r="E21" s="78"/>
      <c r="F21" s="48"/>
    </row>
    <row r="22" spans="1:6" ht="15.75">
      <c r="A22" s="53" t="s">
        <v>807</v>
      </c>
      <c r="B22" s="208"/>
      <c r="C22" s="209">
        <f>(inputOth!E39)</f>
        <v>181888</v>
      </c>
      <c r="D22" s="208"/>
      <c r="E22" s="48"/>
      <c r="F22" s="48"/>
    </row>
    <row r="23" spans="1:6" ht="15.75">
      <c r="A23" s="53" t="s">
        <v>808</v>
      </c>
      <c r="B23" s="48"/>
      <c r="C23" s="48"/>
      <c r="D23" s="209">
        <f>(inputOth!E40)</f>
        <v>2112</v>
      </c>
      <c r="E23" s="48"/>
      <c r="F23" s="48"/>
    </row>
    <row r="24" spans="1:6" ht="15.75">
      <c r="A24" s="53" t="s">
        <v>884</v>
      </c>
      <c r="B24" s="48"/>
      <c r="C24" s="48"/>
      <c r="D24" s="48"/>
      <c r="E24" s="209">
        <f>inputOth!E41</f>
        <v>901</v>
      </c>
      <c r="F24" s="48"/>
    </row>
    <row r="25" spans="1:6" ht="15.75">
      <c r="A25" s="53" t="s">
        <v>39</v>
      </c>
      <c r="B25" s="48"/>
      <c r="C25" s="48"/>
      <c r="D25" s="48"/>
      <c r="E25" s="78"/>
      <c r="F25" s="188">
        <f>inputOth!E44</f>
        <v>0</v>
      </c>
    </row>
    <row r="26" spans="1:6" ht="15.75">
      <c r="A26" s="53" t="s">
        <v>809</v>
      </c>
      <c r="B26" s="48"/>
      <c r="C26" s="210">
        <f>IF(B20=0,0,C22/B20)</f>
        <v>0.09545080521923122</v>
      </c>
      <c r="D26" s="48"/>
      <c r="E26" s="48"/>
      <c r="F26" s="48"/>
    </row>
    <row r="27" spans="1:6" ht="15.75">
      <c r="A27" s="48"/>
      <c r="B27" s="53" t="s">
        <v>810</v>
      </c>
      <c r="C27" s="48"/>
      <c r="D27" s="210">
        <f>IF(B20=0,0,D23/B20)</f>
        <v>0.0011083309543401232</v>
      </c>
      <c r="E27" s="48"/>
      <c r="F27" s="48"/>
    </row>
    <row r="28" spans="1:6" ht="15.75">
      <c r="A28" s="48"/>
      <c r="B28" s="48"/>
      <c r="C28" s="53" t="s">
        <v>885</v>
      </c>
      <c r="D28" s="48"/>
      <c r="E28" s="210">
        <f>IF(B20=0,0,E24/B20)</f>
        <v>0.0004728249005021075</v>
      </c>
      <c r="F28" s="48"/>
    </row>
    <row r="29" spans="1:6" ht="15.75">
      <c r="A29" s="48"/>
      <c r="B29" s="48"/>
      <c r="C29" s="48"/>
      <c r="D29" s="48" t="s">
        <v>40</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10">
      <selection activeCell="E10" sqref="E10"/>
    </sheetView>
  </sheetViews>
  <sheetFormatPr defaultColWidth="8.796875" defaultRowHeight="15"/>
  <cols>
    <col min="1" max="1" width="32.796875" style="33" customWidth="1"/>
    <col min="2" max="2" width="31.796875" style="33" customWidth="1"/>
    <col min="3" max="5" width="12.796875" style="33" customWidth="1"/>
    <col min="6" max="6" width="15.796875" style="33" customWidth="1"/>
    <col min="7" max="16384" width="8.8984375" style="33" customWidth="1"/>
  </cols>
  <sheetData>
    <row r="1" spans="1:6" ht="15.75">
      <c r="A1" s="178" t="str">
        <f>inputPrYr!D2</f>
        <v>City of Paola</v>
      </c>
      <c r="B1" s="178"/>
      <c r="C1" s="177"/>
      <c r="D1" s="177"/>
      <c r="E1" s="177"/>
      <c r="F1" s="177">
        <f>inputPrYr!$C$5</f>
        <v>2012</v>
      </c>
    </row>
    <row r="2" spans="1:6" ht="15.75">
      <c r="A2" s="177"/>
      <c r="B2" s="177"/>
      <c r="C2" s="177"/>
      <c r="D2" s="177"/>
      <c r="E2" s="177"/>
      <c r="F2" s="177"/>
    </row>
    <row r="3" spans="1:6" ht="15.75">
      <c r="A3" s="722" t="s">
        <v>937</v>
      </c>
      <c r="B3" s="722"/>
      <c r="C3" s="722"/>
      <c r="D3" s="722"/>
      <c r="E3" s="722"/>
      <c r="F3" s="722"/>
    </row>
    <row r="4" spans="1:6" ht="15.75">
      <c r="A4" s="211"/>
      <c r="B4" s="211"/>
      <c r="C4" s="211"/>
      <c r="D4" s="211"/>
      <c r="E4" s="211"/>
      <c r="F4" s="211"/>
    </row>
    <row r="5" spans="1:6" ht="15.75">
      <c r="A5" s="212" t="s">
        <v>653</v>
      </c>
      <c r="B5" s="212" t="s">
        <v>654</v>
      </c>
      <c r="C5" s="212" t="s">
        <v>831</v>
      </c>
      <c r="D5" s="212" t="s">
        <v>954</v>
      </c>
      <c r="E5" s="212" t="s">
        <v>955</v>
      </c>
      <c r="F5" s="212" t="s">
        <v>998</v>
      </c>
    </row>
    <row r="6" spans="1:6" ht="15.75">
      <c r="A6" s="213" t="s">
        <v>655</v>
      </c>
      <c r="B6" s="213" t="s">
        <v>656</v>
      </c>
      <c r="C6" s="213" t="s">
        <v>999</v>
      </c>
      <c r="D6" s="213" t="s">
        <v>999</v>
      </c>
      <c r="E6" s="213" t="s">
        <v>999</v>
      </c>
      <c r="F6" s="213" t="s">
        <v>1000</v>
      </c>
    </row>
    <row r="7" spans="1:6" ht="15" customHeight="1">
      <c r="A7" s="214" t="s">
        <v>1001</v>
      </c>
      <c r="B7" s="214" t="s">
        <v>1002</v>
      </c>
      <c r="C7" s="215">
        <f>F1-2</f>
        <v>2010</v>
      </c>
      <c r="D7" s="215">
        <f>F1-1</f>
        <v>2011</v>
      </c>
      <c r="E7" s="215">
        <f>F1</f>
        <v>2012</v>
      </c>
      <c r="F7" s="214" t="s">
        <v>1003</v>
      </c>
    </row>
    <row r="8" spans="1:6" ht="14.25" customHeight="1">
      <c r="A8" s="655" t="s">
        <v>710</v>
      </c>
      <c r="B8" s="636" t="s">
        <v>184</v>
      </c>
      <c r="C8" s="216">
        <v>78000</v>
      </c>
      <c r="D8" s="216">
        <v>78000</v>
      </c>
      <c r="E8" s="216">
        <v>78000</v>
      </c>
      <c r="F8" s="637" t="s">
        <v>440</v>
      </c>
    </row>
    <row r="9" spans="1:6" ht="15" customHeight="1">
      <c r="A9" s="655" t="s">
        <v>713</v>
      </c>
      <c r="B9" s="283" t="s">
        <v>176</v>
      </c>
      <c r="C9" s="218">
        <v>50000</v>
      </c>
      <c r="D9" s="218">
        <v>50000</v>
      </c>
      <c r="E9" s="218">
        <v>50000</v>
      </c>
      <c r="F9" s="638" t="s">
        <v>981</v>
      </c>
    </row>
    <row r="10" spans="1:6" ht="15" customHeight="1">
      <c r="A10" s="655" t="s">
        <v>710</v>
      </c>
      <c r="B10" s="283" t="s">
        <v>179</v>
      </c>
      <c r="C10" s="639">
        <v>20167</v>
      </c>
      <c r="D10" s="639">
        <v>22000</v>
      </c>
      <c r="E10" s="639">
        <v>23000</v>
      </c>
      <c r="F10" s="640" t="s">
        <v>180</v>
      </c>
    </row>
    <row r="11" spans="1:6" ht="15" customHeight="1">
      <c r="A11" s="655" t="s">
        <v>711</v>
      </c>
      <c r="B11" s="283" t="s">
        <v>179</v>
      </c>
      <c r="C11" s="639">
        <v>128333</v>
      </c>
      <c r="D11" s="639">
        <v>140000</v>
      </c>
      <c r="E11" s="639">
        <v>134200</v>
      </c>
      <c r="F11" s="640" t="s">
        <v>180</v>
      </c>
    </row>
    <row r="12" spans="1:6" ht="15" customHeight="1">
      <c r="A12" s="655" t="s">
        <v>712</v>
      </c>
      <c r="B12" s="283" t="s">
        <v>179</v>
      </c>
      <c r="C12" s="639">
        <v>5133</v>
      </c>
      <c r="D12" s="639">
        <v>5600</v>
      </c>
      <c r="E12" s="639">
        <v>5400</v>
      </c>
      <c r="F12" s="640" t="s">
        <v>180</v>
      </c>
    </row>
    <row r="13" spans="1:6" ht="15" customHeight="1">
      <c r="A13" s="655" t="s">
        <v>713</v>
      </c>
      <c r="B13" s="283" t="s">
        <v>179</v>
      </c>
      <c r="C13" s="639">
        <v>53167</v>
      </c>
      <c r="D13" s="639">
        <v>58000</v>
      </c>
      <c r="E13" s="639">
        <v>55200</v>
      </c>
      <c r="F13" s="640" t="s">
        <v>180</v>
      </c>
    </row>
    <row r="14" spans="1:6" ht="15" customHeight="1">
      <c r="A14" s="655" t="s">
        <v>714</v>
      </c>
      <c r="B14" s="283" t="s">
        <v>179</v>
      </c>
      <c r="C14" s="639">
        <v>28820</v>
      </c>
      <c r="D14" s="639">
        <v>31440</v>
      </c>
      <c r="E14" s="639">
        <v>33700</v>
      </c>
      <c r="F14" s="640" t="s">
        <v>180</v>
      </c>
    </row>
    <row r="15" spans="1:6" ht="15" customHeight="1">
      <c r="A15" s="655" t="s">
        <v>715</v>
      </c>
      <c r="B15" s="283" t="s">
        <v>179</v>
      </c>
      <c r="C15" s="639">
        <v>4904</v>
      </c>
      <c r="D15" s="639">
        <v>5350</v>
      </c>
      <c r="E15" s="639">
        <v>5950</v>
      </c>
      <c r="F15" s="640" t="s">
        <v>180</v>
      </c>
    </row>
    <row r="16" spans="1:6" ht="15" customHeight="1">
      <c r="A16" s="655" t="s">
        <v>716</v>
      </c>
      <c r="B16" s="283" t="s">
        <v>179</v>
      </c>
      <c r="C16" s="639">
        <v>34192</v>
      </c>
      <c r="D16" s="639">
        <v>37300</v>
      </c>
      <c r="E16" s="639">
        <v>35800</v>
      </c>
      <c r="F16" s="640" t="s">
        <v>180</v>
      </c>
    </row>
    <row r="17" spans="1:6" ht="15" customHeight="1">
      <c r="A17" s="283" t="s">
        <v>441</v>
      </c>
      <c r="B17" s="283" t="s">
        <v>176</v>
      </c>
      <c r="C17" s="218">
        <v>25000</v>
      </c>
      <c r="D17" s="218">
        <v>25000</v>
      </c>
      <c r="E17" s="218">
        <v>25000</v>
      </c>
      <c r="F17" s="638" t="s">
        <v>442</v>
      </c>
    </row>
    <row r="18" spans="1:6" ht="15" customHeight="1">
      <c r="A18" s="283" t="s">
        <v>182</v>
      </c>
      <c r="B18" s="283" t="s">
        <v>189</v>
      </c>
      <c r="C18" s="218">
        <v>7000</v>
      </c>
      <c r="D18" s="218">
        <v>7000</v>
      </c>
      <c r="E18" s="218">
        <v>7000</v>
      </c>
      <c r="F18" s="638" t="s">
        <v>442</v>
      </c>
    </row>
    <row r="19" spans="1:6" ht="15" customHeight="1">
      <c r="A19" s="283" t="s">
        <v>185</v>
      </c>
      <c r="B19" s="283" t="s">
        <v>176</v>
      </c>
      <c r="C19" s="218">
        <v>70000</v>
      </c>
      <c r="D19" s="218">
        <v>50000</v>
      </c>
      <c r="E19" s="218">
        <v>50000</v>
      </c>
      <c r="F19" s="638" t="s">
        <v>442</v>
      </c>
    </row>
    <row r="20" spans="1:6" ht="15" customHeight="1">
      <c r="A20" s="283" t="s">
        <v>177</v>
      </c>
      <c r="B20" s="283" t="s">
        <v>179</v>
      </c>
      <c r="C20" s="218">
        <v>35750</v>
      </c>
      <c r="D20" s="218">
        <v>39000</v>
      </c>
      <c r="E20" s="218">
        <v>39000</v>
      </c>
      <c r="F20" s="640" t="s">
        <v>180</v>
      </c>
    </row>
    <row r="21" spans="1:6" ht="15" customHeight="1">
      <c r="A21" s="283" t="s">
        <v>182</v>
      </c>
      <c r="B21" s="283" t="s">
        <v>179</v>
      </c>
      <c r="C21" s="218">
        <v>107440</v>
      </c>
      <c r="D21" s="218">
        <v>112540</v>
      </c>
      <c r="E21" s="218">
        <v>120000</v>
      </c>
      <c r="F21" s="638" t="s">
        <v>442</v>
      </c>
    </row>
    <row r="22" spans="1:6" ht="15" customHeight="1">
      <c r="A22" s="283" t="s">
        <v>444</v>
      </c>
      <c r="B22" s="283" t="s">
        <v>176</v>
      </c>
      <c r="C22" s="641">
        <v>318063</v>
      </c>
      <c r="D22" s="641">
        <v>326062</v>
      </c>
      <c r="E22" s="641">
        <v>338463</v>
      </c>
      <c r="F22" s="638" t="s">
        <v>445</v>
      </c>
    </row>
    <row r="23" spans="1:6" ht="15" customHeight="1">
      <c r="A23" s="283" t="s">
        <v>446</v>
      </c>
      <c r="B23" s="283" t="s">
        <v>176</v>
      </c>
      <c r="C23" s="641">
        <v>334225</v>
      </c>
      <c r="D23" s="641">
        <v>331344</v>
      </c>
      <c r="E23" s="641">
        <v>332263</v>
      </c>
      <c r="F23" s="638" t="s">
        <v>445</v>
      </c>
    </row>
    <row r="24" spans="1:6" ht="15" customHeight="1">
      <c r="A24" s="283" t="s">
        <v>447</v>
      </c>
      <c r="B24" s="283" t="s">
        <v>176</v>
      </c>
      <c r="C24" s="641">
        <v>87791</v>
      </c>
      <c r="D24" s="641">
        <v>90922</v>
      </c>
      <c r="E24" s="641">
        <v>88748</v>
      </c>
      <c r="F24" s="638" t="s">
        <v>445</v>
      </c>
    </row>
    <row r="25" spans="1:6" ht="15" customHeight="1">
      <c r="A25" s="283" t="s">
        <v>448</v>
      </c>
      <c r="B25" s="283" t="s">
        <v>176</v>
      </c>
      <c r="C25" s="641">
        <v>0</v>
      </c>
      <c r="D25" s="641">
        <v>0</v>
      </c>
      <c r="E25" s="641">
        <v>140000</v>
      </c>
      <c r="F25" s="638" t="s">
        <v>445</v>
      </c>
    </row>
    <row r="26" spans="1:6" ht="15" customHeight="1">
      <c r="A26" s="283" t="s">
        <v>449</v>
      </c>
      <c r="B26" s="283" t="s">
        <v>176</v>
      </c>
      <c r="C26" s="641">
        <v>0</v>
      </c>
      <c r="D26" s="641">
        <v>0</v>
      </c>
      <c r="E26" s="641">
        <v>230000</v>
      </c>
      <c r="F26" s="638" t="s">
        <v>445</v>
      </c>
    </row>
    <row r="27" spans="1:6" ht="15" customHeight="1">
      <c r="A27" s="283" t="s">
        <v>450</v>
      </c>
      <c r="B27" s="283" t="s">
        <v>179</v>
      </c>
      <c r="C27" s="218">
        <v>39300</v>
      </c>
      <c r="D27" s="218">
        <v>39300</v>
      </c>
      <c r="E27" s="218">
        <v>39300</v>
      </c>
      <c r="F27" s="640" t="s">
        <v>180</v>
      </c>
    </row>
    <row r="28" spans="1:6" ht="15" customHeight="1">
      <c r="A28" s="283" t="s">
        <v>184</v>
      </c>
      <c r="B28" s="283" t="s">
        <v>179</v>
      </c>
      <c r="C28" s="218">
        <v>13500</v>
      </c>
      <c r="D28" s="218">
        <v>15000</v>
      </c>
      <c r="E28" s="218">
        <v>15000</v>
      </c>
      <c r="F28" s="640" t="s">
        <v>180</v>
      </c>
    </row>
    <row r="29" spans="1:6" ht="15" customHeight="1">
      <c r="A29" s="283" t="s">
        <v>185</v>
      </c>
      <c r="B29" s="283" t="s">
        <v>179</v>
      </c>
      <c r="C29" s="218">
        <v>154640</v>
      </c>
      <c r="D29" s="218">
        <v>131640</v>
      </c>
      <c r="E29" s="218">
        <v>138750</v>
      </c>
      <c r="F29" s="638" t="s">
        <v>442</v>
      </c>
    </row>
    <row r="30" spans="1:6" ht="15" customHeight="1">
      <c r="A30" s="283" t="s">
        <v>451</v>
      </c>
      <c r="B30" s="283" t="s">
        <v>179</v>
      </c>
      <c r="C30" s="218">
        <v>0</v>
      </c>
      <c r="D30" s="218">
        <v>0</v>
      </c>
      <c r="E30" s="218">
        <v>5000</v>
      </c>
      <c r="F30" s="638" t="s">
        <v>442</v>
      </c>
    </row>
    <row r="31" spans="1:6" ht="15" customHeight="1">
      <c r="A31" s="283" t="s">
        <v>187</v>
      </c>
      <c r="B31" s="283" t="s">
        <v>179</v>
      </c>
      <c r="C31" s="218">
        <v>5901</v>
      </c>
      <c r="D31" s="218">
        <v>5900</v>
      </c>
      <c r="E31" s="218">
        <v>5000</v>
      </c>
      <c r="F31" s="638" t="s">
        <v>442</v>
      </c>
    </row>
    <row r="32" spans="1:6" ht="15" customHeight="1">
      <c r="A32" s="283" t="s">
        <v>441</v>
      </c>
      <c r="B32" s="283" t="s">
        <v>179</v>
      </c>
      <c r="C32" s="218">
        <v>0</v>
      </c>
      <c r="D32" s="218">
        <v>5000</v>
      </c>
      <c r="E32" s="218">
        <v>10000</v>
      </c>
      <c r="F32" s="638" t="s">
        <v>442</v>
      </c>
    </row>
    <row r="33" spans="1:6" ht="15" customHeight="1">
      <c r="A33" s="283" t="s">
        <v>191</v>
      </c>
      <c r="B33" s="283" t="s">
        <v>185</v>
      </c>
      <c r="C33" s="218">
        <v>300000</v>
      </c>
      <c r="D33" s="218">
        <v>0</v>
      </c>
      <c r="E33" s="218">
        <v>0</v>
      </c>
      <c r="F33" s="638" t="s">
        <v>442</v>
      </c>
    </row>
    <row r="34" spans="1:6" ht="15" customHeight="1">
      <c r="A34" s="283" t="s">
        <v>451</v>
      </c>
      <c r="B34" s="283" t="s">
        <v>176</v>
      </c>
      <c r="C34" s="642">
        <v>10000</v>
      </c>
      <c r="D34" s="642">
        <v>10000</v>
      </c>
      <c r="E34" s="642">
        <v>10000</v>
      </c>
      <c r="F34" s="638" t="s">
        <v>442</v>
      </c>
    </row>
    <row r="35" spans="1:6" ht="15" customHeight="1">
      <c r="A35" s="283" t="s">
        <v>452</v>
      </c>
      <c r="B35" s="283" t="s">
        <v>450</v>
      </c>
      <c r="C35" s="643">
        <v>150000</v>
      </c>
      <c r="D35" s="643">
        <v>150000</v>
      </c>
      <c r="E35" s="643">
        <v>150000</v>
      </c>
      <c r="F35" s="638" t="s">
        <v>445</v>
      </c>
    </row>
    <row r="36" spans="1:6" ht="15" customHeight="1">
      <c r="A36" s="283" t="s">
        <v>453</v>
      </c>
      <c r="B36" s="283" t="s">
        <v>439</v>
      </c>
      <c r="C36" s="643">
        <v>40000</v>
      </c>
      <c r="D36" s="642">
        <v>0</v>
      </c>
      <c r="E36" s="642">
        <v>0</v>
      </c>
      <c r="F36" s="644" t="s">
        <v>443</v>
      </c>
    </row>
    <row r="37" spans="1:6" ht="15" customHeight="1">
      <c r="A37" s="283"/>
      <c r="B37" s="283"/>
      <c r="C37" s="642"/>
      <c r="D37" s="642"/>
      <c r="E37" s="642"/>
      <c r="F37" s="644"/>
    </row>
    <row r="38" spans="1:6" ht="15" customHeight="1">
      <c r="A38" s="99"/>
      <c r="B38" s="219" t="s">
        <v>799</v>
      </c>
      <c r="C38" s="689">
        <f>SUM(C8:C37)</f>
        <v>2101326</v>
      </c>
      <c r="D38" s="689">
        <f>SUM(D8:D37)</f>
        <v>1766398</v>
      </c>
      <c r="E38" s="689">
        <f>SUM(E8:E37)</f>
        <v>2164774</v>
      </c>
      <c r="F38" s="220"/>
    </row>
    <row r="39" spans="1:6" ht="15" customHeight="1">
      <c r="A39" s="99"/>
      <c r="B39" s="221" t="s">
        <v>1004</v>
      </c>
      <c r="C39" s="676"/>
      <c r="D39" s="690">
        <f>D22+D23+D24+D35</f>
        <v>898328</v>
      </c>
      <c r="E39" s="690">
        <f>E22+E23+E24+E25+E26+E35</f>
        <v>1279474</v>
      </c>
      <c r="F39" s="220"/>
    </row>
    <row r="40" spans="1:6" ht="15" customHeight="1">
      <c r="A40" s="99"/>
      <c r="B40" s="219" t="s">
        <v>1005</v>
      </c>
      <c r="C40" s="689">
        <f>C38</f>
        <v>2101326</v>
      </c>
      <c r="D40" s="689">
        <f>SUM(D38-D39)</f>
        <v>868070</v>
      </c>
      <c r="E40" s="689">
        <f>SUM(E38-E39)</f>
        <v>885300</v>
      </c>
      <c r="F40" s="220"/>
    </row>
    <row r="41" spans="1:6" ht="15" customHeight="1">
      <c r="A41" s="99"/>
      <c r="B41" s="99"/>
      <c r="C41" s="99"/>
      <c r="D41" s="99"/>
      <c r="E41" s="99"/>
      <c r="F41" s="99"/>
    </row>
    <row r="42" spans="1:6" ht="15" customHeight="1">
      <c r="A42" s="99"/>
      <c r="B42" s="99"/>
      <c r="C42" s="99"/>
      <c r="D42" s="99"/>
      <c r="E42" s="99"/>
      <c r="F42" s="99"/>
    </row>
    <row r="43" spans="1:6" ht="15" customHeight="1">
      <c r="A43" s="385" t="s">
        <v>652</v>
      </c>
      <c r="B43" s="386" t="str">
        <f>CONCATENATE("Adjustments are required only if the transfer is being made in ",D7," and/or ",E7," from a non-budgeted fund.")</f>
        <v>Adjustments are required only if the transfer is being made in 2011 and/or 2012 from a non-budgeted fund.</v>
      </c>
      <c r="C43" s="99"/>
      <c r="D43" s="99"/>
      <c r="E43" s="99"/>
      <c r="F43" s="99"/>
    </row>
    <row r="44" ht="15" customHeight="1"/>
  </sheetData>
  <sheetProtection/>
  <mergeCells count="1">
    <mergeCell ref="A3:F3"/>
  </mergeCells>
  <printOptions horizontalCentered="1"/>
  <pageMargins left="0.54" right="0.56" top="0.81" bottom="0.78" header="0.5" footer="0.5"/>
  <pageSetup blackAndWhite="1" fitToHeight="1" fitToWidth="1" horizontalDpi="600" verticalDpi="600" orientation="landscape" scale="83"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3" sqref="A3"/>
    </sheetView>
  </sheetViews>
  <sheetFormatPr defaultColWidth="8.796875" defaultRowHeight="15"/>
  <cols>
    <col min="1" max="1" width="70.59765625" style="516" customWidth="1"/>
    <col min="2" max="16384" width="8.8984375" style="516" customWidth="1"/>
  </cols>
  <sheetData>
    <row r="1" ht="18.75">
      <c r="A1" s="517" t="s">
        <v>353</v>
      </c>
    </row>
    <row r="2" ht="18.75">
      <c r="A2" s="517"/>
    </row>
    <row r="3" ht="18.75">
      <c r="A3" s="517"/>
    </row>
    <row r="4" ht="51.75" customHeight="1">
      <c r="A4" s="527" t="s">
        <v>110</v>
      </c>
    </row>
    <row r="5" ht="18.75">
      <c r="A5" s="517"/>
    </row>
    <row r="6" ht="15.75">
      <c r="A6" s="518"/>
    </row>
    <row r="7" ht="47.25">
      <c r="A7" s="519" t="s">
        <v>354</v>
      </c>
    </row>
    <row r="8" ht="15.75">
      <c r="A8" s="518"/>
    </row>
    <row r="9" ht="15.75">
      <c r="A9" s="518"/>
    </row>
    <row r="10" ht="63">
      <c r="A10" s="519" t="s">
        <v>355</v>
      </c>
    </row>
    <row r="11" ht="15.75">
      <c r="A11" s="520"/>
    </row>
    <row r="12" ht="15.75">
      <c r="A12" s="518"/>
    </row>
    <row r="13" ht="47.25">
      <c r="A13" s="519" t="s">
        <v>356</v>
      </c>
    </row>
    <row r="14" ht="15.75">
      <c r="A14" s="520"/>
    </row>
    <row r="15" ht="15.75">
      <c r="A15" s="518"/>
    </row>
    <row r="16" ht="47.25">
      <c r="A16" s="519" t="s">
        <v>357</v>
      </c>
    </row>
    <row r="17" ht="15.75">
      <c r="A17" s="520"/>
    </row>
    <row r="18" ht="15.75">
      <c r="A18" s="520"/>
    </row>
    <row r="19" ht="47.25">
      <c r="A19" s="519" t="s">
        <v>358</v>
      </c>
    </row>
    <row r="20" ht="15.75">
      <c r="A20" s="520"/>
    </row>
    <row r="21" ht="15.75">
      <c r="A21" s="520"/>
    </row>
    <row r="22" ht="47.25">
      <c r="A22" s="519" t="s">
        <v>359</v>
      </c>
    </row>
    <row r="23" ht="15.75">
      <c r="A23" s="520"/>
    </row>
    <row r="24" ht="15.75">
      <c r="A24" s="520"/>
    </row>
    <row r="25" ht="31.5">
      <c r="A25" s="519" t="s">
        <v>360</v>
      </c>
    </row>
    <row r="26" ht="15.75">
      <c r="A26" s="518"/>
    </row>
    <row r="27" ht="15.75">
      <c r="A27" s="518"/>
    </row>
    <row r="28" ht="60">
      <c r="A28" s="521" t="s">
        <v>361</v>
      </c>
    </row>
    <row r="29" ht="15">
      <c r="A29" s="522"/>
    </row>
    <row r="30" ht="15">
      <c r="A30" s="522"/>
    </row>
    <row r="31" ht="47.25">
      <c r="A31" s="519" t="s">
        <v>362</v>
      </c>
    </row>
    <row r="32" ht="15.75">
      <c r="A32" s="518"/>
    </row>
    <row r="33" ht="15.75">
      <c r="A33" s="518"/>
    </row>
    <row r="34" ht="66.75" customHeight="1">
      <c r="A34" s="526" t="s">
        <v>111</v>
      </c>
    </row>
    <row r="35" ht="15.75">
      <c r="A35" s="518"/>
    </row>
    <row r="36" ht="15.75">
      <c r="A36" s="518"/>
    </row>
    <row r="37" ht="63">
      <c r="A37" s="523" t="s">
        <v>363</v>
      </c>
    </row>
    <row r="38" ht="15.75">
      <c r="A38" s="520"/>
    </row>
    <row r="39" ht="15.75">
      <c r="A39" s="518"/>
    </row>
    <row r="40" ht="63">
      <c r="A40" s="519" t="s">
        <v>364</v>
      </c>
    </row>
    <row r="41" ht="15.75">
      <c r="A41" s="520"/>
    </row>
    <row r="42" ht="15.75">
      <c r="A42" s="520"/>
    </row>
    <row r="43" ht="82.5" customHeight="1">
      <c r="A43" s="515" t="s">
        <v>112</v>
      </c>
    </row>
    <row r="44" ht="15.75">
      <c r="A44" s="520"/>
    </row>
    <row r="45" ht="15.75">
      <c r="A45" s="520"/>
    </row>
    <row r="46" ht="69" customHeight="1">
      <c r="A46" s="515" t="s">
        <v>113</v>
      </c>
    </row>
    <row r="47" ht="15.75">
      <c r="A47" s="520"/>
    </row>
    <row r="48" ht="15.75">
      <c r="A48" s="520"/>
    </row>
    <row r="49" ht="69" customHeight="1">
      <c r="A49" s="515" t="s">
        <v>114</v>
      </c>
    </row>
    <row r="50" ht="15.75">
      <c r="A50" s="520"/>
    </row>
    <row r="51" ht="15.75">
      <c r="A51" s="520"/>
    </row>
    <row r="52" ht="63">
      <c r="A52" s="519" t="s">
        <v>365</v>
      </c>
    </row>
    <row r="53" ht="15.75">
      <c r="A53" s="520"/>
    </row>
    <row r="54" ht="15.75">
      <c r="A54" s="520"/>
    </row>
    <row r="55" ht="63">
      <c r="A55" s="519" t="s">
        <v>366</v>
      </c>
    </row>
    <row r="56" ht="15.75">
      <c r="A56" s="520"/>
    </row>
    <row r="57" ht="15.75">
      <c r="A57" s="520"/>
    </row>
    <row r="58" ht="47.25">
      <c r="A58" s="519" t="s">
        <v>367</v>
      </c>
    </row>
    <row r="59" ht="15.75">
      <c r="A59" s="520"/>
    </row>
    <row r="60" ht="15.75">
      <c r="A60" s="520"/>
    </row>
    <row r="61" ht="47.25">
      <c r="A61" s="519" t="s">
        <v>368</v>
      </c>
    </row>
    <row r="62" ht="15.75">
      <c r="A62" s="520"/>
    </row>
    <row r="63" ht="15.75">
      <c r="A63" s="520"/>
    </row>
    <row r="64" ht="78.75">
      <c r="A64" s="519" t="s">
        <v>369</v>
      </c>
    </row>
    <row r="65" ht="15">
      <c r="A65" s="524"/>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JWhite</cp:lastModifiedBy>
  <cp:lastPrinted>2011-10-10T14:26:16Z</cp:lastPrinted>
  <dcterms:created xsi:type="dcterms:W3CDTF">1999-08-03T13:11:47Z</dcterms:created>
  <dcterms:modified xsi:type="dcterms:W3CDTF">2011-10-10T14:47:16Z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