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555" windowWidth="15420" windowHeight="3600" tabRatio="909" activeTab="0"/>
  </bookViews>
  <sheets>
    <sheet name="cert" sheetId="1" r:id="rId1"/>
    <sheet name="computation" sheetId="2" r:id="rId2"/>
    <sheet name="mvalloc" sheetId="3" r:id="rId3"/>
    <sheet name="transfers" sheetId="4" r:id="rId4"/>
    <sheet name="debt" sheetId="5" r:id="rId5"/>
    <sheet name="lpform" sheetId="6" r:id="rId6"/>
    <sheet name="general" sheetId="7" r:id="rId7"/>
    <sheet name="DebtService" sheetId="8" r:id="rId8"/>
    <sheet name="Sp Hiway_Sewer" sheetId="9" r:id="rId9"/>
    <sheet name="Levee_golf" sheetId="10" r:id="rId10"/>
    <sheet name="SP_Parks_Alcohol" sheetId="11" r:id="rId11"/>
    <sheet name="Tourism_911" sheetId="12" r:id="rId12"/>
    <sheet name="ETrust_EMS" sheetId="13" r:id="rId13"/>
    <sheet name="Stormwater" sheetId="14" r:id="rId14"/>
    <sheet name="SalesTax" sheetId="15" r:id="rId15"/>
    <sheet name="NonBudA" sheetId="16" r:id="rId16"/>
    <sheet name="summ" sheetId="17" r:id="rId17"/>
    <sheet name="inputOth" sheetId="18" r:id="rId18"/>
    <sheet name="inputPrYr" sheetId="19" r:id="rId19"/>
    <sheet name="nhood" sheetId="20" r:id="rId20"/>
    <sheet name="GenDetail" sheetId="21" r:id="rId21"/>
    <sheet name="NonBudFunds" sheetId="22" r:id="rId22"/>
    <sheet name="ordinance" sheetId="23" r:id="rId23"/>
    <sheet name="Instructions" sheetId="24" r:id="rId24"/>
    <sheet name="TransferStatutes" sheetId="25" r:id="rId25"/>
    <sheet name="inputBudSum"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7">'DebtService'!$B$1:$F$59</definedName>
    <definedName name="_xlnm.Print_Area" localSheetId="6">'general'!$B$1:$F$140</definedName>
    <definedName name="_xlnm.Print_Area" localSheetId="18">'inputPrYr'!$A$1:$E$77</definedName>
    <definedName name="_xlnm.Print_Area" localSheetId="5">'lpform'!$A$1:$H$48</definedName>
    <definedName name="_xlnm.Print_Area" localSheetId="31">'Mill Rate Computation'!$B$1:$W$149</definedName>
    <definedName name="_xlnm.Print_Area" localSheetId="16">'summ'!$A$1:$H$49</definedName>
    <definedName name="_xlnm.Print_Titles" localSheetId="6">'general'!$1:$6</definedName>
  </definedNames>
  <calcPr fullCalcOnLoad="1"/>
</workbook>
</file>

<file path=xl/sharedStrings.xml><?xml version="1.0" encoding="utf-8"?>
<sst xmlns="http://schemas.openxmlformats.org/spreadsheetml/2006/main" count="2016" uniqueCount="1185">
  <si>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</si>
  <si>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</si>
  <si>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</si>
  <si>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</si>
  <si>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</si>
  <si>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</si>
  <si>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</si>
  <si>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</si>
  <si>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</si>
  <si>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</si>
  <si>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</si>
  <si>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</si>
  <si>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</si>
  <si>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</si>
  <si>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</si>
  <si>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</si>
  <si>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</si>
  <si>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</si>
  <si>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</si>
  <si>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</si>
  <si>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</si>
  <si>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</si>
  <si>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</si>
  <si>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</si>
  <si>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</si>
  <si>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</si>
  <si>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</si>
  <si>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</si>
  <si>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</si>
  <si>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</si>
  <si>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</si>
  <si>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</si>
  <si>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</si>
  <si>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</si>
  <si>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</si>
  <si>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</si>
  <si>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</si>
  <si>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</si>
  <si>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</si>
  <si>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</si>
  <si>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</si>
  <si>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</si>
  <si>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</si>
  <si>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</si>
  <si>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</si>
  <si>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</si>
  <si>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</si>
  <si>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</si>
  <si>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</si>
  <si>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</si>
  <si>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</si>
  <si>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</si>
  <si>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</si>
  <si>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</si>
  <si>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</si>
  <si>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</si>
  <si>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</si>
  <si>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</si>
  <si>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</si>
  <si>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</si>
  <si>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</si>
  <si>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</si>
  <si>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</si>
  <si>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</si>
  <si>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</si>
  <si>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</si>
  <si>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</si>
  <si>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</si>
  <si>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</si>
  <si>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</si>
  <si>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</si>
  <si>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</si>
  <si>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</si>
  <si>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</si>
  <si>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</si>
  <si>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</si>
  <si>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</si>
  <si>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</si>
  <si>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</si>
  <si>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</si>
  <si>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</si>
  <si>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</si>
  <si>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</si>
  <si>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</si>
  <si>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</si>
  <si>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</si>
  <si>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</si>
  <si>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</si>
  <si>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</si>
  <si>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</si>
  <si>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</si>
  <si>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</si>
  <si>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</si>
  <si>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</si>
  <si>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</si>
  <si>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</si>
  <si>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</si>
  <si>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</si>
  <si>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</si>
  <si>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</si>
  <si>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</si>
  <si>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</si>
  <si>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</si>
  <si>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</si>
  <si>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</si>
  <si>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</si>
  <si>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</si>
  <si>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</si>
  <si>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</si>
  <si>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</si>
  <si>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</si>
  <si>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Total Receipts</t>
  </si>
  <si>
    <t>Resources Available:</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</si>
  <si>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</si>
  <si>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</si>
  <si>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</si>
  <si>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</si>
  <si>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</si>
  <si>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</si>
  <si>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</si>
  <si>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</si>
  <si>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</si>
  <si>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</si>
  <si>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</si>
  <si>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</si>
  <si>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</si>
  <si>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</si>
  <si>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</si>
  <si>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</si>
  <si>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</si>
  <si>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</si>
  <si>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</si>
  <si>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</si>
  <si>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</si>
  <si>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</si>
  <si>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</si>
  <si>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</si>
  <si>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</si>
  <si>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</si>
  <si>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</si>
  <si>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</si>
  <si>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</si>
  <si>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</si>
  <si>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</si>
  <si>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</si>
  <si>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</si>
  <si>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</si>
  <si>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</si>
  <si>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</si>
  <si>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</si>
  <si>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</si>
  <si>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</si>
  <si>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</si>
  <si>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</si>
  <si>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</si>
  <si>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</si>
  <si>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</si>
  <si>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</si>
  <si>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</si>
  <si>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</si>
  <si>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</si>
  <si>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</si>
  <si>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</si>
  <si>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</si>
  <si>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</si>
  <si>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</si>
  <si>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</si>
  <si>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</si>
  <si>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</si>
  <si>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</si>
  <si>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</si>
  <si>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</si>
  <si>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</si>
  <si>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</si>
  <si>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</si>
  <si>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</si>
  <si>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</si>
  <si>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</si>
  <si>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</si>
  <si>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</si>
  <si>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</si>
  <si>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</si>
  <si>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</si>
  <si>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</si>
  <si>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</si>
  <si>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</si>
  <si>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</si>
  <si>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</si>
  <si>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</si>
  <si>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</si>
  <si>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</si>
  <si>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</si>
  <si>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</si>
  <si>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</si>
  <si>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</si>
  <si>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</si>
  <si>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</si>
  <si>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</si>
  <si>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</si>
  <si>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</si>
  <si>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</si>
  <si>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</si>
  <si>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</si>
  <si>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</si>
  <si>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</si>
  <si>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</si>
  <si>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</si>
  <si>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</si>
  <si>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</si>
  <si>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</si>
  <si>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</si>
  <si>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</si>
  <si>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</si>
  <si>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</si>
  <si>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</si>
  <si>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</si>
  <si>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</si>
  <si>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</si>
  <si>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</si>
  <si>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</si>
  <si>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</si>
  <si>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</si>
  <si>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</si>
  <si>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</si>
  <si>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</si>
  <si>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</si>
  <si>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</si>
  <si>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</si>
  <si>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</si>
  <si>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</si>
  <si>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</si>
  <si>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</si>
  <si>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</si>
  <si>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</si>
  <si>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</si>
  <si>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</si>
  <si>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</si>
  <si>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</si>
  <si>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</si>
  <si>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</si>
  <si>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</si>
  <si>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</si>
  <si>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</si>
  <si>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</si>
  <si>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</si>
  <si>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</si>
  <si>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</si>
  <si>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</si>
  <si>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</si>
  <si>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</si>
  <si>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</si>
  <si>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</si>
  <si>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</si>
  <si>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</si>
  <si>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</si>
  <si>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</si>
  <si>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</si>
  <si>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</si>
  <si>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</si>
  <si>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</si>
  <si>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</si>
  <si>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</si>
  <si>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</si>
  <si>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</si>
  <si>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</si>
  <si>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</si>
  <si>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</si>
  <si>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</si>
  <si>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</si>
  <si>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</si>
  <si>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Lease Purchase Principal</t>
  </si>
  <si>
    <t>Other (non-tax levy) fund names: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</si>
  <si>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</si>
  <si>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</si>
  <si>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</si>
  <si>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</si>
  <si>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</si>
  <si>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</si>
  <si>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</si>
  <si>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</si>
  <si>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</si>
  <si>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</si>
  <si>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</si>
  <si>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</si>
  <si>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</si>
  <si>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</si>
  <si>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</si>
  <si>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</si>
  <si>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</si>
  <si>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</si>
  <si>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</si>
  <si>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</si>
  <si>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</si>
  <si>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</si>
  <si>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</si>
  <si>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</si>
  <si>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</si>
  <si>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</si>
  <si>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</si>
  <si>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</si>
  <si>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</si>
  <si>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</si>
  <si>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</si>
  <si>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</si>
  <si>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</si>
  <si>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</si>
  <si>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</si>
  <si>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</si>
  <si>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</si>
  <si>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</si>
  <si>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</si>
  <si>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</si>
  <si>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</si>
  <si>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</si>
  <si>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</si>
  <si>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</si>
  <si>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</si>
  <si>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</si>
  <si>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</si>
  <si>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</si>
  <si>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</si>
  <si>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</si>
  <si>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</si>
  <si>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</si>
  <si>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</si>
  <si>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</si>
  <si>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</si>
  <si>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</si>
  <si>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</si>
  <si>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</si>
  <si>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</si>
  <si>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</si>
  <si>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</si>
  <si>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</si>
  <si>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</si>
  <si>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</si>
  <si>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</si>
  <si>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</si>
  <si>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</si>
  <si>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</si>
  <si>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</si>
  <si>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</si>
  <si>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</si>
  <si>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</si>
  <si>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</si>
  <si>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</si>
  <si>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</si>
  <si>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</si>
  <si>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</si>
  <si>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</si>
  <si>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</si>
  <si>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</si>
  <si>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</si>
  <si>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</si>
  <si>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</si>
  <si>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</si>
  <si>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</si>
  <si>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</si>
  <si>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</si>
  <si>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</si>
  <si>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</si>
  <si>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</si>
  <si>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</si>
  <si>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</si>
  <si>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</si>
  <si>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</si>
  <si>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</si>
  <si>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</si>
  <si>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</si>
  <si>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</si>
  <si>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</si>
  <si>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</si>
  <si>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</si>
  <si>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</si>
  <si>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</si>
  <si>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</si>
  <si>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</si>
  <si>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</si>
  <si>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</si>
  <si>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</si>
  <si>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</si>
  <si>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</si>
  <si>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</si>
  <si>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</si>
  <si>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</si>
  <si>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</si>
  <si>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</si>
  <si>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</si>
  <si>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</si>
  <si>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</si>
  <si>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</si>
  <si>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</si>
  <si>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</si>
  <si>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</si>
  <si>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</si>
  <si>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</si>
  <si>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</si>
  <si>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</si>
  <si>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</si>
  <si>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</si>
  <si>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</si>
  <si>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</si>
  <si>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</si>
  <si>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</si>
  <si>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</si>
  <si>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</si>
  <si>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</si>
  <si>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</si>
  <si>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</si>
  <si>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</si>
  <si>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</si>
  <si>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</si>
  <si>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</si>
  <si>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</si>
  <si>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</si>
  <si>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</si>
  <si>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</si>
  <si>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</si>
  <si>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</si>
  <si>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</si>
  <si>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</si>
  <si>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</si>
  <si>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</si>
  <si>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</si>
  <si>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</si>
  <si>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</si>
  <si>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</si>
  <si>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</si>
  <si>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</si>
  <si>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</si>
  <si>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</si>
  <si>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</si>
  <si>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</si>
  <si>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</si>
  <si>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</si>
  <si>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</si>
  <si>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</si>
  <si>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</si>
  <si>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</si>
  <si>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</si>
  <si>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</si>
  <si>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</si>
  <si>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</si>
  <si>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</si>
  <si>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</si>
  <si>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</si>
  <si>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</si>
  <si>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</si>
  <si>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</si>
  <si>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</si>
  <si>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</si>
  <si>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</si>
  <si>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</si>
  <si>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</si>
  <si>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</si>
  <si>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</si>
  <si>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</si>
  <si>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</si>
  <si>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</si>
  <si>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</si>
  <si>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</si>
  <si>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</si>
  <si>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</si>
  <si>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</si>
  <si>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</si>
  <si>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</si>
  <si>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</si>
  <si>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</si>
  <si>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</si>
  <si>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</si>
  <si>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</si>
  <si>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</si>
  <si>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</si>
  <si>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</si>
  <si>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</si>
  <si>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</si>
  <si>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</si>
  <si>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</si>
  <si>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</si>
  <si>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</si>
  <si>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</si>
  <si>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</si>
  <si>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</si>
  <si>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</si>
  <si>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</si>
  <si>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</si>
  <si>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</si>
  <si>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</si>
  <si>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</si>
  <si>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</si>
  <si>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</si>
  <si>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</si>
  <si>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</si>
  <si>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</si>
  <si>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</si>
  <si>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</si>
  <si>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</si>
  <si>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</si>
  <si>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</si>
  <si>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</si>
  <si>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</si>
  <si>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</si>
  <si>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</si>
  <si>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</si>
  <si>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</si>
  <si>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</si>
  <si>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</si>
  <si>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</si>
  <si>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</si>
  <si>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</si>
  <si>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</si>
  <si>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</si>
  <si>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</si>
  <si>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</si>
  <si>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</si>
  <si>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</si>
  <si>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</si>
  <si>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</si>
  <si>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</si>
  <si>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</si>
  <si>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</si>
  <si>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</si>
  <si>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</si>
  <si>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</si>
  <si>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</si>
  <si>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</si>
  <si>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</si>
  <si>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</si>
  <si>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</si>
  <si>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</si>
  <si>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</si>
  <si>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</si>
  <si>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</si>
  <si>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</si>
  <si>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</si>
  <si>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</si>
  <si>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</si>
  <si>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</si>
  <si>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</si>
  <si>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</si>
  <si>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</si>
  <si>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</si>
  <si>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</si>
  <si>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</si>
  <si>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</si>
  <si>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</si>
  <si>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</si>
  <si>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</si>
  <si>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</si>
  <si>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</si>
  <si>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</si>
  <si>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</si>
  <si>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</si>
  <si>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</si>
  <si>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</si>
  <si>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</si>
  <si>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</si>
  <si>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</si>
  <si>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</si>
  <si>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</si>
  <si>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</si>
  <si>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</si>
  <si>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</si>
  <si>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</si>
  <si>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</si>
  <si>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</si>
  <si>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</si>
  <si>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</si>
  <si>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</si>
  <si>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</si>
  <si>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</si>
  <si>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</si>
  <si>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</si>
  <si>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</si>
  <si>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</si>
  <si>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</si>
  <si>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</si>
  <si>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</si>
  <si>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</si>
  <si>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</si>
  <si>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</si>
  <si>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</si>
  <si>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</si>
  <si>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</si>
  <si>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</si>
  <si>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</si>
  <si>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</si>
  <si>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</si>
  <si>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</si>
  <si>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</si>
  <si>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</si>
  <si>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</si>
  <si>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</si>
  <si>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</si>
  <si>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</si>
  <si>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</si>
  <si>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</si>
  <si>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</si>
  <si>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</si>
  <si>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</si>
  <si>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</si>
  <si>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</si>
  <si>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</si>
  <si>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</si>
  <si>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</si>
  <si>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</si>
  <si>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</si>
  <si>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</si>
  <si>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</si>
  <si>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</si>
  <si>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</si>
  <si>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</si>
  <si>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</si>
  <si>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</si>
  <si>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</si>
  <si>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</si>
  <si>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</si>
  <si>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</si>
  <si>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</si>
  <si>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</si>
  <si>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</si>
  <si>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</si>
  <si>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</si>
  <si>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</si>
  <si>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</si>
  <si>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</si>
  <si>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</si>
  <si>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</si>
  <si>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</si>
  <si>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</si>
  <si>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</si>
  <si>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</si>
  <si>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</si>
  <si>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</si>
  <si>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</si>
  <si>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</si>
  <si>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</si>
  <si>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</si>
  <si>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</si>
  <si>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</si>
  <si>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</si>
  <si>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</si>
  <si>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</si>
  <si>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</si>
  <si>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</si>
  <si>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</si>
  <si>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</si>
  <si>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</si>
  <si>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</si>
  <si>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</si>
  <si>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</si>
  <si>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</si>
  <si>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</si>
  <si>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</si>
  <si>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</si>
  <si>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</si>
  <si>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</si>
  <si>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</si>
  <si>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</si>
  <si>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</si>
  <si>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</si>
  <si>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</si>
  <si>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</si>
  <si>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</si>
  <si>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</si>
  <si>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</si>
  <si>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</si>
  <si>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</si>
  <si>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</si>
  <si>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</si>
  <si>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</si>
  <si>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</si>
  <si>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</si>
  <si>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</si>
  <si>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</si>
  <si>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</si>
  <si>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</si>
  <si>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</si>
  <si>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</si>
  <si>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</si>
  <si>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</si>
  <si>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</si>
  <si>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</si>
  <si>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</si>
  <si>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</si>
  <si>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</si>
  <si>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</si>
  <si>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</si>
  <si>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</si>
  <si>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</si>
  <si>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</si>
  <si>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</si>
  <si>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</si>
  <si>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</si>
  <si>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</si>
  <si>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</si>
  <si>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</si>
  <si>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</si>
  <si>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</si>
  <si>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</si>
  <si>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</si>
  <si>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</si>
  <si>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</si>
  <si>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</si>
  <si>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</si>
  <si>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</si>
  <si>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</si>
  <si>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</si>
  <si>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</si>
  <si>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</si>
  <si>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</si>
  <si>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</si>
  <si>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</si>
  <si>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</si>
  <si>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</si>
  <si>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</si>
  <si>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</si>
  <si>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</si>
  <si>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</si>
  <si>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</si>
  <si>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</si>
  <si>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</si>
  <si>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</si>
  <si>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</si>
  <si>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</si>
  <si>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</si>
  <si>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</si>
  <si>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</si>
  <si>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</si>
  <si>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</si>
  <si>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</si>
  <si>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</si>
  <si>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</si>
  <si>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</si>
  <si>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</si>
  <si>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</si>
  <si>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</si>
  <si>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</si>
  <si>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</si>
  <si>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</si>
  <si>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</si>
  <si>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</si>
  <si>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</si>
  <si>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</si>
  <si>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</si>
  <si>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</si>
  <si>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</si>
  <si>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</si>
  <si>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</si>
  <si>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</si>
  <si>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</si>
  <si>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</si>
  <si>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</si>
  <si>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</si>
  <si>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</si>
  <si>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</si>
  <si>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</si>
  <si>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</si>
  <si>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</si>
  <si>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</si>
  <si>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</si>
  <si>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</si>
  <si>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</si>
  <si>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</si>
  <si>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</si>
  <si>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</si>
  <si>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</si>
  <si>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</si>
  <si>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</si>
  <si>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</si>
  <si>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</si>
  <si>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</si>
  <si>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</si>
  <si>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</si>
  <si>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</si>
  <si>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</si>
  <si>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</si>
  <si>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</si>
  <si>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</si>
  <si>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</si>
  <si>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</si>
  <si>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</si>
  <si>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</si>
  <si>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</si>
  <si>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Change in Ad Valorem Tax Revenue:</t>
  </si>
  <si>
    <t>What Mill Rate Would Be Desired?</t>
  </si>
  <si>
    <t>Official Title:</t>
  </si>
  <si>
    <t>City Clerk, City Treasurer, Mayor</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</si>
  <si>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</si>
  <si>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</si>
  <si>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</si>
  <si>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</si>
  <si>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</si>
  <si>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</si>
  <si>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</si>
  <si>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</si>
  <si>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</si>
  <si>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</si>
  <si>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</si>
  <si>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</si>
  <si>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</si>
  <si>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</si>
  <si>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</si>
  <si>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</si>
  <si>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</si>
  <si>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</si>
  <si>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</si>
  <si>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</si>
  <si>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</si>
  <si>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</si>
  <si>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</si>
  <si>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</si>
  <si>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</si>
  <si>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</si>
  <si>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</si>
  <si>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</si>
  <si>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</si>
  <si>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</si>
  <si>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</si>
  <si>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</si>
  <si>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</si>
  <si>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</si>
  <si>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</si>
  <si>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</si>
  <si>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</si>
  <si>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</si>
  <si>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</si>
  <si>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</si>
  <si>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</si>
  <si>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</si>
  <si>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</si>
  <si>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</si>
  <si>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</si>
  <si>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</si>
  <si>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</si>
  <si>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</si>
  <si>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</si>
  <si>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Kansas City</t>
  </si>
  <si>
    <r>
      <rPr>
        <b/>
        <sz val="12"/>
        <color indexed="10"/>
        <rFont val="Arial"/>
        <family val="2"/>
      </rPr>
      <t>*</t>
    </r>
    <r>
      <rPr>
        <b/>
        <sz val="12"/>
        <rFont val="Arial"/>
        <family val="2"/>
      </rPr>
      <t>If amended, then use the amended figures.</t>
    </r>
    <r>
      <rPr>
        <b/>
        <sz val="12"/>
        <color indexed="10"/>
        <rFont val="Arial"/>
        <family val="2"/>
      </rPr>
      <t>*</t>
    </r>
  </si>
  <si>
    <r>
      <rPr>
        <sz val="12"/>
        <color indexed="10"/>
        <rFont val="Arial"/>
        <family val="2"/>
      </rPr>
      <t>*</t>
    </r>
    <r>
      <rPr>
        <sz val="12"/>
        <rFont val="Arial"/>
        <family val="2"/>
      </rPr>
      <t>Expenditures</t>
    </r>
    <r>
      <rPr>
        <sz val="12"/>
        <color indexed="10"/>
        <rFont val="Arial"/>
        <family val="2"/>
      </rPr>
      <t>*</t>
    </r>
  </si>
  <si>
    <t>Wyandotte</t>
  </si>
  <si>
    <t>Sewer System Enterprise Fund</t>
  </si>
  <si>
    <t>Public Levee Enterprise Fund</t>
  </si>
  <si>
    <t>Sunflower Hills Golf Course</t>
  </si>
  <si>
    <t>Special Parks and Recreation</t>
  </si>
  <si>
    <t>Special Alcohol</t>
  </si>
  <si>
    <t>Tourism</t>
  </si>
  <si>
    <t>911 Public Safety</t>
  </si>
  <si>
    <t>Environmental Trust</t>
  </si>
  <si>
    <t>EMS Enterprise Fund</t>
  </si>
  <si>
    <t>Stormwater Enterprise</t>
  </si>
  <si>
    <t>Dedicated Sales Tax</t>
  </si>
  <si>
    <t>Community Development</t>
  </si>
  <si>
    <t>Supportive Housing Grants</t>
  </si>
  <si>
    <t>Justice Asst. Grant (JAG)</t>
  </si>
  <si>
    <t>Special Law Enforcement Trust</t>
  </si>
  <si>
    <t>American Recovery &amp; Reinvestment Act</t>
  </si>
  <si>
    <t>Prior Year</t>
  </si>
  <si>
    <t>Current Year</t>
  </si>
  <si>
    <t>Proposed Budget</t>
  </si>
  <si>
    <t>Original Budget</t>
  </si>
  <si>
    <t>Actual 2010</t>
  </si>
  <si>
    <t>Amended 2011</t>
  </si>
  <si>
    <t>Slider (Machinery Equipment Reibursement)</t>
  </si>
  <si>
    <t>IRB PILOT/Tax Abatement Tax</t>
  </si>
  <si>
    <t>Special Assessment Tax</t>
  </si>
  <si>
    <t>Motor Vehicle Rent Excise Tax</t>
  </si>
  <si>
    <t>Sales Tax - County</t>
  </si>
  <si>
    <t>Sales Tax - City</t>
  </si>
  <si>
    <t>Compensating Use Tax-County</t>
  </si>
  <si>
    <t>Compensating Use Tax-City</t>
  </si>
  <si>
    <t>Franchise Tax-Video</t>
  </si>
  <si>
    <t>Franchise Tax-Gas</t>
  </si>
  <si>
    <t>Franchise Tax-Electricity</t>
  </si>
  <si>
    <t>Franchise Tax-Sewer</t>
  </si>
  <si>
    <t>Franchise Tax-Water</t>
  </si>
  <si>
    <t>Franchise Tax-Cable Television</t>
  </si>
  <si>
    <t>Franchise Tax-Telephone</t>
  </si>
  <si>
    <t>Johnson Co Water Dist PILOT</t>
  </si>
  <si>
    <t>Stormwater PILOT</t>
  </si>
  <si>
    <t>Liquor Tax-Alcohol Liquor Tax</t>
  </si>
  <si>
    <t>Occupation Business Tax</t>
  </si>
  <si>
    <t>Billboard Occupation Tax</t>
  </si>
  <si>
    <t>Delinquent-Spec Assessment Tax</t>
  </si>
  <si>
    <t>Gaming Revenue Tax</t>
  </si>
  <si>
    <t>Cereal Malt Beverag</t>
  </si>
  <si>
    <t>Animal License</t>
  </si>
  <si>
    <t>DUI Victim Fee</t>
  </si>
  <si>
    <t>Misc. Business Permits</t>
  </si>
  <si>
    <t>Amusement Devices</t>
  </si>
  <si>
    <t>Security Guard Permits</t>
  </si>
  <si>
    <t>Contractor''s License</t>
  </si>
  <si>
    <t>Other Regulatory License Fees</t>
  </si>
  <si>
    <t>Taxi Certification Permits</t>
  </si>
  <si>
    <t>Landlord Rental License</t>
  </si>
  <si>
    <t>Rental License Misc Fees</t>
  </si>
  <si>
    <t>Land Disturbance Fees</t>
  </si>
  <si>
    <t>Right-of-Way Permits</t>
  </si>
  <si>
    <t>Blasting Permits</t>
  </si>
  <si>
    <t>Driveway Permits</t>
  </si>
  <si>
    <t>Hauling Permits</t>
  </si>
  <si>
    <t>Overweight Vehicle Permits</t>
  </si>
  <si>
    <t>Garage Sale Permits</t>
  </si>
  <si>
    <t>Street Closing Permits</t>
  </si>
  <si>
    <t>Fireworks Permits</t>
  </si>
  <si>
    <t>Pass Through-Other State Agcy</t>
  </si>
  <si>
    <t>State-KDOT</t>
  </si>
  <si>
    <t>Highway Connecting Links</t>
  </si>
  <si>
    <t>Wyandotte Nation Gaming</t>
  </si>
  <si>
    <t>Tax Abatement/IRB Application</t>
  </si>
  <si>
    <t>Court Costs</t>
  </si>
  <si>
    <t>Reproduction And Copying Fees</t>
  </si>
  <si>
    <t>Sale of Maps/Plans/Specificat</t>
  </si>
  <si>
    <t>Garnishment Fees</t>
  </si>
  <si>
    <t>False Alarm Fee</t>
  </si>
  <si>
    <t>Sale of Reports/Photos/Prints</t>
  </si>
  <si>
    <t>Driver License Record Check</t>
  </si>
  <si>
    <t>Criminal History Checks</t>
  </si>
  <si>
    <t>Animal Control - Vet Fees</t>
  </si>
  <si>
    <t>Animal Control-Boarding Fees</t>
  </si>
  <si>
    <t>Animal Control - Adoption Fees</t>
  </si>
  <si>
    <t>Parking - Lot Stamps</t>
  </si>
  <si>
    <t>Parking Meter Collections</t>
  </si>
  <si>
    <t>Parking - Lot Receipts</t>
  </si>
  <si>
    <t>Parking - Monthly Permits</t>
  </si>
  <si>
    <t>Bus Fares - Senior Groups</t>
  </si>
  <si>
    <t>Bus Fares - Bus/ATA</t>
  </si>
  <si>
    <t>Bus Fares - Dial-A-Ride</t>
  </si>
  <si>
    <t>DUI Video &amp; Reports</t>
  </si>
  <si>
    <t>Residential Trash Fees</t>
  </si>
  <si>
    <t>Memorial Hall Bldg Use Evt Fee</t>
  </si>
  <si>
    <t>Planning Fees -Appeal Notice</t>
  </si>
  <si>
    <t>Planning - Planning Review</t>
  </si>
  <si>
    <t>Inspection-Bldg Inspection Fee</t>
  </si>
  <si>
    <t>Fines - Municipal Court</t>
  </si>
  <si>
    <t>Fines - Parking Violations</t>
  </si>
  <si>
    <t>Fines - Overweight Vehicles</t>
  </si>
  <si>
    <t>Fines-Animal Control Stray Ani</t>
  </si>
  <si>
    <t>Penalty Fee Rental License</t>
  </si>
  <si>
    <t>Penalty Fee Occupation Tax</t>
  </si>
  <si>
    <t>Law Enforcement Training Fee</t>
  </si>
  <si>
    <t>Rent - other</t>
  </si>
  <si>
    <t>Land Lease</t>
  </si>
  <si>
    <t>Sale Scrap/Residual Materials</t>
  </si>
  <si>
    <t>Contributions and Donations</t>
  </si>
  <si>
    <t>Miscellaneous Receipts</t>
  </si>
  <si>
    <t>Reim Expense-Indirect Costs</t>
  </si>
  <si>
    <t>Reim Expense-Computer Charges</t>
  </si>
  <si>
    <t>Reim Expense-BPU</t>
  </si>
  <si>
    <t>Reim Exp-Diesel/Gas Tax Relief</t>
  </si>
  <si>
    <t>Reim Expense-Insurance</t>
  </si>
  <si>
    <t>Reim Expense-Other</t>
  </si>
  <si>
    <t>Reim Expense-Racetrack</t>
  </si>
  <si>
    <t>Reim Expense-Refunds</t>
  </si>
  <si>
    <t>Reim Expense-Garage</t>
  </si>
  <si>
    <t>Reim Exp - Police Fed Task Force</t>
  </si>
  <si>
    <t>Cancelled Prior Year POs</t>
  </si>
  <si>
    <t>Sale of Fixed Assets</t>
  </si>
  <si>
    <t>Sale of Land</t>
  </si>
  <si>
    <t>Residual Equity Mortgage</t>
  </si>
  <si>
    <t>Operating Transfers From EMS Fund</t>
  </si>
  <si>
    <t>Expenditures</t>
  </si>
  <si>
    <t>Personnel</t>
  </si>
  <si>
    <t>Services</t>
  </si>
  <si>
    <t>Supplies</t>
  </si>
  <si>
    <t>Grants, Claims</t>
  </si>
  <si>
    <t>Capital Outlay</t>
  </si>
  <si>
    <t>Transfers, Other</t>
  </si>
  <si>
    <t>Transfer to Environmental Trust Fund</t>
  </si>
  <si>
    <t>Sales Tax TIF</t>
  </si>
  <si>
    <t>Slider (Machinery Equipment Reimbursement)</t>
  </si>
  <si>
    <t>Federal Tax Credits</t>
  </si>
  <si>
    <t>Tax Increment Finance Dist Tax</t>
  </si>
  <si>
    <t>Delinquent-Tax Inc Fin Dst Tax</t>
  </si>
  <si>
    <t>TIF Ad Valorem Tax Reduction</t>
  </si>
  <si>
    <t>Interest - Investments</t>
  </si>
  <si>
    <t>Theater Debt Payment</t>
  </si>
  <si>
    <t>Reimbursed Expense</t>
  </si>
  <si>
    <t>Operating Transfers From 911 Public Safety Fund</t>
  </si>
  <si>
    <t>Operating Transfers From Sewer System Fund</t>
  </si>
  <si>
    <t>Operating Transfers From Public Levee</t>
  </si>
  <si>
    <t>Operating Transfers From Sunflower Hills</t>
  </si>
  <si>
    <t>Operating Transfers From Street &amp; Highway Fund</t>
  </si>
  <si>
    <t>Operating Transfer from Stormwater</t>
  </si>
  <si>
    <t>Operating Transfer from Capital Projects</t>
  </si>
  <si>
    <t>Residual Equity Transfer</t>
  </si>
  <si>
    <t>Bond Issue Proceeds</t>
  </si>
  <si>
    <t>Amount of  2010 Ad Valorem Tax</t>
  </si>
  <si>
    <t>Special City/County Highway</t>
  </si>
  <si>
    <t>Miscellaneous receipts</t>
  </si>
  <si>
    <t>Reim Expense-Capital Project</t>
  </si>
  <si>
    <t>Transfers to Bond and Interest Fund</t>
  </si>
  <si>
    <t>Reserves</t>
  </si>
  <si>
    <t>Excavation Permits</t>
  </si>
  <si>
    <t>Sewer Discharge Permits</t>
  </si>
  <si>
    <t>Sewer Tapping Fee</t>
  </si>
  <si>
    <t>Sewer Connection Fee</t>
  </si>
  <si>
    <t>Government Entities Fee</t>
  </si>
  <si>
    <t>Rent - Miscellaneous</t>
  </si>
  <si>
    <t>Sewer-Class 1A Abatement Fees</t>
  </si>
  <si>
    <t>Sewer-Class II Abatement Fees</t>
  </si>
  <si>
    <t>Sewer-Class III Abatement Fees</t>
  </si>
  <si>
    <t>Sewer - Septic Dumping Fees</t>
  </si>
  <si>
    <t>Sewer - Low Pressure Fund</t>
  </si>
  <si>
    <t>Inspection-Billing Serv Fees</t>
  </si>
  <si>
    <t>Reimbursed expense-Refunds</t>
  </si>
  <si>
    <t>Ground Leases</t>
  </si>
  <si>
    <t>Public Levee-Truck Pkg Lease</t>
  </si>
  <si>
    <t>Public Levee-Office Lease</t>
  </si>
  <si>
    <t>Public Levee-Warehouse Leases</t>
  </si>
  <si>
    <t>Public Levee-Grain Elev Lease</t>
  </si>
  <si>
    <t>Public Levee-Cold Store Lease</t>
  </si>
  <si>
    <t>Cancelled Encumbrances</t>
  </si>
  <si>
    <t>Transfers to City General Fund</t>
  </si>
  <si>
    <t>Sunflower Hills-Snack Bar Fees</t>
  </si>
  <si>
    <t>Sunflower Hills Golf-Green Fees</t>
  </si>
  <si>
    <t>Sunflower Hills-Cart Rental Fees</t>
  </si>
  <si>
    <t>Driving Range</t>
  </si>
  <si>
    <t>Reim Expenses</t>
  </si>
  <si>
    <t>Cancelled Encumbraces</t>
  </si>
  <si>
    <t>Reimburses Exp-Other</t>
  </si>
  <si>
    <t>Fines-Alcohol Substance Abuse</t>
  </si>
  <si>
    <t>Reimbursements</t>
  </si>
  <si>
    <t>Transient Guest Hotel Tax</t>
  </si>
  <si>
    <t>911 Tax Fees</t>
  </si>
  <si>
    <t>E911 Taxes</t>
  </si>
  <si>
    <t>City Sales Tax Revenue</t>
  </si>
  <si>
    <t>City Compensating Use Tax</t>
  </si>
  <si>
    <t>EMS Event Fees</t>
  </si>
  <si>
    <t>EMS Memberships</t>
  </si>
  <si>
    <t>EMS Use Charges</t>
  </si>
  <si>
    <t>Edwardsville EMS Contract</t>
  </si>
  <si>
    <t>Collection Agency Revenues</t>
  </si>
  <si>
    <t>Interest Income</t>
  </si>
  <si>
    <t>Operating Transfer from Sales Tax Fund</t>
  </si>
  <si>
    <t>Cancelled PO's P.YR.</t>
  </si>
  <si>
    <t>Stormwater Use Fees</t>
  </si>
  <si>
    <t>Transfers to Bond &amp; Interest</t>
  </si>
  <si>
    <t>Transfers to Emergency Medical Services</t>
  </si>
  <si>
    <t>Intergovt. Revenues</t>
  </si>
  <si>
    <t>Charges for Services</t>
  </si>
  <si>
    <t>Fines, Forfeits, Fees</t>
  </si>
  <si>
    <t>Transfer-in</t>
  </si>
  <si>
    <t>Tax Revenue</t>
  </si>
  <si>
    <t>Contractual Services</t>
  </si>
  <si>
    <t>Commodities</t>
  </si>
  <si>
    <t>Grant, claims</t>
  </si>
  <si>
    <t>Transfer-out</t>
  </si>
  <si>
    <t>City Bond and Interest</t>
  </si>
  <si>
    <t>Sewer System Enterprise</t>
  </si>
  <si>
    <t>Public Levee Enterprise</t>
  </si>
  <si>
    <t>Street Fund</t>
  </si>
  <si>
    <t>Emergency Medical Services</t>
  </si>
  <si>
    <t>City General Fund</t>
  </si>
  <si>
    <t>Capital Projects</t>
  </si>
  <si>
    <t xml:space="preserve">Dedicated Sales Tax </t>
  </si>
  <si>
    <t>Series 2002 A&amp;B</t>
  </si>
  <si>
    <t>Series 2004 ABC</t>
  </si>
  <si>
    <t>Series 2005A</t>
  </si>
  <si>
    <t>Series 2006 A&amp;B</t>
  </si>
  <si>
    <t>Series 2007A</t>
  </si>
  <si>
    <t>Series 2008 ABCD</t>
  </si>
  <si>
    <t>Series 2009 A&amp;B</t>
  </si>
  <si>
    <t>Series 2010 ABCD</t>
  </si>
  <si>
    <t>Series 2010 E</t>
  </si>
  <si>
    <t>State Revolving Loan</t>
  </si>
  <si>
    <t>Temporary Notes 2009-VI</t>
  </si>
  <si>
    <t>Temporary Notes 2010-I</t>
  </si>
  <si>
    <t>Temporary Notes 2010-II</t>
  </si>
  <si>
    <t>Limited Obligation:</t>
  </si>
  <si>
    <t>2001 Sales Tax Obligation Bonds</t>
  </si>
  <si>
    <t>2004 Sales Tax Obligation Bonds</t>
  </si>
  <si>
    <t>2005 Sales Tax Obligation Bonds - Refunding</t>
  </si>
  <si>
    <t>Series 2006 NFM/Cabela's TDD</t>
  </si>
  <si>
    <t>Series 2006 TDD - RED</t>
  </si>
  <si>
    <t>Prescott Plaza TDD</t>
  </si>
  <si>
    <t>Happy Foods TDD</t>
  </si>
  <si>
    <t>Series 2010 B Redev Proj Area B</t>
  </si>
  <si>
    <t>Total Limited Obligation</t>
  </si>
  <si>
    <t>4.0 to 5.125</t>
  </si>
  <si>
    <t>3.2 to 5.54</t>
  </si>
  <si>
    <t>3.75 to 5.0</t>
  </si>
  <si>
    <t>4.68-5.4</t>
  </si>
  <si>
    <t>Various</t>
  </si>
  <si>
    <t>1.80-4.50</t>
  </si>
  <si>
    <t>1.85-5.0</t>
  </si>
  <si>
    <t>4.0-5.0</t>
  </si>
  <si>
    <t>4.0-5.5</t>
  </si>
  <si>
    <t>3.5-5.0</t>
  </si>
  <si>
    <t>3.25-6.0</t>
  </si>
  <si>
    <t>2.82-4.77</t>
  </si>
  <si>
    <t>Fire Pumpers</t>
  </si>
  <si>
    <t>Fire Aerials</t>
  </si>
  <si>
    <t>Fire-Heavy Rescue Unit</t>
  </si>
  <si>
    <t>Fire Pumper Apparatus (2)</t>
  </si>
  <si>
    <t>Fire Pumpers (2)</t>
  </si>
  <si>
    <t>Quint-Fire</t>
  </si>
  <si>
    <t>2004 Lease Pkg Sch 4</t>
  </si>
  <si>
    <t>2004 Lease Pkg Sch 5</t>
  </si>
  <si>
    <t>2004 Lease Pkg Sch 6</t>
  </si>
  <si>
    <t>2004 Lease Pkg Sch 7</t>
  </si>
  <si>
    <t>2005 Lease Pkg Sch 2</t>
  </si>
  <si>
    <t>2005 Lease Pkg Sch 3</t>
  </si>
  <si>
    <t>2005 Lease Pkg Sch 4</t>
  </si>
  <si>
    <t>2005 Lease Pkg Sch 5</t>
  </si>
  <si>
    <t>2006 Lease Pkg Sch 7</t>
  </si>
  <si>
    <t>2006 Lease Pkg Sch 8</t>
  </si>
  <si>
    <t>2006 Lease Pkg Sch 9</t>
  </si>
  <si>
    <t>2006 Lease Pkg Sch 10</t>
  </si>
  <si>
    <t>2007 Lease Pkg Sch 13</t>
  </si>
  <si>
    <t>2007 Lease Pkg Sch 14</t>
  </si>
  <si>
    <t>2007 Lease Pkg Sch 16</t>
  </si>
  <si>
    <t>2007 Lease Pkg Sch 17</t>
  </si>
  <si>
    <t>2008 Lease Pkg Sch 1</t>
  </si>
  <si>
    <t>2008 Lease Pkg Sch 2</t>
  </si>
  <si>
    <t>2008 Lease Pkg Sch 3</t>
  </si>
  <si>
    <t>2008 Lease Pkg Sch 4</t>
  </si>
  <si>
    <t>2008 Lease Pkg Sch 5</t>
  </si>
  <si>
    <t xml:space="preserve">2010 Lease Pkg </t>
  </si>
  <si>
    <t>Reim Expense-Economic Develop</t>
  </si>
  <si>
    <t>Environmental Waste Fee</t>
  </si>
  <si>
    <t>Transfers from City General Fund</t>
  </si>
  <si>
    <t>Miscellaneous Revenues</t>
  </si>
  <si>
    <t>State-Other State Grands</t>
  </si>
  <si>
    <t>Feb/Aug</t>
  </si>
  <si>
    <t>Aug</t>
  </si>
  <si>
    <t>Mar/Sept</t>
  </si>
  <si>
    <t>Sept</t>
  </si>
  <si>
    <t>Apr/Oct</t>
  </si>
  <si>
    <t>Apr</t>
  </si>
  <si>
    <t>June/Dec</t>
  </si>
  <si>
    <t>Dec</t>
  </si>
  <si>
    <t>March</t>
  </si>
  <si>
    <t>Jun/Dec</t>
  </si>
  <si>
    <t>Jun/Mar</t>
  </si>
  <si>
    <t>Series 2010 H</t>
  </si>
  <si>
    <t>Series 2010 G</t>
  </si>
  <si>
    <t>Series 2010 F</t>
  </si>
  <si>
    <t>Temporary Notes 2011-I</t>
  </si>
  <si>
    <t>April</t>
  </si>
  <si>
    <t>Temporary Notes 2011-II</t>
  </si>
  <si>
    <t>Temporary Notes 2011-III</t>
  </si>
  <si>
    <t>Temporary Notes 2011-IV</t>
  </si>
  <si>
    <t>May/Nov</t>
  </si>
  <si>
    <t>May</t>
  </si>
  <si>
    <t>Series 2011 A</t>
  </si>
  <si>
    <t>Series 2011 C</t>
  </si>
  <si>
    <t>2.83-3.42</t>
  </si>
  <si>
    <t>Speedway Surplus</t>
  </si>
  <si>
    <r>
      <t xml:space="preserve">Total Valuation Adjustment </t>
    </r>
    <r>
      <rPr>
        <sz val="11"/>
        <rFont val="Arial"/>
        <family val="2"/>
      </rPr>
      <t>(Sum of 4, 5c, 6d &amp;7)</t>
    </r>
  </si>
  <si>
    <t>Miscellaneous as required (for debt)</t>
  </si>
  <si>
    <t>TDD Revenue</t>
  </si>
  <si>
    <t>CID Revenue</t>
  </si>
  <si>
    <t>Ticket Tax Revenue</t>
  </si>
  <si>
    <t>12-5304</t>
  </si>
  <si>
    <t>12-825d</t>
  </si>
  <si>
    <t>13-1238</t>
  </si>
  <si>
    <t>13-13,101</t>
  </si>
  <si>
    <t>13-1055b</t>
  </si>
  <si>
    <t>12-602</t>
  </si>
  <si>
    <t>12-197</t>
  </si>
  <si>
    <t>12-1,118</t>
  </si>
  <si>
    <t>12-187</t>
  </si>
  <si>
    <t>will meet on July 28, 2011 at 5:00 PM in the Commission Chambers of the Municipal Office Building for the purpose of hearing and</t>
  </si>
  <si>
    <t>Lew Levin, Chief Financial Officer</t>
  </si>
  <si>
    <t>Limited Obligations</t>
  </si>
  <si>
    <t>Temporary Notes</t>
  </si>
  <si>
    <t xml:space="preserve">  Limited Obligations</t>
  </si>
  <si>
    <t xml:space="preserve">  Temporary Notes</t>
  </si>
  <si>
    <t>KC-2</t>
  </si>
  <si>
    <t>KC-3</t>
  </si>
  <si>
    <t>KC-4</t>
  </si>
  <si>
    <t>KC-5</t>
  </si>
  <si>
    <t>KC-6</t>
  </si>
  <si>
    <t>KC-7</t>
  </si>
  <si>
    <t>KC-9</t>
  </si>
  <si>
    <t>KC-10</t>
  </si>
  <si>
    <t>KC-11</t>
  </si>
  <si>
    <t>KC-12</t>
  </si>
  <si>
    <t>KC-13</t>
  </si>
  <si>
    <t>KC-14</t>
  </si>
  <si>
    <t>KC-15</t>
  </si>
  <si>
    <t>KC-16</t>
  </si>
  <si>
    <t>KC-17</t>
  </si>
  <si>
    <t>KC-18</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</si>
</sst>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9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1"/>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sz val="12"/>
      <name val="Courier New"/>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2"/>
      <name val="Arial"/>
      <family val="2"/>
    </font>
    <font>
      <sz val="12"/>
      <name val="Arial"/>
      <family val="2"/>
    </font>
    <font>
      <b/>
      <sz val="12"/>
      <name val="Arial"/>
      <family val="2"/>
    </font>
    <font>
      <b/>
      <u val="single"/>
      <sz val="12"/>
      <color indexed="10"/>
      <name val="Arial"/>
      <family val="2"/>
    </font>
    <font>
      <b/>
      <sz val="12"/>
      <color indexed="10"/>
      <name val="Arial"/>
      <family val="2"/>
    </font>
    <font>
      <sz val="12"/>
      <color indexed="10"/>
      <name val="Arial"/>
      <family val="2"/>
    </font>
    <font>
      <u val="single"/>
      <sz val="12"/>
      <name val="Arial"/>
      <family val="2"/>
    </font>
    <font>
      <sz val="11"/>
      <name val="Arial"/>
      <family val="2"/>
    </font>
    <font>
      <b/>
      <u val="single"/>
      <sz val="10"/>
      <name val="Arial"/>
      <family val="2"/>
    </font>
    <font>
      <sz val="10"/>
      <name val="Arial"/>
      <family val="2"/>
    </font>
    <font>
      <sz val="9"/>
      <color indexed="10"/>
      <name val="Arial"/>
      <family val="2"/>
    </font>
    <font>
      <b/>
      <sz val="10"/>
      <name val="Arial"/>
      <family val="2"/>
    </font>
    <font>
      <b/>
      <sz val="11"/>
      <name val="Arial"/>
      <family val="2"/>
    </font>
    <font>
      <sz val="11"/>
      <color indexed="10"/>
      <name val="Arial"/>
      <family val="2"/>
    </font>
    <font>
      <b/>
      <u val="single"/>
      <sz val="11"/>
      <name val="Arial"/>
      <family val="2"/>
    </font>
    <font>
      <b/>
      <u val="single"/>
      <sz val="11"/>
      <color indexed="10"/>
      <name val="Arial"/>
      <family val="2"/>
    </font>
    <font>
      <b/>
      <u val="single"/>
      <sz val="10"/>
      <color indexed="10"/>
      <name val="Arial"/>
      <family val="2"/>
    </font>
    <font>
      <i/>
      <sz val="10"/>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b/>
      <sz val="11"/>
      <color indexed="10"/>
      <name val="Arial"/>
      <family val="2"/>
    </font>
    <font>
      <u val="single"/>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rgb="FF000000"/>
      <name val="Cambria"/>
      <family val="1"/>
    </font>
    <font>
      <b/>
      <sz val="12"/>
      <color rgb="FF000000"/>
      <name val="Times New Roman"/>
      <family val="1"/>
    </font>
    <font>
      <sz val="12"/>
      <color rgb="FFFF0000"/>
      <name val="Arial"/>
      <family val="2"/>
    </font>
    <font>
      <b/>
      <sz val="12"/>
      <color rgb="FFFF0000"/>
      <name val="Arial"/>
      <family val="2"/>
    </font>
    <font>
      <b/>
      <sz val="11"/>
      <color rgb="FFFF0000"/>
      <name val="Arial"/>
      <family val="2"/>
    </font>
    <font>
      <sz val="11"/>
      <color rgb="FFFF0000"/>
      <name val="Arial"/>
      <family val="2"/>
    </font>
    <font>
      <u val="single"/>
      <sz val="11"/>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rgb="FFFFFFC0"/>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color indexed="63"/>
      </left>
      <right>
        <color indexed="63"/>
      </right>
      <top style="thin"/>
      <bottom>
        <color indexed="63"/>
      </bottom>
    </border>
    <border>
      <left/>
      <right style="medium"/>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medium"/>
      <bottom style="thin"/>
    </border>
    <border>
      <left>
        <color indexed="63"/>
      </left>
      <right>
        <color indexed="63"/>
      </right>
      <top>
        <color indexed="63"/>
      </top>
      <bottom style="double"/>
    </border>
  </borders>
  <cellStyleXfs count="4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84">
    <xf numFmtId="0" fontId="0" fillId="0" borderId="0" xfId="0" applyAlignment="1">
      <alignment/>
    </xf>
    <xf numFmtId="0" fontId="5" fillId="0" borderId="0" xfId="0" applyFont="1" applyAlignment="1">
      <alignment/>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6"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horizontal="centerContinuous"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2"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vertical="center"/>
      <protection/>
    </xf>
    <xf numFmtId="0" fontId="5" fillId="34" borderId="13" xfId="0" applyFont="1" applyFill="1" applyBorder="1" applyAlignment="1" applyProtection="1">
      <alignment vertical="center"/>
      <protection/>
    </xf>
    <xf numFmtId="3" fontId="5" fillId="34" borderId="0" xfId="0" applyNumberFormat="1" applyFont="1" applyFill="1" applyAlignment="1" applyProtection="1">
      <alignment vertical="center"/>
      <protection/>
    </xf>
    <xf numFmtId="3" fontId="5" fillId="33" borderId="10" xfId="0" applyNumberFormat="1" applyFont="1" applyFill="1" applyBorder="1" applyAlignment="1" applyProtection="1">
      <alignment vertical="center"/>
      <protection locked="0"/>
    </xf>
    <xf numFmtId="0" fontId="0" fillId="0" borderId="0" xfId="0" applyAlignment="1">
      <alignment vertical="center"/>
    </xf>
    <xf numFmtId="37" fontId="5" fillId="34" borderId="12"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4" xfId="0" applyFill="1" applyBorder="1" applyAlignment="1">
      <alignment vertical="center"/>
    </xf>
    <xf numFmtId="0" fontId="5" fillId="34" borderId="12" xfId="0" applyFont="1"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6" borderId="0" xfId="0" applyFill="1" applyAlignment="1">
      <alignment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15" fillId="34" borderId="0" xfId="0" applyFont="1" applyFill="1" applyAlignment="1">
      <alignment vertical="center"/>
    </xf>
    <xf numFmtId="0" fontId="17" fillId="34" borderId="0" xfId="0" applyFont="1" applyFill="1" applyAlignment="1">
      <alignment vertical="center"/>
    </xf>
    <xf numFmtId="37" fontId="5" fillId="34" borderId="10" xfId="0" applyNumberFormat="1" applyFont="1" applyFill="1" applyBorder="1" applyAlignment="1">
      <alignment vertical="center"/>
    </xf>
    <xf numFmtId="37" fontId="5" fillId="34" borderId="16"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0" xfId="0" applyFont="1" applyFill="1" applyAlignment="1" applyProtection="1">
      <alignment horizontal="left"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3" fontId="5" fillId="34" borderId="11"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5" xfId="0"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37" fontId="5" fillId="39" borderId="18" xfId="0" applyNumberFormat="1" applyFont="1" applyFill="1" applyBorder="1" applyAlignment="1" applyProtection="1">
      <alignment horizontal="center" vertical="center"/>
      <protection/>
    </xf>
    <xf numFmtId="3" fontId="5" fillId="39" borderId="18"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9" borderId="11" xfId="0" applyNumberFormat="1" applyFont="1" applyFill="1" applyBorder="1" applyAlignment="1" applyProtection="1">
      <alignment vertical="center"/>
      <protection/>
    </xf>
    <xf numFmtId="0" fontId="5" fillId="34" borderId="10" xfId="0"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0" fontId="4" fillId="34" borderId="0" xfId="0" applyFont="1" applyFill="1" applyAlignment="1" applyProtection="1">
      <alignment vertical="center"/>
      <protection/>
    </xf>
    <xf numFmtId="0" fontId="5" fillId="34" borderId="16" xfId="0" applyNumberFormat="1" applyFont="1" applyFill="1" applyBorder="1" applyAlignment="1" applyProtection="1">
      <alignment horizontal="center" vertical="center"/>
      <protection/>
    </xf>
    <xf numFmtId="37" fontId="5" fillId="33" borderId="10" xfId="0" applyNumberFormat="1" applyFont="1" applyFill="1" applyBorder="1" applyAlignment="1" applyProtection="1">
      <alignment vertical="center"/>
      <protection locked="0"/>
    </xf>
    <xf numFmtId="37" fontId="15" fillId="40" borderId="13"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9" borderId="18" xfId="0" applyNumberFormat="1" applyFont="1" applyFill="1" applyBorder="1" applyAlignment="1" applyProtection="1">
      <alignment vertical="center"/>
      <protection/>
    </xf>
    <xf numFmtId="0" fontId="15"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0" fontId="6" fillId="0" borderId="0" xfId="0" applyFont="1" applyAlignment="1">
      <alignment vertical="center"/>
    </xf>
    <xf numFmtId="37" fontId="4" fillId="41" borderId="10" xfId="0" applyNumberFormat="1" applyFont="1" applyFill="1" applyBorder="1" applyAlignment="1" applyProtection="1">
      <alignment vertical="center"/>
      <protection/>
    </xf>
    <xf numFmtId="37" fontId="5" fillId="41"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0" fontId="5" fillId="0" borderId="0" xfId="377" applyFont="1" applyAlignment="1">
      <alignment vertical="center"/>
      <protection/>
    </xf>
    <xf numFmtId="0" fontId="5" fillId="0" borderId="0" xfId="146" applyFont="1" applyAlignment="1">
      <alignment vertical="center" wrapText="1"/>
      <protection/>
    </xf>
    <xf numFmtId="0" fontId="25" fillId="0" borderId="0" xfId="383">
      <alignment/>
      <protection/>
    </xf>
    <xf numFmtId="0" fontId="5" fillId="0" borderId="0" xfId="383" applyFont="1" applyAlignment="1">
      <alignment horizontal="left" vertical="center"/>
      <protection/>
    </xf>
    <xf numFmtId="0" fontId="25" fillId="0" borderId="0" xfId="383" applyNumberFormat="1" applyFont="1" applyAlignment="1">
      <alignment horizontal="left" vertical="center"/>
      <protection/>
    </xf>
    <xf numFmtId="49" fontId="5" fillId="42" borderId="0" xfId="383" applyNumberFormat="1" applyFont="1" applyFill="1" applyAlignment="1" applyProtection="1">
      <alignment horizontal="left" vertical="center"/>
      <protection locked="0"/>
    </xf>
    <xf numFmtId="189" fontId="11" fillId="0" borderId="0" xfId="383" applyNumberFormat="1" applyFont="1" applyAlignment="1">
      <alignment horizontal="left" vertical="center"/>
      <protection/>
    </xf>
    <xf numFmtId="49" fontId="5" fillId="0" borderId="0" xfId="383" applyNumberFormat="1" applyFont="1" applyAlignment="1">
      <alignment horizontal="left" vertical="center"/>
      <protection/>
    </xf>
    <xf numFmtId="0" fontId="11" fillId="0" borderId="0" xfId="383" applyFont="1" applyAlignment="1">
      <alignment horizontal="left" vertical="center"/>
      <protection/>
    </xf>
    <xf numFmtId="190" fontId="11" fillId="0" borderId="0" xfId="383" applyNumberFormat="1" applyFont="1" applyAlignment="1">
      <alignment horizontal="left" vertical="center"/>
      <protection/>
    </xf>
    <xf numFmtId="0" fontId="5" fillId="42" borderId="0" xfId="383" applyFont="1" applyFill="1" applyAlignment="1" applyProtection="1">
      <alignment horizontal="left" vertical="center"/>
      <protection locked="0"/>
    </xf>
    <xf numFmtId="0" fontId="25" fillId="42" borderId="0" xfId="383" applyFill="1" applyAlignment="1" applyProtection="1">
      <alignment horizontal="left" vertical="center"/>
      <protection locked="0"/>
    </xf>
    <xf numFmtId="0" fontId="0" fillId="0" borderId="0" xfId="186" applyFont="1" applyFill="1">
      <alignment/>
      <protection/>
    </xf>
    <xf numFmtId="0" fontId="0" fillId="0" borderId="0" xfId="186" applyFont="1">
      <alignment/>
      <protection/>
    </xf>
    <xf numFmtId="0" fontId="14"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7" applyFont="1" applyAlignment="1">
      <alignment vertical="center"/>
      <protection/>
    </xf>
    <xf numFmtId="0" fontId="6" fillId="0" borderId="0" xfId="121" applyFont="1" applyAlignment="1">
      <alignment vertical="center"/>
      <protection/>
    </xf>
    <xf numFmtId="0" fontId="5" fillId="0" borderId="0" xfId="263" applyFont="1" applyAlignment="1">
      <alignment vertical="center" wrapText="1"/>
      <protection/>
    </xf>
    <xf numFmtId="0" fontId="5" fillId="0" borderId="0" xfId="125" applyFont="1" applyAlignment="1">
      <alignment vertical="center" wrapText="1"/>
      <protection/>
    </xf>
    <xf numFmtId="0" fontId="5" fillId="0" borderId="0" xfId="129" applyFont="1" applyAlignment="1">
      <alignment vertical="center" wrapText="1"/>
      <protection/>
    </xf>
    <xf numFmtId="0" fontId="5" fillId="0" borderId="0" xfId="138" applyFont="1" applyAlignment="1">
      <alignment vertical="center" wrapText="1"/>
      <protection/>
    </xf>
    <xf numFmtId="188" fontId="5" fillId="33" borderId="16" xfId="0" applyNumberFormat="1" applyFont="1" applyFill="1" applyBorder="1" applyAlignment="1" applyProtection="1">
      <alignment vertical="center"/>
      <protection locked="0"/>
    </xf>
    <xf numFmtId="37" fontId="5" fillId="34" borderId="0" xfId="86" applyNumberFormat="1" applyFont="1" applyFill="1" applyAlignment="1" applyProtection="1">
      <alignment horizontal="right" vertical="center"/>
      <protection/>
    </xf>
    <xf numFmtId="0" fontId="27" fillId="0" borderId="0" xfId="0" applyFont="1" applyAlignment="1">
      <alignment/>
    </xf>
    <xf numFmtId="0" fontId="27" fillId="43" borderId="0" xfId="0" applyFont="1" applyFill="1" applyAlignment="1">
      <alignment/>
    </xf>
    <xf numFmtId="0" fontId="27" fillId="44" borderId="0" xfId="0" applyFont="1" applyFill="1" applyAlignment="1">
      <alignment/>
    </xf>
    <xf numFmtId="0" fontId="86" fillId="43" borderId="0" xfId="0" applyFont="1" applyFill="1" applyAlignment="1">
      <alignment horizontal="center" wrapText="1"/>
    </xf>
    <xf numFmtId="0" fontId="86" fillId="44" borderId="0" xfId="0" applyFont="1" applyFill="1" applyAlignment="1">
      <alignment/>
    </xf>
    <xf numFmtId="0" fontId="27" fillId="44" borderId="0" xfId="0" applyFont="1" applyFill="1" applyAlignment="1">
      <alignment horizontal="center"/>
    </xf>
    <xf numFmtId="0" fontId="86" fillId="44" borderId="19" xfId="0" applyFont="1" applyFill="1" applyBorder="1" applyAlignment="1">
      <alignment/>
    </xf>
    <xf numFmtId="0" fontId="27" fillId="44" borderId="20" xfId="0" applyFont="1" applyFill="1" applyBorder="1" applyAlignment="1">
      <alignment/>
    </xf>
    <xf numFmtId="0" fontId="27" fillId="44" borderId="21" xfId="0" applyFont="1" applyFill="1" applyBorder="1" applyAlignment="1">
      <alignment/>
    </xf>
    <xf numFmtId="195" fontId="27" fillId="44" borderId="22" xfId="0" applyNumberFormat="1" applyFont="1" applyFill="1" applyBorder="1" applyAlignment="1">
      <alignment/>
    </xf>
    <xf numFmtId="0" fontId="27" fillId="44" borderId="0" xfId="0" applyFont="1" applyFill="1" applyBorder="1" applyAlignment="1">
      <alignment/>
    </xf>
    <xf numFmtId="195" fontId="27" fillId="44" borderId="11" xfId="0" applyNumberFormat="1" applyFont="1" applyFill="1" applyBorder="1" applyAlignment="1">
      <alignment horizontal="center"/>
    </xf>
    <xf numFmtId="0" fontId="27" fillId="44" borderId="23" xfId="0" applyFont="1" applyFill="1" applyBorder="1" applyAlignment="1">
      <alignment/>
    </xf>
    <xf numFmtId="0" fontId="27" fillId="44" borderId="24" xfId="0" applyFont="1" applyFill="1" applyBorder="1" applyAlignment="1">
      <alignment/>
    </xf>
    <xf numFmtId="0" fontId="27" fillId="44" borderId="25" xfId="0" applyFont="1" applyFill="1" applyBorder="1" applyAlignment="1">
      <alignment/>
    </xf>
    <xf numFmtId="0" fontId="27" fillId="44" borderId="26" xfId="0" applyFont="1" applyFill="1" applyBorder="1" applyAlignment="1">
      <alignment/>
    </xf>
    <xf numFmtId="195" fontId="27" fillId="44" borderId="0" xfId="0" applyNumberFormat="1" applyFont="1" applyFill="1" applyAlignment="1">
      <alignment/>
    </xf>
    <xf numFmtId="0" fontId="27" fillId="44" borderId="19" xfId="0" applyFont="1" applyFill="1" applyBorder="1" applyAlignment="1">
      <alignment/>
    </xf>
    <xf numFmtId="0" fontId="27" fillId="44" borderId="27" xfId="0" applyFont="1" applyFill="1" applyBorder="1" applyAlignment="1">
      <alignment/>
    </xf>
    <xf numFmtId="195" fontId="27" fillId="42" borderId="22" xfId="0" applyNumberFormat="1" applyFont="1" applyFill="1" applyBorder="1" applyAlignment="1" applyProtection="1">
      <alignment horizontal="center"/>
      <protection locked="0"/>
    </xf>
    <xf numFmtId="188" fontId="27" fillId="44" borderId="0" xfId="0" applyNumberFormat="1" applyFont="1" applyFill="1" applyBorder="1" applyAlignment="1">
      <alignment horizontal="center"/>
    </xf>
    <xf numFmtId="0" fontId="87" fillId="0" borderId="0" xfId="0" applyFont="1" applyBorder="1" applyAlignment="1">
      <alignment/>
    </xf>
    <xf numFmtId="0" fontId="27" fillId="0" borderId="0" xfId="0" applyFont="1" applyBorder="1" applyAlignment="1">
      <alignment/>
    </xf>
    <xf numFmtId="0" fontId="86" fillId="0" borderId="0" xfId="0" applyFont="1" applyBorder="1" applyAlignment="1">
      <alignment horizontal="centerContinuous"/>
    </xf>
    <xf numFmtId="0" fontId="27" fillId="0" borderId="0" xfId="0" applyFont="1" applyBorder="1" applyAlignment="1">
      <alignment horizontal="centerContinuous"/>
    </xf>
    <xf numFmtId="0" fontId="27" fillId="43" borderId="0" xfId="0" applyFont="1" applyFill="1" applyBorder="1" applyAlignment="1">
      <alignment/>
    </xf>
    <xf numFmtId="0" fontId="27" fillId="44" borderId="28" xfId="0" applyFont="1" applyFill="1" applyBorder="1" applyAlignment="1">
      <alignment/>
    </xf>
    <xf numFmtId="0" fontId="27" fillId="44" borderId="29" xfId="0" applyFont="1" applyFill="1" applyBorder="1" applyAlignment="1">
      <alignment/>
    </xf>
    <xf numFmtId="0" fontId="27" fillId="44" borderId="30" xfId="0" applyFont="1" applyFill="1" applyBorder="1" applyAlignment="1">
      <alignment/>
    </xf>
    <xf numFmtId="196" fontId="27" fillId="44" borderId="0" xfId="0" applyNumberFormat="1" applyFont="1" applyFill="1" applyBorder="1" applyAlignment="1">
      <alignment horizontal="center"/>
    </xf>
    <xf numFmtId="5" fontId="27" fillId="44" borderId="25" xfId="0" applyNumberFormat="1" applyFont="1" applyFill="1" applyBorder="1" applyAlignment="1">
      <alignment horizontal="center"/>
    </xf>
    <xf numFmtId="0" fontId="27" fillId="44" borderId="25" xfId="0" applyFont="1" applyFill="1" applyBorder="1" applyAlignment="1">
      <alignment horizontal="center"/>
    </xf>
    <xf numFmtId="188" fontId="27" fillId="44" borderId="25" xfId="0" applyNumberFormat="1" applyFont="1" applyFill="1" applyBorder="1" applyAlignment="1">
      <alignment horizontal="center"/>
    </xf>
    <xf numFmtId="196" fontId="27" fillId="44" borderId="25" xfId="0" applyNumberFormat="1" applyFont="1" applyFill="1" applyBorder="1" applyAlignment="1">
      <alignment horizontal="center"/>
    </xf>
    <xf numFmtId="0" fontId="27" fillId="44" borderId="0" xfId="0" applyFont="1" applyFill="1" applyAlignment="1">
      <alignment horizontal="center" wrapText="1"/>
    </xf>
    <xf numFmtId="0" fontId="86" fillId="44" borderId="19" xfId="0" applyFont="1" applyFill="1" applyBorder="1" applyAlignment="1">
      <alignment/>
    </xf>
    <xf numFmtId="0" fontId="27" fillId="44" borderId="20" xfId="0" applyFont="1" applyFill="1" applyBorder="1" applyAlignment="1">
      <alignment/>
    </xf>
    <xf numFmtId="0" fontId="27" fillId="44" borderId="21" xfId="0" applyFont="1" applyFill="1" applyBorder="1" applyAlignment="1">
      <alignment/>
    </xf>
    <xf numFmtId="0" fontId="27" fillId="44" borderId="27" xfId="0" applyFont="1" applyFill="1" applyBorder="1" applyAlignment="1">
      <alignment/>
    </xf>
    <xf numFmtId="0" fontId="27" fillId="44" borderId="23" xfId="0" applyFont="1" applyFill="1" applyBorder="1" applyAlignment="1">
      <alignment/>
    </xf>
    <xf numFmtId="0" fontId="27" fillId="44" borderId="28" xfId="0" applyFont="1" applyFill="1" applyBorder="1" applyAlignment="1">
      <alignment/>
    </xf>
    <xf numFmtId="0" fontId="27" fillId="44" borderId="29" xfId="0" applyFont="1" applyFill="1" applyBorder="1" applyAlignment="1">
      <alignment/>
    </xf>
    <xf numFmtId="0" fontId="27" fillId="44" borderId="30" xfId="0" applyFont="1" applyFill="1" applyBorder="1" applyAlignment="1">
      <alignment/>
    </xf>
    <xf numFmtId="178" fontId="27" fillId="44" borderId="0" xfId="0" applyNumberFormat="1" applyFont="1" applyFill="1" applyBorder="1" applyAlignment="1">
      <alignment horizontal="center"/>
    </xf>
    <xf numFmtId="0" fontId="27" fillId="44" borderId="24" xfId="0" applyFont="1" applyFill="1" applyBorder="1" applyAlignment="1">
      <alignment/>
    </xf>
    <xf numFmtId="5" fontId="27" fillId="44" borderId="0" xfId="0" applyNumberFormat="1" applyFont="1" applyFill="1" applyBorder="1" applyAlignment="1">
      <alignment horizontal="center"/>
    </xf>
    <xf numFmtId="0" fontId="27" fillId="43" borderId="0" xfId="0" applyFont="1" applyFill="1" applyAlignment="1">
      <alignment/>
    </xf>
    <xf numFmtId="188" fontId="27" fillId="42" borderId="11" xfId="0" applyNumberFormat="1" applyFont="1" applyFill="1" applyBorder="1" applyAlignment="1" applyProtection="1">
      <alignment horizontal="center"/>
      <protection locked="0"/>
    </xf>
    <xf numFmtId="196" fontId="27" fillId="44" borderId="0" xfId="0" applyNumberFormat="1" applyFont="1" applyFill="1" applyBorder="1" applyAlignment="1">
      <alignment/>
    </xf>
    <xf numFmtId="0" fontId="27" fillId="45" borderId="0" xfId="0" applyFont="1" applyFill="1" applyAlignment="1">
      <alignment/>
    </xf>
    <xf numFmtId="0" fontId="29" fillId="0" borderId="0" xfId="0" applyFont="1" applyAlignment="1">
      <alignment horizontal="center"/>
    </xf>
    <xf numFmtId="0" fontId="5" fillId="0" borderId="0" xfId="0" applyFont="1" applyAlignment="1">
      <alignment wrapText="1"/>
    </xf>
    <xf numFmtId="0" fontId="30" fillId="0" borderId="0" xfId="63" applyFont="1" applyAlignment="1" applyProtection="1">
      <alignment/>
      <protection/>
    </xf>
    <xf numFmtId="0" fontId="5" fillId="0" borderId="0" xfId="90" applyFont="1" applyAlignment="1">
      <alignment vertical="center" wrapText="1"/>
      <protection/>
    </xf>
    <xf numFmtId="0" fontId="5" fillId="0" borderId="0" xfId="358" applyFont="1" applyAlignment="1">
      <alignment vertical="center" wrapText="1"/>
      <protection/>
    </xf>
    <xf numFmtId="0" fontId="5" fillId="0" borderId="0" xfId="367" applyNumberFormat="1" applyFont="1" applyAlignment="1">
      <alignment vertical="center" wrapText="1"/>
      <protection/>
    </xf>
    <xf numFmtId="0" fontId="19" fillId="0" borderId="0" xfId="0" applyFont="1" applyAlignment="1">
      <alignment/>
    </xf>
    <xf numFmtId="0" fontId="20"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5" fillId="0" borderId="0" xfId="90" applyFont="1" applyAlignment="1">
      <alignment vertical="center"/>
      <protection/>
    </xf>
    <xf numFmtId="0" fontId="88" fillId="0" borderId="0" xfId="0" applyFont="1" applyAlignment="1">
      <alignment wrapText="1"/>
    </xf>
    <xf numFmtId="0" fontId="22" fillId="0" borderId="0" xfId="0" applyFont="1" applyAlignment="1">
      <alignment wrapText="1"/>
    </xf>
    <xf numFmtId="0" fontId="6" fillId="0" borderId="0" xfId="122" applyFont="1" applyAlignment="1">
      <alignment vertical="center"/>
      <protection/>
    </xf>
    <xf numFmtId="188" fontId="5" fillId="33" borderId="10" xfId="0" applyNumberFormat="1" applyFont="1" applyFill="1" applyBorder="1" applyAlignment="1" applyProtection="1">
      <alignment vertical="center"/>
      <protection locked="0"/>
    </xf>
    <xf numFmtId="0" fontId="86" fillId="44" borderId="0" xfId="0" applyFont="1" applyFill="1" applyAlignment="1">
      <alignment horizontal="center" wrapText="1"/>
    </xf>
    <xf numFmtId="0" fontId="86" fillId="44" borderId="0" xfId="0" applyFont="1" applyFill="1" applyAlignment="1">
      <alignment horizontal="center"/>
    </xf>
    <xf numFmtId="195" fontId="27" fillId="44" borderId="0" xfId="0" applyNumberFormat="1" applyFont="1" applyFill="1" applyAlignment="1">
      <alignment horizontal="center"/>
    </xf>
    <xf numFmtId="195" fontId="27" fillId="42" borderId="11" xfId="0" applyNumberFormat="1" applyFont="1" applyFill="1" applyBorder="1" applyAlignment="1" applyProtection="1">
      <alignment horizontal="center"/>
      <protection locked="0"/>
    </xf>
    <xf numFmtId="0" fontId="27" fillId="44" borderId="0" xfId="0" applyFont="1" applyFill="1" applyBorder="1" applyAlignment="1">
      <alignment/>
    </xf>
    <xf numFmtId="0" fontId="27" fillId="44" borderId="26" xfId="0" applyFont="1" applyFill="1" applyBorder="1" applyAlignment="1">
      <alignment/>
    </xf>
    <xf numFmtId="0" fontId="27" fillId="44" borderId="0" xfId="0" applyFont="1" applyFill="1" applyBorder="1" applyAlignment="1">
      <alignment horizontal="center"/>
    </xf>
    <xf numFmtId="195" fontId="27" fillId="44" borderId="0" xfId="0" applyNumberFormat="1" applyFont="1" applyFill="1" applyBorder="1" applyAlignment="1">
      <alignment horizontal="center"/>
    </xf>
    <xf numFmtId="0" fontId="27" fillId="44" borderId="29" xfId="0" applyFont="1" applyFill="1" applyBorder="1" applyAlignment="1">
      <alignment horizontal="center"/>
    </xf>
    <xf numFmtId="37" fontId="7" fillId="34" borderId="15" xfId="0" applyNumberFormat="1" applyFont="1" applyFill="1" applyBorder="1" applyAlignment="1" applyProtection="1">
      <alignment horizontal="center" vertical="center"/>
      <protection/>
    </xf>
    <xf numFmtId="1" fontId="7" fillId="34" borderId="15"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7" fillId="34" borderId="10" xfId="0" applyNumberFormat="1" applyFont="1" applyFill="1" applyBorder="1" applyAlignment="1" applyProtection="1">
      <alignment horizontal="center" vertical="center"/>
      <protection/>
    </xf>
    <xf numFmtId="0" fontId="86" fillId="44" borderId="27" xfId="0" applyFont="1" applyFill="1" applyBorder="1" applyAlignment="1">
      <alignment horizontal="centerContinuous" vertical="center"/>
    </xf>
    <xf numFmtId="195" fontId="86" fillId="44" borderId="0" xfId="0" applyNumberFormat="1" applyFont="1" applyFill="1" applyBorder="1" applyAlignment="1">
      <alignment horizontal="centerContinuous" vertical="center"/>
    </xf>
    <xf numFmtId="0" fontId="86" fillId="44" borderId="0" xfId="0" applyFont="1" applyFill="1" applyBorder="1" applyAlignment="1">
      <alignment horizontal="centerContinuous" vertical="center"/>
    </xf>
    <xf numFmtId="188" fontId="86" fillId="44" borderId="0" xfId="0" applyNumberFormat="1" applyFont="1" applyFill="1" applyBorder="1" applyAlignment="1" applyProtection="1">
      <alignment horizontal="centerContinuous" vertical="center"/>
      <protection locked="0"/>
    </xf>
    <xf numFmtId="196" fontId="86" fillId="44" borderId="0" xfId="0" applyNumberFormat="1" applyFont="1" applyFill="1" applyBorder="1" applyAlignment="1">
      <alignment horizontal="centerContinuous" vertical="center"/>
    </xf>
    <xf numFmtId="0" fontId="86" fillId="44" borderId="23" xfId="0" applyFont="1" applyFill="1" applyBorder="1" applyAlignment="1">
      <alignment horizontal="centerContinuous" vertical="center"/>
    </xf>
    <xf numFmtId="0" fontId="86" fillId="44" borderId="27" xfId="0" applyFont="1" applyFill="1" applyBorder="1" applyAlignment="1">
      <alignment horizontal="centerContinuous"/>
    </xf>
    <xf numFmtId="195" fontId="86" fillId="44" borderId="0" xfId="0" applyNumberFormat="1" applyFont="1" applyFill="1" applyBorder="1" applyAlignment="1">
      <alignment horizontal="centerContinuous"/>
    </xf>
    <xf numFmtId="0" fontId="86" fillId="44" borderId="0" xfId="0" applyFont="1" applyFill="1" applyBorder="1" applyAlignment="1">
      <alignment horizontal="centerContinuous"/>
    </xf>
    <xf numFmtId="188" fontId="86" fillId="44" borderId="0" xfId="0" applyNumberFormat="1" applyFont="1" applyFill="1" applyBorder="1" applyAlignment="1" applyProtection="1">
      <alignment horizontal="centerContinuous"/>
      <protection locked="0"/>
    </xf>
    <xf numFmtId="196" fontId="86" fillId="44" borderId="0" xfId="0" applyNumberFormat="1" applyFont="1" applyFill="1" applyBorder="1" applyAlignment="1">
      <alignment horizontal="centerContinuous"/>
    </xf>
    <xf numFmtId="0" fontId="86" fillId="44" borderId="23" xfId="0" applyFont="1" applyFill="1" applyBorder="1" applyAlignment="1">
      <alignment horizontal="centerContinuous"/>
    </xf>
    <xf numFmtId="195" fontId="27" fillId="0" borderId="0" xfId="0" applyNumberFormat="1" applyFont="1" applyAlignment="1">
      <alignment/>
    </xf>
    <xf numFmtId="195" fontId="27" fillId="44" borderId="25" xfId="0" applyNumberFormat="1" applyFont="1" applyFill="1" applyBorder="1" applyAlignment="1">
      <alignment horizontal="center"/>
    </xf>
    <xf numFmtId="188" fontId="27" fillId="44" borderId="25" xfId="0" applyNumberFormat="1" applyFont="1" applyFill="1" applyBorder="1" applyAlignment="1" applyProtection="1">
      <alignment horizontal="center"/>
      <protection locked="0"/>
    </xf>
    <xf numFmtId="196" fontId="27" fillId="44" borderId="25" xfId="0" applyNumberFormat="1" applyFont="1" applyFill="1" applyBorder="1" applyAlignment="1">
      <alignment/>
    </xf>
    <xf numFmtId="188" fontId="27" fillId="44" borderId="0" xfId="0" applyNumberFormat="1" applyFont="1" applyFill="1" applyBorder="1" applyAlignment="1" applyProtection="1">
      <alignment horizontal="center"/>
      <protection locked="0"/>
    </xf>
    <xf numFmtId="195" fontId="27" fillId="44" borderId="20" xfId="0" applyNumberFormat="1" applyFont="1" applyFill="1" applyBorder="1" applyAlignment="1">
      <alignment horizontal="center"/>
    </xf>
    <xf numFmtId="0" fontId="27" fillId="44" borderId="20" xfId="0" applyFont="1" applyFill="1" applyBorder="1" applyAlignment="1">
      <alignment horizontal="center"/>
    </xf>
    <xf numFmtId="188" fontId="27" fillId="44" borderId="20" xfId="0" applyNumberFormat="1" applyFont="1" applyFill="1" applyBorder="1" applyAlignment="1" applyProtection="1">
      <alignment horizontal="center"/>
      <protection locked="0"/>
    </xf>
    <xf numFmtId="196" fontId="27" fillId="44" borderId="20" xfId="0" applyNumberFormat="1" applyFont="1" applyFill="1" applyBorder="1" applyAlignment="1">
      <alignment/>
    </xf>
    <xf numFmtId="195" fontId="27" fillId="44" borderId="0" xfId="0" applyNumberFormat="1" applyFont="1" applyFill="1" applyBorder="1" applyAlignment="1" applyProtection="1">
      <alignment horizontal="center"/>
      <protection locked="0"/>
    </xf>
    <xf numFmtId="37" fontId="33" fillId="34" borderId="0" xfId="0" applyNumberFormat="1" applyFont="1" applyFill="1" applyAlignment="1" applyProtection="1">
      <alignment horizontal="left" vertical="center"/>
      <protection/>
    </xf>
    <xf numFmtId="0" fontId="32" fillId="34" borderId="0" xfId="0" applyFont="1" applyFill="1" applyAlignment="1" applyProtection="1">
      <alignment vertical="center"/>
      <protection/>
    </xf>
    <xf numFmtId="37" fontId="32" fillId="33" borderId="11" xfId="0" applyNumberFormat="1" applyFont="1" applyFill="1" applyBorder="1" applyAlignment="1" applyProtection="1">
      <alignment horizontal="left" vertical="center"/>
      <protection locked="0"/>
    </xf>
    <xf numFmtId="0" fontId="32" fillId="33" borderId="11" xfId="0" applyFont="1" applyFill="1" applyBorder="1" applyAlignment="1" applyProtection="1">
      <alignment vertical="center"/>
      <protection/>
    </xf>
    <xf numFmtId="37" fontId="32" fillId="33" borderId="12" xfId="0" applyNumberFormat="1" applyFont="1" applyFill="1" applyBorder="1" applyAlignment="1" applyProtection="1">
      <alignment horizontal="left" vertical="center"/>
      <protection locked="0"/>
    </xf>
    <xf numFmtId="0" fontId="32" fillId="33" borderId="12" xfId="0" applyFont="1" applyFill="1" applyBorder="1" applyAlignment="1" applyProtection="1">
      <alignment vertical="center"/>
      <protection/>
    </xf>
    <xf numFmtId="37" fontId="32" fillId="34" borderId="0" xfId="0" applyNumberFormat="1" applyFont="1" applyFill="1" applyAlignment="1" applyProtection="1">
      <alignment horizontal="left" vertical="center"/>
      <protection/>
    </xf>
    <xf numFmtId="37" fontId="32" fillId="34" borderId="0" xfId="0" applyNumberFormat="1" applyFont="1" applyFill="1" applyBorder="1" applyAlignment="1" applyProtection="1">
      <alignment horizontal="left" vertical="center"/>
      <protection locked="0"/>
    </xf>
    <xf numFmtId="0" fontId="33" fillId="33" borderId="10" xfId="0" applyFont="1" applyFill="1" applyBorder="1" applyAlignment="1" applyProtection="1">
      <alignment horizontal="center" vertical="center"/>
      <protection locked="0"/>
    </xf>
    <xf numFmtId="37" fontId="33" fillId="34" borderId="0" xfId="0" applyNumberFormat="1" applyFont="1" applyFill="1" applyAlignment="1" applyProtection="1">
      <alignment horizontal="centerContinuous" vertical="center"/>
      <protection/>
    </xf>
    <xf numFmtId="0" fontId="32" fillId="34" borderId="0" xfId="0" applyFont="1" applyFill="1" applyAlignment="1" applyProtection="1">
      <alignment horizontal="centerContinuous" vertical="center"/>
      <protection/>
    </xf>
    <xf numFmtId="0" fontId="33" fillId="37" borderId="0" xfId="0" applyFont="1" applyFill="1" applyAlignment="1" applyProtection="1">
      <alignment vertical="center"/>
      <protection/>
    </xf>
    <xf numFmtId="0" fontId="32" fillId="37" borderId="0" xfId="0" applyFont="1" applyFill="1" applyAlignment="1" applyProtection="1">
      <alignment vertical="center"/>
      <protection/>
    </xf>
    <xf numFmtId="37" fontId="33" fillId="38" borderId="0" xfId="0" applyNumberFormat="1" applyFont="1" applyFill="1" applyAlignment="1" applyProtection="1">
      <alignment horizontal="left" vertical="center"/>
      <protection/>
    </xf>
    <xf numFmtId="0" fontId="32" fillId="38" borderId="0" xfId="0" applyFont="1" applyFill="1" applyAlignment="1" applyProtection="1">
      <alignment vertical="center"/>
      <protection/>
    </xf>
    <xf numFmtId="0" fontId="32" fillId="35" borderId="15" xfId="0" applyNumberFormat="1" applyFont="1" applyFill="1" applyBorder="1" applyAlignment="1" applyProtection="1">
      <alignment horizontal="center" vertical="center"/>
      <protection/>
    </xf>
    <xf numFmtId="37" fontId="32" fillId="34" borderId="14" xfId="0" applyNumberFormat="1" applyFont="1" applyFill="1" applyBorder="1" applyAlignment="1" applyProtection="1">
      <alignment horizontal="center" vertical="center"/>
      <protection/>
    </xf>
    <xf numFmtId="37" fontId="32" fillId="35" borderId="16" xfId="0" applyNumberFormat="1" applyFont="1" applyFill="1" applyBorder="1" applyAlignment="1" applyProtection="1">
      <alignment horizontal="center" vertical="center"/>
      <protection/>
    </xf>
    <xf numFmtId="37" fontId="32" fillId="34" borderId="10" xfId="0" applyNumberFormat="1" applyFont="1" applyFill="1" applyBorder="1" applyAlignment="1" applyProtection="1">
      <alignment horizontal="left" vertical="center"/>
      <protection/>
    </xf>
    <xf numFmtId="0" fontId="32" fillId="34" borderId="10" xfId="0" applyFont="1" applyFill="1" applyBorder="1" applyAlignment="1" applyProtection="1">
      <alignment horizontal="center" vertical="center"/>
      <protection/>
    </xf>
    <xf numFmtId="3" fontId="32" fillId="33" borderId="16" xfId="0" applyNumberFormat="1" applyFont="1" applyFill="1" applyBorder="1" applyAlignment="1" applyProtection="1">
      <alignment vertical="center"/>
      <protection locked="0"/>
    </xf>
    <xf numFmtId="3" fontId="32" fillId="33" borderId="10" xfId="0" applyNumberFormat="1" applyFont="1" applyFill="1" applyBorder="1" applyAlignment="1" applyProtection="1">
      <alignment vertical="center"/>
      <protection locked="0"/>
    </xf>
    <xf numFmtId="0" fontId="32" fillId="34" borderId="0" xfId="0" applyFont="1" applyFill="1" applyAlignment="1">
      <alignment vertical="center"/>
    </xf>
    <xf numFmtId="37" fontId="32" fillId="34" borderId="11" xfId="0" applyNumberFormat="1" applyFont="1" applyFill="1" applyBorder="1" applyAlignment="1" applyProtection="1">
      <alignment horizontal="left" vertical="center"/>
      <protection/>
    </xf>
    <xf numFmtId="0" fontId="32" fillId="34" borderId="11" xfId="0" applyFont="1" applyFill="1" applyBorder="1" applyAlignment="1" applyProtection="1">
      <alignment vertical="center"/>
      <protection/>
    </xf>
    <xf numFmtId="0" fontId="32" fillId="34" borderId="12" xfId="0" applyFont="1" applyFill="1" applyBorder="1" applyAlignment="1" applyProtection="1">
      <alignment vertical="center"/>
      <protection/>
    </xf>
    <xf numFmtId="37" fontId="32" fillId="34" borderId="13" xfId="0" applyNumberFormat="1" applyFont="1" applyFill="1" applyBorder="1" applyAlignment="1" applyProtection="1">
      <alignment vertical="center"/>
      <protection/>
    </xf>
    <xf numFmtId="37" fontId="32" fillId="39" borderId="13" xfId="0" applyNumberFormat="1" applyFont="1" applyFill="1" applyBorder="1" applyAlignment="1" applyProtection="1">
      <alignment vertical="center"/>
      <protection/>
    </xf>
    <xf numFmtId="37" fontId="32" fillId="34" borderId="0" xfId="0" applyNumberFormat="1" applyFont="1" applyFill="1" applyBorder="1" applyAlignment="1" applyProtection="1">
      <alignment horizontal="left" vertical="center"/>
      <protection/>
    </xf>
    <xf numFmtId="0" fontId="32" fillId="34" borderId="0" xfId="0" applyFont="1" applyFill="1" applyBorder="1" applyAlignment="1" applyProtection="1">
      <alignment vertical="center"/>
      <protection/>
    </xf>
    <xf numFmtId="37" fontId="32" fillId="34" borderId="0" xfId="0" applyNumberFormat="1" applyFont="1" applyFill="1" applyBorder="1" applyAlignment="1" applyProtection="1">
      <alignment vertical="center"/>
      <protection/>
    </xf>
    <xf numFmtId="0" fontId="32" fillId="34" borderId="10" xfId="0" applyFont="1" applyFill="1" applyBorder="1" applyAlignment="1" applyProtection="1">
      <alignment vertical="center"/>
      <protection/>
    </xf>
    <xf numFmtId="164" fontId="32" fillId="33" borderId="10" xfId="0" applyNumberFormat="1" applyFont="1" applyFill="1" applyBorder="1" applyAlignment="1" applyProtection="1">
      <alignment vertical="center"/>
      <protection locked="0"/>
    </xf>
    <xf numFmtId="164" fontId="32" fillId="34" borderId="11" xfId="0" applyNumberFormat="1" applyFont="1" applyFill="1" applyBorder="1" applyAlignment="1" applyProtection="1">
      <alignment vertical="center"/>
      <protection locked="0"/>
    </xf>
    <xf numFmtId="0" fontId="32" fillId="34" borderId="14" xfId="0" applyFont="1" applyFill="1" applyBorder="1" applyAlignment="1" applyProtection="1">
      <alignment vertical="center"/>
      <protection/>
    </xf>
    <xf numFmtId="3" fontId="32" fillId="39" borderId="10" xfId="0" applyNumberFormat="1" applyFont="1" applyFill="1" applyBorder="1" applyAlignment="1" applyProtection="1">
      <alignment vertical="center"/>
      <protection/>
    </xf>
    <xf numFmtId="164" fontId="32" fillId="34" borderId="16" xfId="0" applyNumberFormat="1" applyFont="1" applyFill="1" applyBorder="1" applyAlignment="1" applyProtection="1">
      <alignment vertical="center"/>
      <protection locked="0"/>
    </xf>
    <xf numFmtId="3" fontId="32" fillId="34" borderId="0" xfId="0" applyNumberFormat="1" applyFont="1" applyFill="1" applyBorder="1" applyAlignment="1" applyProtection="1">
      <alignment vertical="center"/>
      <protection locked="0"/>
    </xf>
    <xf numFmtId="37" fontId="32" fillId="37" borderId="0" xfId="0" applyNumberFormat="1" applyFont="1" applyFill="1" applyAlignment="1" applyProtection="1">
      <alignment horizontal="center" vertical="center"/>
      <protection/>
    </xf>
    <xf numFmtId="0" fontId="32" fillId="37" borderId="11" xfId="0" applyFont="1" applyFill="1" applyBorder="1" applyAlignment="1">
      <alignment horizontal="center" vertical="center"/>
    </xf>
    <xf numFmtId="37" fontId="32" fillId="34" borderId="10" xfId="0" applyNumberFormat="1" applyFont="1" applyFill="1" applyBorder="1" applyAlignment="1" applyProtection="1">
      <alignment vertical="center"/>
      <protection/>
    </xf>
    <xf numFmtId="164" fontId="32" fillId="39" borderId="10" xfId="0" applyNumberFormat="1" applyFont="1" applyFill="1" applyBorder="1" applyAlignment="1" applyProtection="1">
      <alignment vertical="center"/>
      <protection/>
    </xf>
    <xf numFmtId="37" fontId="32" fillId="35" borderId="11" xfId="0" applyNumberFormat="1" applyFont="1" applyFill="1" applyBorder="1" applyAlignment="1" applyProtection="1">
      <alignment horizontal="left" vertical="center"/>
      <protection/>
    </xf>
    <xf numFmtId="0" fontId="32" fillId="35" borderId="11" xfId="0" applyFont="1" applyFill="1" applyBorder="1" applyAlignment="1" applyProtection="1">
      <alignment vertical="center"/>
      <protection/>
    </xf>
    <xf numFmtId="37" fontId="32" fillId="35" borderId="12" xfId="0" applyNumberFormat="1" applyFont="1" applyFill="1" applyBorder="1" applyAlignment="1" applyProtection="1">
      <alignment horizontal="left" vertical="center"/>
      <protection/>
    </xf>
    <xf numFmtId="0" fontId="32" fillId="35" borderId="12" xfId="0" applyFont="1" applyFill="1" applyBorder="1" applyAlignment="1" applyProtection="1">
      <alignment vertical="center"/>
      <protection/>
    </xf>
    <xf numFmtId="0" fontId="32" fillId="34" borderId="13" xfId="0" applyFont="1" applyFill="1" applyBorder="1" applyAlignment="1" applyProtection="1">
      <alignment vertical="center"/>
      <protection/>
    </xf>
    <xf numFmtId="37" fontId="31" fillId="37" borderId="0" xfId="0" applyNumberFormat="1" applyFont="1" applyFill="1" applyAlignment="1" applyProtection="1">
      <alignment horizontal="left" vertical="center"/>
      <protection/>
    </xf>
    <xf numFmtId="0" fontId="37" fillId="35" borderId="0" xfId="0" applyFont="1" applyFill="1" applyAlignment="1" applyProtection="1">
      <alignment vertical="center"/>
      <protection/>
    </xf>
    <xf numFmtId="0" fontId="37" fillId="34" borderId="0" xfId="0" applyFont="1" applyFill="1" applyAlignment="1" applyProtection="1">
      <alignment horizontal="center" vertical="center"/>
      <protection/>
    </xf>
    <xf numFmtId="3" fontId="32" fillId="34" borderId="0" xfId="0" applyNumberFormat="1" applyFont="1" applyFill="1" applyAlignment="1" applyProtection="1">
      <alignment vertical="center"/>
      <protection/>
    </xf>
    <xf numFmtId="0" fontId="32" fillId="34" borderId="0" xfId="0" applyFont="1" applyFill="1" applyAlignment="1" applyProtection="1">
      <alignment vertical="center"/>
      <protection locked="0"/>
    </xf>
    <xf numFmtId="0" fontId="32" fillId="34" borderId="11" xfId="0" applyFont="1" applyFill="1" applyBorder="1" applyAlignment="1" applyProtection="1">
      <alignment horizontal="center" vertical="center"/>
      <protection/>
    </xf>
    <xf numFmtId="0" fontId="32" fillId="34" borderId="11" xfId="0" applyFont="1" applyFill="1" applyBorder="1" applyAlignment="1" applyProtection="1">
      <alignment horizontal="center" vertical="center"/>
      <protection locked="0"/>
    </xf>
    <xf numFmtId="0" fontId="32" fillId="37" borderId="11" xfId="0" applyFont="1" applyFill="1" applyBorder="1" applyAlignment="1" applyProtection="1">
      <alignment vertical="center"/>
      <protection/>
    </xf>
    <xf numFmtId="0" fontId="32" fillId="34" borderId="14" xfId="0" applyFont="1" applyFill="1" applyBorder="1" applyAlignment="1" applyProtection="1">
      <alignment vertical="center"/>
      <protection locked="0"/>
    </xf>
    <xf numFmtId="3" fontId="32" fillId="33" borderId="10" xfId="0" applyNumberFormat="1" applyFont="1" applyFill="1" applyBorder="1" applyAlignment="1" applyProtection="1">
      <alignment vertical="center"/>
      <protection locked="0"/>
    </xf>
    <xf numFmtId="0" fontId="32" fillId="37" borderId="12" xfId="0" applyFont="1" applyFill="1" applyBorder="1" applyAlignment="1" applyProtection="1">
      <alignment vertical="center"/>
      <protection/>
    </xf>
    <xf numFmtId="0" fontId="32" fillId="34" borderId="13" xfId="0" applyFont="1" applyFill="1" applyBorder="1" applyAlignment="1" applyProtection="1">
      <alignment vertical="center"/>
      <protection locked="0"/>
    </xf>
    <xf numFmtId="0" fontId="38" fillId="34" borderId="10" xfId="0" applyFont="1" applyFill="1" applyBorder="1" applyAlignment="1" applyProtection="1">
      <alignment/>
      <protection/>
    </xf>
    <xf numFmtId="0" fontId="38" fillId="33" borderId="10" xfId="0" applyFont="1" applyFill="1" applyBorder="1" applyAlignment="1" applyProtection="1">
      <alignment/>
      <protection locked="0"/>
    </xf>
    <xf numFmtId="164" fontId="38" fillId="33" borderId="10" xfId="0" applyNumberFormat="1" applyFont="1" applyFill="1" applyBorder="1" applyAlignment="1" applyProtection="1">
      <alignment/>
      <protection locked="0"/>
    </xf>
    <xf numFmtId="0" fontId="38" fillId="33" borderId="11" xfId="0" applyFont="1" applyFill="1" applyBorder="1" applyAlignment="1" applyProtection="1">
      <alignment/>
      <protection locked="0"/>
    </xf>
    <xf numFmtId="0" fontId="32" fillId="0" borderId="0" xfId="0" applyFont="1" applyAlignment="1" applyProtection="1">
      <alignment vertical="center"/>
      <protection locked="0"/>
    </xf>
    <xf numFmtId="3" fontId="32" fillId="0" borderId="0" xfId="0" applyNumberFormat="1" applyFont="1" applyFill="1" applyBorder="1" applyAlignment="1" applyProtection="1">
      <alignment vertical="center"/>
      <protection locked="0"/>
    </xf>
    <xf numFmtId="0" fontId="32" fillId="44" borderId="31" xfId="86" applyFont="1" applyFill="1" applyBorder="1" applyAlignment="1" applyProtection="1">
      <alignment vertical="center"/>
      <protection/>
    </xf>
    <xf numFmtId="0" fontId="32" fillId="44" borderId="0" xfId="86" applyFont="1" applyFill="1" applyBorder="1" applyAlignment="1" applyProtection="1">
      <alignment vertical="center"/>
      <protection/>
    </xf>
    <xf numFmtId="0" fontId="32" fillId="44" borderId="32" xfId="86" applyFont="1" applyFill="1" applyBorder="1" applyAlignment="1" applyProtection="1">
      <alignment vertical="center"/>
      <protection/>
    </xf>
    <xf numFmtId="195" fontId="40" fillId="44" borderId="31" xfId="86" applyNumberFormat="1" applyFont="1" applyFill="1" applyBorder="1" applyAlignment="1" applyProtection="1">
      <alignment horizontal="center" vertical="center"/>
      <protection/>
    </xf>
    <xf numFmtId="0" fontId="40" fillId="44" borderId="0" xfId="86" applyFont="1" applyFill="1" applyBorder="1" applyAlignment="1" applyProtection="1">
      <alignment horizontal="left" vertical="center"/>
      <protection/>
    </xf>
    <xf numFmtId="0" fontId="40" fillId="44" borderId="32" xfId="86" applyFont="1" applyFill="1" applyBorder="1" applyAlignment="1" applyProtection="1">
      <alignment vertical="center"/>
      <protection/>
    </xf>
    <xf numFmtId="0" fontId="36" fillId="0" borderId="0" xfId="0" applyFont="1" applyAlignment="1" applyProtection="1">
      <alignment vertical="center"/>
      <protection/>
    </xf>
    <xf numFmtId="0" fontId="40" fillId="44" borderId="0" xfId="86" applyFont="1" applyFill="1" applyBorder="1" applyAlignment="1" applyProtection="1">
      <alignment vertical="center"/>
      <protection/>
    </xf>
    <xf numFmtId="0" fontId="41" fillId="0" borderId="0" xfId="0" applyFont="1" applyAlignment="1" applyProtection="1">
      <alignment vertical="center"/>
      <protection/>
    </xf>
    <xf numFmtId="195" fontId="40" fillId="44" borderId="33" xfId="86" applyNumberFormat="1" applyFont="1" applyFill="1" applyBorder="1" applyAlignment="1" applyProtection="1">
      <alignment horizontal="center" vertical="center"/>
      <protection/>
    </xf>
    <xf numFmtId="195" fontId="40" fillId="44" borderId="31" xfId="86" applyNumberFormat="1" applyFont="1" applyFill="1" applyBorder="1" applyAlignment="1" applyProtection="1">
      <alignment vertical="center"/>
      <protection/>
    </xf>
    <xf numFmtId="195" fontId="42" fillId="46" borderId="33" xfId="86" applyNumberFormat="1" applyFont="1" applyFill="1" applyBorder="1" applyAlignment="1" applyProtection="1">
      <alignment horizontal="center" vertical="center"/>
      <protection/>
    </xf>
    <xf numFmtId="0" fontId="42" fillId="46" borderId="11" xfId="86" applyFont="1" applyFill="1" applyBorder="1" applyAlignment="1" applyProtection="1">
      <alignment vertical="center"/>
      <protection/>
    </xf>
    <xf numFmtId="0" fontId="40" fillId="46" borderId="14" xfId="86" applyFont="1" applyFill="1" applyBorder="1" applyAlignment="1" applyProtection="1">
      <alignment vertical="center"/>
      <protection/>
    </xf>
    <xf numFmtId="0" fontId="32" fillId="46" borderId="14" xfId="86" applyFont="1" applyFill="1" applyBorder="1" applyAlignment="1" applyProtection="1">
      <alignment vertical="center"/>
      <protection/>
    </xf>
    <xf numFmtId="0" fontId="32" fillId="0" borderId="0" xfId="86" applyFont="1">
      <alignment/>
      <protection/>
    </xf>
    <xf numFmtId="188" fontId="31" fillId="44" borderId="34" xfId="77" applyNumberFormat="1" applyFont="1" applyFill="1" applyBorder="1" applyAlignment="1" applyProtection="1">
      <alignment vertical="center"/>
      <protection locked="0"/>
    </xf>
    <xf numFmtId="0" fontId="40" fillId="44" borderId="12" xfId="86" applyFont="1" applyFill="1" applyBorder="1" applyAlignment="1" applyProtection="1">
      <alignment horizontal="left" vertical="center"/>
      <protection/>
    </xf>
    <xf numFmtId="0" fontId="32" fillId="44" borderId="12" xfId="77" applyFont="1" applyFill="1" applyBorder="1" applyAlignment="1" applyProtection="1">
      <alignment vertical="center"/>
      <protection locked="0"/>
    </xf>
    <xf numFmtId="0" fontId="32" fillId="44" borderId="13" xfId="77" applyFont="1" applyFill="1" applyBorder="1" applyAlignment="1" applyProtection="1">
      <alignment vertical="center"/>
      <protection locked="0"/>
    </xf>
    <xf numFmtId="0" fontId="32" fillId="0" borderId="0" xfId="0" applyFont="1" applyAlignment="1">
      <alignment vertical="center"/>
    </xf>
    <xf numFmtId="0" fontId="40" fillId="44" borderId="31" xfId="86" applyFont="1" applyFill="1" applyBorder="1" applyAlignment="1" applyProtection="1">
      <alignment horizontal="left" vertical="center"/>
      <protection/>
    </xf>
    <xf numFmtId="195" fontId="40" fillId="42" borderId="10" xfId="86" applyNumberFormat="1" applyFont="1" applyFill="1" applyBorder="1" applyAlignment="1" applyProtection="1">
      <alignment horizontal="center" vertical="center"/>
      <protection locked="0"/>
    </xf>
    <xf numFmtId="0" fontId="40" fillId="44" borderId="31" xfId="86" applyFont="1" applyFill="1" applyBorder="1" applyAlignment="1" applyProtection="1">
      <alignment vertical="center"/>
      <protection/>
    </xf>
    <xf numFmtId="0" fontId="32" fillId="44" borderId="0" xfId="86" applyFont="1" applyFill="1" applyBorder="1" applyAlignment="1" applyProtection="1">
      <alignment vertical="center"/>
      <protection locked="0"/>
    </xf>
    <xf numFmtId="0" fontId="40" fillId="44" borderId="0" xfId="86" applyFont="1" applyFill="1" applyBorder="1" applyAlignment="1" applyProtection="1">
      <alignment vertical="center"/>
      <protection locked="0"/>
    </xf>
    <xf numFmtId="188" fontId="40" fillId="44" borderId="13" xfId="86" applyNumberFormat="1" applyFont="1" applyFill="1" applyBorder="1" applyAlignment="1" applyProtection="1">
      <alignment horizontal="center" vertical="center"/>
      <protection locked="0"/>
    </xf>
    <xf numFmtId="0" fontId="42" fillId="46" borderId="33" xfId="86" applyFont="1" applyFill="1" applyBorder="1" applyAlignment="1" applyProtection="1">
      <alignment vertical="center"/>
      <protection locked="0"/>
    </xf>
    <xf numFmtId="0" fontId="32" fillId="46" borderId="11" xfId="86" applyFont="1" applyFill="1" applyBorder="1" applyAlignment="1" applyProtection="1">
      <alignment vertical="center"/>
      <protection locked="0"/>
    </xf>
    <xf numFmtId="0" fontId="40" fillId="46" borderId="11" xfId="86" applyFont="1" applyFill="1" applyBorder="1" applyAlignment="1" applyProtection="1">
      <alignment vertical="center"/>
      <protection locked="0"/>
    </xf>
    <xf numFmtId="195" fontId="42" fillId="46" borderId="14" xfId="86" applyNumberFormat="1" applyFont="1" applyFill="1" applyBorder="1" applyAlignment="1" applyProtection="1">
      <alignment horizontal="center" vertical="center"/>
      <protection locked="0"/>
    </xf>
    <xf numFmtId="0" fontId="89" fillId="0" borderId="0" xfId="0" applyFont="1" applyAlignment="1" applyProtection="1">
      <alignment horizontal="center" vertical="center"/>
      <protection locked="0"/>
    </xf>
    <xf numFmtId="0" fontId="38" fillId="34" borderId="34" xfId="0" applyFont="1" applyFill="1" applyBorder="1" applyAlignment="1" applyProtection="1">
      <alignment horizontal="left"/>
      <protection/>
    </xf>
    <xf numFmtId="37" fontId="38" fillId="34" borderId="34" xfId="0" applyNumberFormat="1" applyFont="1" applyFill="1" applyBorder="1" applyAlignment="1" applyProtection="1">
      <alignment/>
      <protection/>
    </xf>
    <xf numFmtId="0" fontId="38" fillId="34" borderId="34" xfId="0" applyFont="1" applyFill="1" applyBorder="1" applyAlignment="1" applyProtection="1">
      <alignment/>
      <protection/>
    </xf>
    <xf numFmtId="37" fontId="32" fillId="44" borderId="0" xfId="0" applyNumberFormat="1" applyFont="1" applyFill="1" applyAlignment="1" applyProtection="1">
      <alignment vertical="center"/>
      <protection/>
    </xf>
    <xf numFmtId="0" fontId="32" fillId="44" borderId="0" xfId="0" applyFont="1" applyFill="1" applyAlignment="1" applyProtection="1">
      <alignment vertical="center"/>
      <protection/>
    </xf>
    <xf numFmtId="0" fontId="32" fillId="44" borderId="0" xfId="0" applyNumberFormat="1" applyFont="1" applyFill="1" applyAlignment="1" applyProtection="1">
      <alignment horizontal="right" vertical="center"/>
      <protection/>
    </xf>
    <xf numFmtId="37" fontId="32" fillId="44" borderId="0" xfId="0" applyNumberFormat="1" applyFont="1" applyFill="1" applyAlignment="1" applyProtection="1">
      <alignment horizontal="right" vertical="center"/>
      <protection/>
    </xf>
    <xf numFmtId="0" fontId="33" fillId="44" borderId="0" xfId="0" applyFont="1" applyFill="1" applyAlignment="1" applyProtection="1">
      <alignment vertical="center"/>
      <protection/>
    </xf>
    <xf numFmtId="0" fontId="32" fillId="44" borderId="0" xfId="0" applyFont="1" applyFill="1" applyAlignment="1" applyProtection="1">
      <alignment horizontal="right" vertical="center"/>
      <protection/>
    </xf>
    <xf numFmtId="0" fontId="33" fillId="44" borderId="0" xfId="86" applyFont="1" applyFill="1" applyAlignment="1" applyProtection="1">
      <alignment vertical="center"/>
      <protection/>
    </xf>
    <xf numFmtId="0" fontId="32" fillId="44" borderId="0" xfId="0" applyFont="1" applyFill="1" applyBorder="1" applyAlignment="1" applyProtection="1">
      <alignment horizontal="fill" vertical="center"/>
      <protection/>
    </xf>
    <xf numFmtId="0" fontId="32" fillId="44" borderId="0" xfId="0" applyFont="1" applyFill="1" applyAlignment="1" applyProtection="1">
      <alignment horizontal="left" vertical="center"/>
      <protection/>
    </xf>
    <xf numFmtId="1" fontId="38" fillId="44" borderId="15" xfId="0" applyNumberFormat="1" applyFont="1" applyFill="1" applyBorder="1" applyAlignment="1" applyProtection="1">
      <alignment horizontal="center"/>
      <protection/>
    </xf>
    <xf numFmtId="49" fontId="38" fillId="44" borderId="15" xfId="0" applyNumberFormat="1" applyFont="1" applyFill="1" applyBorder="1" applyAlignment="1" applyProtection="1">
      <alignment horizontal="center"/>
      <protection/>
    </xf>
    <xf numFmtId="37" fontId="38" fillId="44" borderId="15" xfId="0" applyNumberFormat="1" applyFont="1" applyFill="1" applyBorder="1" applyAlignment="1" applyProtection="1">
      <alignment horizontal="center"/>
      <protection/>
    </xf>
    <xf numFmtId="0" fontId="38" fillId="44" borderId="16" xfId="0" applyNumberFormat="1" applyFont="1" applyFill="1" applyBorder="1" applyAlignment="1" applyProtection="1">
      <alignment horizontal="center"/>
      <protection/>
    </xf>
    <xf numFmtId="3" fontId="38" fillId="44" borderId="16" xfId="0" applyNumberFormat="1" applyFont="1" applyFill="1" applyBorder="1" applyAlignment="1" applyProtection="1">
      <alignment horizontal="center"/>
      <protection/>
    </xf>
    <xf numFmtId="37" fontId="38" fillId="44" borderId="16" xfId="0" applyNumberFormat="1" applyFont="1" applyFill="1" applyBorder="1" applyAlignment="1" applyProtection="1">
      <alignment horizontal="center"/>
      <protection/>
    </xf>
    <xf numFmtId="0" fontId="32" fillId="44" borderId="34" xfId="0" applyFont="1" applyFill="1" applyBorder="1" applyAlignment="1" applyProtection="1">
      <alignment horizontal="left" vertical="center"/>
      <protection/>
    </xf>
    <xf numFmtId="37" fontId="32" fillId="44" borderId="34" xfId="0" applyNumberFormat="1" applyFont="1" applyFill="1" applyBorder="1" applyAlignment="1" applyProtection="1">
      <alignment vertical="center"/>
      <protection locked="0"/>
    </xf>
    <xf numFmtId="3" fontId="32" fillId="44" borderId="34" xfId="0" applyNumberFormat="1" applyFont="1" applyFill="1" applyBorder="1" applyAlignment="1" applyProtection="1">
      <alignment vertical="center"/>
      <protection/>
    </xf>
    <xf numFmtId="3" fontId="32" fillId="44" borderId="10" xfId="0" applyNumberFormat="1" applyFont="1" applyFill="1" applyBorder="1" applyAlignment="1" applyProtection="1">
      <alignment vertical="center"/>
      <protection/>
    </xf>
    <xf numFmtId="0" fontId="32" fillId="44" borderId="33" xfId="0" applyFont="1" applyFill="1" applyBorder="1" applyAlignment="1" applyProtection="1">
      <alignment horizontal="left" vertical="center"/>
      <protection/>
    </xf>
    <xf numFmtId="37" fontId="32" fillId="44" borderId="34" xfId="0" applyNumberFormat="1" applyFont="1" applyFill="1" applyBorder="1" applyAlignment="1" applyProtection="1">
      <alignment vertical="center"/>
      <protection/>
    </xf>
    <xf numFmtId="37" fontId="32" fillId="44" borderId="10" xfId="0" applyNumberFormat="1" applyFont="1" applyFill="1" applyBorder="1" applyAlignment="1" applyProtection="1">
      <alignment vertical="center"/>
      <protection/>
    </xf>
    <xf numFmtId="0" fontId="38" fillId="44" borderId="34" xfId="0" applyFont="1" applyFill="1" applyBorder="1" applyAlignment="1" applyProtection="1">
      <alignment horizontal="left"/>
      <protection/>
    </xf>
    <xf numFmtId="3" fontId="32" fillId="44" borderId="34" xfId="0" applyNumberFormat="1" applyFont="1" applyFill="1" applyBorder="1" applyAlignment="1" applyProtection="1">
      <alignment vertical="center"/>
      <protection locked="0"/>
    </xf>
    <xf numFmtId="37" fontId="32" fillId="44" borderId="10" xfId="0" applyNumberFormat="1" applyFont="1" applyFill="1" applyBorder="1" applyAlignment="1" applyProtection="1">
      <alignment horizontal="fill" vertical="center"/>
      <protection/>
    </xf>
    <xf numFmtId="37" fontId="32" fillId="44" borderId="10" xfId="0" applyNumberFormat="1" applyFont="1" applyFill="1" applyBorder="1" applyAlignment="1" applyProtection="1">
      <alignment vertical="center"/>
      <protection locked="0"/>
    </xf>
    <xf numFmtId="37" fontId="38" fillId="44" borderId="34" xfId="0" applyNumberFormat="1" applyFont="1" applyFill="1" applyBorder="1" applyAlignment="1" applyProtection="1">
      <alignment/>
      <protection/>
    </xf>
    <xf numFmtId="0" fontId="38" fillId="44" borderId="34" xfId="0" applyFont="1" applyFill="1" applyBorder="1" applyAlignment="1" applyProtection="1">
      <alignment/>
      <protection/>
    </xf>
    <xf numFmtId="37" fontId="33" fillId="44" borderId="34" xfId="0" applyNumberFormat="1" applyFont="1" applyFill="1" applyBorder="1" applyAlignment="1" applyProtection="1">
      <alignment horizontal="left" vertical="center"/>
      <protection/>
    </xf>
    <xf numFmtId="3" fontId="33" fillId="44" borderId="34" xfId="0" applyNumberFormat="1" applyFont="1" applyFill="1" applyBorder="1" applyAlignment="1" applyProtection="1">
      <alignment vertical="center"/>
      <protection/>
    </xf>
    <xf numFmtId="3" fontId="33" fillId="44" borderId="10" xfId="0" applyNumberFormat="1" applyFont="1" applyFill="1" applyBorder="1" applyAlignment="1" applyProtection="1">
      <alignment vertical="center"/>
      <protection/>
    </xf>
    <xf numFmtId="37" fontId="32" fillId="44" borderId="0" xfId="0" applyNumberFormat="1" applyFont="1" applyFill="1" applyBorder="1" applyAlignment="1" applyProtection="1">
      <alignment vertical="center"/>
      <protection/>
    </xf>
    <xf numFmtId="0" fontId="32" fillId="44" borderId="34" xfId="0" applyFont="1" applyFill="1" applyBorder="1" applyAlignment="1" applyProtection="1">
      <alignment vertical="center"/>
      <protection/>
    </xf>
    <xf numFmtId="37" fontId="32" fillId="44" borderId="34" xfId="0" applyNumberFormat="1" applyFont="1" applyFill="1" applyBorder="1" applyAlignment="1" applyProtection="1">
      <alignment horizontal="left" vertical="center"/>
      <protection/>
    </xf>
    <xf numFmtId="3" fontId="32" fillId="44" borderId="10" xfId="0" applyNumberFormat="1" applyFont="1" applyFill="1" applyBorder="1" applyAlignment="1" applyProtection="1">
      <alignment horizontal="center" vertical="center"/>
      <protection/>
    </xf>
    <xf numFmtId="0" fontId="90" fillId="44" borderId="0" xfId="0" applyFont="1" applyFill="1" applyAlignment="1" applyProtection="1">
      <alignment horizontal="center" vertical="center"/>
      <protection/>
    </xf>
    <xf numFmtId="0" fontId="34" fillId="44" borderId="0" xfId="0" applyFont="1" applyFill="1" applyAlignment="1" applyProtection="1">
      <alignment horizontal="center" vertical="center"/>
      <protection/>
    </xf>
    <xf numFmtId="0" fontId="32" fillId="44" borderId="0" xfId="90" applyFont="1" applyFill="1" applyAlignment="1" applyProtection="1">
      <alignment horizontal="right" vertical="center"/>
      <protection/>
    </xf>
    <xf numFmtId="188" fontId="32" fillId="44" borderId="0" xfId="394" applyNumberFormat="1" applyFont="1" applyFill="1" applyAlignment="1" applyProtection="1">
      <alignment horizontal="center" vertical="center"/>
      <protection/>
    </xf>
    <xf numFmtId="0" fontId="38" fillId="34" borderId="33" xfId="0" applyFont="1" applyFill="1" applyBorder="1" applyAlignment="1" applyProtection="1">
      <alignment horizontal="left"/>
      <protection/>
    </xf>
    <xf numFmtId="37" fontId="36" fillId="46" borderId="34" xfId="0" applyNumberFormat="1" applyFont="1" applyFill="1" applyBorder="1" applyAlignment="1" applyProtection="1">
      <alignment horizontal="center" vertical="center"/>
      <protection/>
    </xf>
    <xf numFmtId="37" fontId="36" fillId="46" borderId="10" xfId="0" applyNumberFormat="1" applyFont="1" applyFill="1" applyBorder="1" applyAlignment="1" applyProtection="1">
      <alignment horizontal="center" vertical="center"/>
      <protection/>
    </xf>
    <xf numFmtId="0" fontId="32" fillId="44" borderId="0" xfId="0" applyNumberFormat="1" applyFont="1" applyFill="1" applyBorder="1" applyAlignment="1" applyProtection="1">
      <alignment vertical="center"/>
      <protection/>
    </xf>
    <xf numFmtId="0" fontId="32" fillId="44" borderId="32" xfId="0" applyFont="1" applyFill="1" applyBorder="1" applyAlignment="1">
      <alignment vertical="center"/>
    </xf>
    <xf numFmtId="0" fontId="32" fillId="44" borderId="0" xfId="0" applyNumberFormat="1" applyFont="1" applyFill="1" applyBorder="1" applyAlignment="1" applyProtection="1">
      <alignment horizontal="right" vertical="center"/>
      <protection/>
    </xf>
    <xf numFmtId="0" fontId="5" fillId="44" borderId="0" xfId="0" applyFont="1" applyFill="1" applyAlignment="1" applyProtection="1">
      <alignment vertical="center"/>
      <protection locked="0"/>
    </xf>
    <xf numFmtId="37" fontId="38" fillId="34" borderId="34" xfId="0" applyNumberFormat="1" applyFont="1" applyFill="1" applyBorder="1" applyAlignment="1" applyProtection="1">
      <alignment horizontal="left"/>
      <protection/>
    </xf>
    <xf numFmtId="0" fontId="38" fillId="34" borderId="34" xfId="0" applyNumberFormat="1" applyFont="1" applyFill="1" applyBorder="1" applyAlignment="1" applyProtection="1">
      <alignment horizontal="left"/>
      <protection/>
    </xf>
    <xf numFmtId="37" fontId="38" fillId="44" borderId="0" xfId="86" applyNumberFormat="1" applyFont="1" applyFill="1" applyAlignment="1" applyProtection="1">
      <alignment vertical="center"/>
      <protection/>
    </xf>
    <xf numFmtId="0" fontId="38" fillId="44" borderId="0" xfId="86" applyFont="1" applyFill="1" applyAlignment="1" applyProtection="1">
      <alignment vertical="center"/>
      <protection/>
    </xf>
    <xf numFmtId="1" fontId="38" fillId="44" borderId="0" xfId="86" applyNumberFormat="1" applyFont="1" applyFill="1" applyBorder="1" applyAlignment="1" applyProtection="1">
      <alignment horizontal="right" vertical="center"/>
      <protection/>
    </xf>
    <xf numFmtId="0" fontId="38" fillId="0" borderId="0" xfId="0" applyFont="1" applyAlignment="1" applyProtection="1">
      <alignment vertical="center"/>
      <protection locked="0"/>
    </xf>
    <xf numFmtId="37" fontId="38" fillId="44" borderId="0" xfId="86" applyNumberFormat="1" applyFont="1" applyFill="1" applyAlignment="1" applyProtection="1">
      <alignment horizontal="right" vertical="center"/>
      <protection/>
    </xf>
    <xf numFmtId="0" fontId="43" fillId="44" borderId="0" xfId="86" applyFont="1" applyFill="1" applyAlignment="1" applyProtection="1">
      <alignment vertical="center"/>
      <protection/>
    </xf>
    <xf numFmtId="37" fontId="38" fillId="44" borderId="0" xfId="86" applyNumberFormat="1" applyFont="1" applyFill="1" applyAlignment="1" applyProtection="1">
      <alignment horizontal="fill" vertical="center"/>
      <protection/>
    </xf>
    <xf numFmtId="37" fontId="38" fillId="44" borderId="0" xfId="86" applyNumberFormat="1" applyFont="1" applyFill="1" applyAlignment="1" applyProtection="1" quotePrefix="1">
      <alignment horizontal="right" vertical="center"/>
      <protection/>
    </xf>
    <xf numFmtId="37" fontId="38" fillId="44" borderId="0" xfId="86" applyNumberFormat="1" applyFont="1" applyFill="1" applyAlignment="1" applyProtection="1">
      <alignment horizontal="left" vertical="center"/>
      <protection/>
    </xf>
    <xf numFmtId="37" fontId="38" fillId="44" borderId="34" xfId="86" applyNumberFormat="1" applyFont="1" applyFill="1" applyBorder="1" applyAlignment="1" applyProtection="1">
      <alignment horizontal="left" vertical="center"/>
      <protection/>
    </xf>
    <xf numFmtId="37" fontId="38" fillId="44" borderId="34" xfId="86" applyNumberFormat="1" applyFont="1" applyFill="1" applyBorder="1" applyAlignment="1" applyProtection="1">
      <alignment vertical="center"/>
      <protection locked="0"/>
    </xf>
    <xf numFmtId="3" fontId="38" fillId="44" borderId="34" xfId="86" applyNumberFormat="1" applyFont="1" applyFill="1" applyBorder="1" applyAlignment="1" applyProtection="1">
      <alignment vertical="center"/>
      <protection/>
    </xf>
    <xf numFmtId="3" fontId="38" fillId="44" borderId="10" xfId="86" applyNumberFormat="1" applyFont="1" applyFill="1" applyBorder="1" applyAlignment="1" applyProtection="1">
      <alignment vertical="center"/>
      <protection/>
    </xf>
    <xf numFmtId="37" fontId="38" fillId="44" borderId="34" xfId="86" applyNumberFormat="1" applyFont="1" applyFill="1" applyBorder="1" applyAlignment="1" applyProtection="1">
      <alignment vertical="center"/>
      <protection/>
    </xf>
    <xf numFmtId="37" fontId="38" fillId="44" borderId="34" xfId="86" applyNumberFormat="1" applyFont="1" applyFill="1" applyBorder="1" applyAlignment="1" applyProtection="1">
      <alignment horizontal="right" vertical="center"/>
      <protection locked="0"/>
    </xf>
    <xf numFmtId="3" fontId="38" fillId="44" borderId="10" xfId="86" applyNumberFormat="1" applyFont="1" applyFill="1" applyBorder="1" applyAlignment="1" applyProtection="1">
      <alignment horizontal="fill" vertical="center"/>
      <protection/>
    </xf>
    <xf numFmtId="3" fontId="38" fillId="44" borderId="34" xfId="0" applyNumberFormat="1" applyFont="1" applyFill="1" applyBorder="1" applyAlignment="1" applyProtection="1">
      <alignment vertical="center"/>
      <protection locked="0"/>
    </xf>
    <xf numFmtId="3" fontId="38" fillId="44" borderId="10" xfId="0" applyNumberFormat="1" applyFont="1" applyFill="1" applyBorder="1" applyAlignment="1" applyProtection="1">
      <alignment vertical="center"/>
      <protection locked="0"/>
    </xf>
    <xf numFmtId="0" fontId="38" fillId="0" borderId="0" xfId="86" applyFont="1">
      <alignment/>
      <protection/>
    </xf>
    <xf numFmtId="37" fontId="44" fillId="46" borderId="34" xfId="0" applyNumberFormat="1" applyFont="1" applyFill="1" applyBorder="1" applyAlignment="1" applyProtection="1">
      <alignment horizontal="center" vertical="center"/>
      <protection/>
    </xf>
    <xf numFmtId="37" fontId="44" fillId="46" borderId="10" xfId="0" applyNumberFormat="1" applyFont="1" applyFill="1" applyBorder="1" applyAlignment="1" applyProtection="1">
      <alignment horizontal="center" vertical="center"/>
      <protection/>
    </xf>
    <xf numFmtId="37" fontId="43" fillId="44" borderId="34" xfId="86" applyNumberFormat="1" applyFont="1" applyFill="1" applyBorder="1" applyAlignment="1" applyProtection="1">
      <alignment horizontal="left" vertical="center"/>
      <protection/>
    </xf>
    <xf numFmtId="3" fontId="43" fillId="44" borderId="34" xfId="86" applyNumberFormat="1" applyFont="1" applyFill="1" applyBorder="1" applyAlignment="1" applyProtection="1">
      <alignment vertical="center"/>
      <protection/>
    </xf>
    <xf numFmtId="3" fontId="43" fillId="44" borderId="10" xfId="86" applyNumberFormat="1" applyFont="1" applyFill="1" applyBorder="1" applyAlignment="1" applyProtection="1">
      <alignment vertical="center"/>
      <protection/>
    </xf>
    <xf numFmtId="3" fontId="38" fillId="44" borderId="34" xfId="86" applyNumberFormat="1" applyFont="1" applyFill="1" applyBorder="1" applyAlignment="1" applyProtection="1">
      <alignment horizontal="right" vertical="center"/>
      <protection locked="0"/>
    </xf>
    <xf numFmtId="3" fontId="38" fillId="44" borderId="34" xfId="86" applyNumberFormat="1" applyFont="1" applyFill="1" applyBorder="1" applyAlignment="1" applyProtection="1">
      <alignment vertical="center"/>
      <protection locked="0"/>
    </xf>
    <xf numFmtId="3" fontId="38" fillId="44" borderId="10" xfId="86" applyNumberFormat="1" applyFont="1" applyFill="1" applyBorder="1" applyAlignment="1" applyProtection="1">
      <alignment vertical="center"/>
      <protection locked="0"/>
    </xf>
    <xf numFmtId="0" fontId="38" fillId="44" borderId="34" xfId="86" applyFont="1" applyFill="1" applyBorder="1" applyAlignment="1" applyProtection="1">
      <alignment vertical="center"/>
      <protection locked="0"/>
    </xf>
    <xf numFmtId="37" fontId="44" fillId="44" borderId="10" xfId="0" applyNumberFormat="1" applyFont="1" applyFill="1" applyBorder="1" applyAlignment="1" applyProtection="1">
      <alignment horizontal="center" vertical="center"/>
      <protection/>
    </xf>
    <xf numFmtId="0" fontId="38" fillId="44" borderId="31" xfId="86" applyFont="1" applyFill="1" applyBorder="1" applyAlignment="1" applyProtection="1">
      <alignment vertical="center"/>
      <protection locked="0"/>
    </xf>
    <xf numFmtId="0" fontId="38" fillId="44" borderId="0" xfId="86" applyFont="1" applyFill="1" applyBorder="1" applyAlignment="1" applyProtection="1">
      <alignment vertical="center"/>
      <protection locked="0"/>
    </xf>
    <xf numFmtId="0" fontId="38" fillId="44" borderId="32" xfId="86" applyFont="1" applyFill="1" applyBorder="1" applyAlignment="1" applyProtection="1">
      <alignment vertical="center"/>
      <protection locked="0"/>
    </xf>
    <xf numFmtId="195" fontId="38" fillId="44" borderId="31" xfId="86" applyNumberFormat="1" applyFont="1" applyFill="1" applyBorder="1" applyAlignment="1" applyProtection="1">
      <alignment horizontal="center" vertical="center"/>
      <protection locked="0"/>
    </xf>
    <xf numFmtId="0" fontId="38" fillId="44" borderId="0" xfId="86" applyFont="1" applyFill="1" applyBorder="1" applyAlignment="1" applyProtection="1">
      <alignment horizontal="left" vertical="center"/>
      <protection locked="0"/>
    </xf>
    <xf numFmtId="0" fontId="38" fillId="44" borderId="0" xfId="86" applyFont="1" applyFill="1" applyAlignment="1" applyProtection="1">
      <alignment horizontal="right" vertical="center"/>
      <protection/>
    </xf>
    <xf numFmtId="3" fontId="38" fillId="44" borderId="10" xfId="86" applyNumberFormat="1" applyFont="1" applyFill="1" applyBorder="1" applyAlignment="1" applyProtection="1">
      <alignment horizontal="center" vertical="center"/>
      <protection/>
    </xf>
    <xf numFmtId="3" fontId="38" fillId="44" borderId="0" xfId="86" applyNumberFormat="1" applyFont="1" applyFill="1" applyBorder="1" applyAlignment="1" applyProtection="1">
      <alignment horizontal="center" vertical="center"/>
      <protection/>
    </xf>
    <xf numFmtId="3" fontId="38" fillId="44" borderId="0" xfId="86" applyNumberFormat="1" applyFont="1" applyFill="1" applyAlignment="1" applyProtection="1">
      <alignment horizontal="center" vertical="center"/>
      <protection/>
    </xf>
    <xf numFmtId="0" fontId="44" fillId="0" borderId="0" xfId="86" applyFont="1" applyAlignment="1" applyProtection="1">
      <alignment vertical="center"/>
      <protection/>
    </xf>
    <xf numFmtId="0" fontId="44" fillId="0" borderId="0" xfId="0" applyFont="1" applyAlignment="1" applyProtection="1">
      <alignment vertical="center"/>
      <protection/>
    </xf>
    <xf numFmtId="195" fontId="38" fillId="44" borderId="33" xfId="86" applyNumberFormat="1" applyFont="1" applyFill="1" applyBorder="1" applyAlignment="1" applyProtection="1">
      <alignment horizontal="center" vertical="center"/>
      <protection locked="0"/>
    </xf>
    <xf numFmtId="0" fontId="91" fillId="44" borderId="0" xfId="0" applyFont="1" applyFill="1" applyAlignment="1" applyProtection="1">
      <alignment horizontal="center" vertical="center"/>
      <protection/>
    </xf>
    <xf numFmtId="0" fontId="46" fillId="44" borderId="0" xfId="86" applyFont="1" applyFill="1" applyAlignment="1" applyProtection="1">
      <alignment horizontal="center" vertical="center"/>
      <protection/>
    </xf>
    <xf numFmtId="195" fontId="38" fillId="44" borderId="31" xfId="86" applyNumberFormat="1" applyFont="1" applyFill="1" applyBorder="1" applyAlignment="1" applyProtection="1">
      <alignment vertical="center"/>
      <protection locked="0"/>
    </xf>
    <xf numFmtId="0" fontId="38" fillId="44" borderId="0" xfId="90" applyFont="1" applyFill="1" applyAlignment="1" applyProtection="1">
      <alignment horizontal="right" vertical="center"/>
      <protection/>
    </xf>
    <xf numFmtId="188" fontId="38" fillId="44" borderId="0" xfId="394" applyNumberFormat="1" applyFont="1" applyFill="1" applyAlignment="1" applyProtection="1">
      <alignment horizontal="center" vertical="center"/>
      <protection/>
    </xf>
    <xf numFmtId="0" fontId="38" fillId="44" borderId="11" xfId="86" applyFont="1" applyFill="1" applyBorder="1" applyAlignment="1" applyProtection="1">
      <alignment vertical="center"/>
      <protection locked="0"/>
    </xf>
    <xf numFmtId="0" fontId="38" fillId="44" borderId="14" xfId="86" applyFont="1" applyFill="1" applyBorder="1" applyAlignment="1" applyProtection="1">
      <alignment vertical="center"/>
      <protection locked="0"/>
    </xf>
    <xf numFmtId="0" fontId="38" fillId="0" borderId="0" xfId="86" applyFont="1" applyAlignment="1" applyProtection="1">
      <alignment vertical="center"/>
      <protection locked="0"/>
    </xf>
    <xf numFmtId="0" fontId="92" fillId="0" borderId="0" xfId="0" applyFont="1" applyAlignment="1" applyProtection="1">
      <alignment horizontal="center" vertical="center"/>
      <protection locked="0"/>
    </xf>
    <xf numFmtId="0" fontId="38" fillId="44" borderId="32" xfId="63" applyFont="1" applyFill="1" applyBorder="1" applyAlignment="1" applyProtection="1">
      <alignment vertical="center"/>
      <protection/>
    </xf>
    <xf numFmtId="0" fontId="38" fillId="44" borderId="0" xfId="63" applyNumberFormat="1" applyFont="1" applyFill="1" applyBorder="1" applyAlignment="1" applyProtection="1">
      <alignment horizontal="right" vertical="center"/>
      <protection/>
    </xf>
    <xf numFmtId="0" fontId="38" fillId="44" borderId="34" xfId="0" applyFont="1" applyFill="1" applyBorder="1" applyAlignment="1" applyProtection="1">
      <alignment/>
      <protection locked="0"/>
    </xf>
    <xf numFmtId="0" fontId="40" fillId="44" borderId="0" xfId="0" applyFont="1" applyFill="1" applyAlignment="1" applyProtection="1">
      <alignment horizontal="left" vertical="center"/>
      <protection locked="0"/>
    </xf>
    <xf numFmtId="37" fontId="38" fillId="44" borderId="0" xfId="0" applyNumberFormat="1" applyFont="1" applyFill="1" applyAlignment="1" applyProtection="1">
      <alignment vertical="center"/>
      <protection/>
    </xf>
    <xf numFmtId="0" fontId="38" fillId="44" borderId="0" xfId="0" applyFont="1" applyFill="1" applyAlignment="1" applyProtection="1">
      <alignment vertical="center"/>
      <protection/>
    </xf>
    <xf numFmtId="0" fontId="38" fillId="44" borderId="0" xfId="0" applyNumberFormat="1" applyFont="1" applyFill="1" applyAlignment="1" applyProtection="1">
      <alignment horizontal="right" vertical="center"/>
      <protection/>
    </xf>
    <xf numFmtId="37" fontId="38" fillId="44" borderId="0" xfId="0" applyNumberFormat="1" applyFont="1" applyFill="1" applyAlignment="1" applyProtection="1">
      <alignment horizontal="right" vertical="center"/>
      <protection/>
    </xf>
    <xf numFmtId="0" fontId="43" fillId="44" borderId="0" xfId="0" applyFont="1" applyFill="1" applyAlignment="1" applyProtection="1">
      <alignment vertical="center"/>
      <protection/>
    </xf>
    <xf numFmtId="37" fontId="38" fillId="44" borderId="0" xfId="0" applyNumberFormat="1" applyFont="1" applyFill="1" applyBorder="1" applyAlignment="1" applyProtection="1">
      <alignment horizontal="fill" vertical="center"/>
      <protection/>
    </xf>
    <xf numFmtId="37" fontId="38" fillId="44" borderId="0" xfId="0" applyNumberFormat="1" applyFont="1" applyFill="1" applyAlignment="1" applyProtection="1">
      <alignment horizontal="left" vertical="center"/>
      <protection/>
    </xf>
    <xf numFmtId="0" fontId="38" fillId="44" borderId="34" xfId="0" applyFont="1" applyFill="1" applyBorder="1" applyAlignment="1" applyProtection="1">
      <alignment horizontal="left" vertical="center"/>
      <protection/>
    </xf>
    <xf numFmtId="3" fontId="38" fillId="44" borderId="10" xfId="0" applyNumberFormat="1" applyFont="1" applyFill="1" applyBorder="1" applyAlignment="1" applyProtection="1">
      <alignment vertical="center"/>
      <protection/>
    </xf>
    <xf numFmtId="0" fontId="38" fillId="44" borderId="33" xfId="0" applyFont="1" applyFill="1" applyBorder="1" applyAlignment="1" applyProtection="1">
      <alignment horizontal="left" vertical="center"/>
      <protection/>
    </xf>
    <xf numFmtId="37" fontId="38" fillId="44" borderId="10" xfId="0" applyNumberFormat="1" applyFont="1" applyFill="1" applyBorder="1" applyAlignment="1" applyProtection="1">
      <alignment vertical="center"/>
      <protection/>
    </xf>
    <xf numFmtId="37" fontId="38" fillId="44" borderId="34" xfId="0" applyNumberFormat="1" applyFont="1" applyFill="1" applyBorder="1" applyAlignment="1" applyProtection="1">
      <alignment vertical="center"/>
      <protection/>
    </xf>
    <xf numFmtId="3" fontId="38" fillId="44" borderId="13" xfId="0" applyNumberFormat="1" applyFont="1" applyFill="1" applyBorder="1" applyAlignment="1" applyProtection="1">
      <alignment vertical="center"/>
      <protection locked="0"/>
    </xf>
    <xf numFmtId="37" fontId="44" fillId="46" borderId="13" xfId="0" applyNumberFormat="1" applyFont="1" applyFill="1" applyBorder="1" applyAlignment="1" applyProtection="1">
      <alignment horizontal="center" vertical="center"/>
      <protection/>
    </xf>
    <xf numFmtId="37" fontId="43" fillId="44" borderId="34" xfId="0" applyNumberFormat="1" applyFont="1" applyFill="1" applyBorder="1" applyAlignment="1" applyProtection="1">
      <alignment horizontal="left" vertical="center"/>
      <protection/>
    </xf>
    <xf numFmtId="3" fontId="43" fillId="44" borderId="10" xfId="0" applyNumberFormat="1" applyFont="1" applyFill="1" applyBorder="1" applyAlignment="1" applyProtection="1">
      <alignment vertical="center"/>
      <protection/>
    </xf>
    <xf numFmtId="37" fontId="38" fillId="44" borderId="34" xfId="0" applyNumberFormat="1" applyFont="1" applyFill="1" applyBorder="1" applyAlignment="1" applyProtection="1">
      <alignment horizontal="left" vertical="center"/>
      <protection/>
    </xf>
    <xf numFmtId="0" fontId="38" fillId="44" borderId="34" xfId="0" applyFont="1" applyFill="1" applyBorder="1" applyAlignment="1" applyProtection="1">
      <alignment vertical="center"/>
      <protection/>
    </xf>
    <xf numFmtId="0" fontId="38" fillId="44" borderId="0" xfId="0" applyFont="1" applyFill="1" applyAlignment="1" applyProtection="1">
      <alignment horizontal="right" vertical="center"/>
      <protection/>
    </xf>
    <xf numFmtId="3" fontId="38" fillId="44" borderId="10" xfId="0" applyNumberFormat="1" applyFont="1" applyFill="1" applyBorder="1" applyAlignment="1" applyProtection="1">
      <alignment horizontal="center" vertical="center"/>
      <protection/>
    </xf>
    <xf numFmtId="37" fontId="46" fillId="44" borderId="10" xfId="0" applyNumberFormat="1" applyFont="1" applyFill="1" applyBorder="1" applyAlignment="1" applyProtection="1">
      <alignment horizontal="center" vertical="center"/>
      <protection/>
    </xf>
    <xf numFmtId="0" fontId="46" fillId="44" borderId="0" xfId="0" applyFont="1" applyFill="1" applyAlignment="1" applyProtection="1">
      <alignment horizontal="center" vertical="center"/>
      <protection/>
    </xf>
    <xf numFmtId="3" fontId="38" fillId="44" borderId="0" xfId="0" applyNumberFormat="1" applyFont="1" applyFill="1" applyAlignment="1" applyProtection="1">
      <alignment vertical="center"/>
      <protection/>
    </xf>
    <xf numFmtId="3" fontId="38" fillId="44" borderId="11" xfId="0" applyNumberFormat="1" applyFont="1" applyFill="1" applyBorder="1" applyAlignment="1" applyProtection="1">
      <alignment horizontal="fill" vertical="center"/>
      <protection/>
    </xf>
    <xf numFmtId="0" fontId="38" fillId="44" borderId="0" xfId="0" applyFont="1" applyFill="1" applyAlignment="1" applyProtection="1">
      <alignment horizontal="left" vertical="center"/>
      <protection locked="0"/>
    </xf>
    <xf numFmtId="3" fontId="5" fillId="44" borderId="10" xfId="0" applyNumberFormat="1" applyFont="1" applyFill="1" applyBorder="1" applyAlignment="1" applyProtection="1">
      <alignment horizontal="center" vertical="center"/>
      <protection/>
    </xf>
    <xf numFmtId="37" fontId="44" fillId="44" borderId="13" xfId="0" applyNumberFormat="1" applyFont="1" applyFill="1" applyBorder="1" applyAlignment="1" applyProtection="1">
      <alignment horizontal="center" vertical="center"/>
      <protection/>
    </xf>
    <xf numFmtId="3" fontId="38" fillId="44" borderId="34" xfId="0" applyNumberFormat="1" applyFont="1" applyFill="1" applyBorder="1" applyAlignment="1" applyProtection="1">
      <alignment/>
      <protection/>
    </xf>
    <xf numFmtId="0" fontId="38" fillId="44" borderId="34" xfId="0" applyFont="1" applyFill="1" applyBorder="1" applyAlignment="1" applyProtection="1">
      <alignment horizontal="left"/>
      <protection locked="0"/>
    </xf>
    <xf numFmtId="0" fontId="38" fillId="44" borderId="35" xfId="0" applyFont="1" applyFill="1" applyBorder="1" applyAlignment="1" applyProtection="1">
      <alignment vertical="center"/>
      <protection/>
    </xf>
    <xf numFmtId="37" fontId="38" fillId="44" borderId="0" xfId="0" applyNumberFormat="1" applyFont="1" applyFill="1" applyBorder="1" applyAlignment="1" applyProtection="1">
      <alignment vertical="center"/>
      <protection/>
    </xf>
    <xf numFmtId="37" fontId="38" fillId="44" borderId="11" xfId="86" applyNumberFormat="1" applyFont="1" applyFill="1" applyBorder="1" applyAlignment="1" applyProtection="1">
      <alignment vertical="center"/>
      <protection/>
    </xf>
    <xf numFmtId="37" fontId="38" fillId="44" borderId="34" xfId="0" applyNumberFormat="1" applyFont="1" applyFill="1" applyBorder="1" applyAlignment="1" applyProtection="1">
      <alignment horizontal="left"/>
      <protection/>
    </xf>
    <xf numFmtId="0" fontId="38" fillId="0" borderId="0" xfId="0" applyFont="1" applyAlignment="1">
      <alignment vertical="center"/>
    </xf>
    <xf numFmtId="0" fontId="40" fillId="0" borderId="0" xfId="0" applyFont="1" applyAlignment="1">
      <alignment vertical="center"/>
    </xf>
    <xf numFmtId="3" fontId="40" fillId="0" borderId="0" xfId="0" applyNumberFormat="1" applyFont="1" applyAlignment="1">
      <alignment vertical="center"/>
    </xf>
    <xf numFmtId="37" fontId="40" fillId="44" borderId="0" xfId="0" applyNumberFormat="1" applyFont="1" applyFill="1" applyAlignment="1">
      <alignment vertical="center"/>
    </xf>
    <xf numFmtId="0" fontId="40" fillId="44" borderId="0" xfId="0" applyFont="1" applyFill="1" applyAlignment="1">
      <alignment horizontal="center" vertical="center"/>
    </xf>
    <xf numFmtId="0" fontId="40" fillId="44" borderId="0" xfId="0" applyFont="1" applyFill="1" applyAlignment="1">
      <alignment vertical="center"/>
    </xf>
    <xf numFmtId="0" fontId="42" fillId="44" borderId="0" xfId="0" applyFont="1" applyFill="1" applyAlignment="1">
      <alignment horizontal="center" vertical="center"/>
    </xf>
    <xf numFmtId="0" fontId="48" fillId="44" borderId="0" xfId="0" applyFont="1" applyFill="1" applyAlignment="1">
      <alignment horizontal="center" vertical="center"/>
    </xf>
    <xf numFmtId="0" fontId="39" fillId="44" borderId="0" xfId="0" applyFont="1" applyFill="1" applyAlignment="1">
      <alignment horizontal="center" vertical="center"/>
    </xf>
    <xf numFmtId="0" fontId="40" fillId="44" borderId="11" xfId="0" applyFont="1" applyFill="1" applyBorder="1" applyAlignment="1">
      <alignment vertical="center"/>
    </xf>
    <xf numFmtId="0" fontId="40" fillId="44" borderId="15" xfId="0" applyFont="1" applyFill="1" applyBorder="1" applyAlignment="1">
      <alignment vertical="center"/>
    </xf>
    <xf numFmtId="0" fontId="40" fillId="44" borderId="13" xfId="0" applyFont="1" applyFill="1" applyBorder="1" applyAlignment="1">
      <alignment horizontal="center" vertical="center"/>
    </xf>
    <xf numFmtId="0" fontId="40" fillId="44" borderId="17" xfId="0" applyFont="1" applyFill="1" applyBorder="1" applyAlignment="1">
      <alignment vertical="center"/>
    </xf>
    <xf numFmtId="0" fontId="40" fillId="44" borderId="10" xfId="0" applyFont="1" applyFill="1" applyBorder="1" applyAlignment="1">
      <alignment horizontal="center" vertical="center"/>
    </xf>
    <xf numFmtId="0" fontId="40" fillId="44" borderId="13" xfId="0" applyFont="1" applyFill="1" applyBorder="1" applyAlignment="1">
      <alignment vertical="center"/>
    </xf>
    <xf numFmtId="0" fontId="40" fillId="44" borderId="33" xfId="0" applyFont="1" applyFill="1" applyBorder="1" applyAlignment="1">
      <alignment vertical="center"/>
    </xf>
    <xf numFmtId="3" fontId="40" fillId="44" borderId="10" xfId="0" applyNumberFormat="1" applyFont="1" applyFill="1" applyBorder="1" applyAlignment="1">
      <alignment horizontal="center" vertical="center"/>
    </xf>
    <xf numFmtId="0" fontId="40" fillId="44" borderId="10" xfId="0" applyFont="1" applyFill="1" applyBorder="1" applyAlignment="1" applyProtection="1">
      <alignment vertical="center"/>
      <protection locked="0"/>
    </xf>
    <xf numFmtId="0" fontId="40" fillId="44" borderId="13" xfId="0" applyFont="1" applyFill="1" applyBorder="1" applyAlignment="1" applyProtection="1">
      <alignment vertical="center"/>
      <protection locked="0"/>
    </xf>
    <xf numFmtId="3" fontId="42" fillId="44" borderId="10" xfId="0" applyNumberFormat="1" applyFont="1" applyFill="1" applyBorder="1" applyAlignment="1">
      <alignment horizontal="center" vertical="center"/>
    </xf>
    <xf numFmtId="3" fontId="47" fillId="44" borderId="0" xfId="0" applyNumberFormat="1" applyFont="1" applyFill="1" applyAlignment="1">
      <alignment horizontal="center" vertical="center"/>
    </xf>
    <xf numFmtId="3" fontId="40" fillId="44" borderId="0" xfId="0" applyNumberFormat="1" applyFont="1" applyFill="1" applyAlignment="1">
      <alignment vertical="center"/>
    </xf>
    <xf numFmtId="0" fontId="40" fillId="44" borderId="0" xfId="0" applyFont="1" applyFill="1" applyAlignment="1">
      <alignment horizontal="right" vertical="center"/>
    </xf>
    <xf numFmtId="0" fontId="40" fillId="44" borderId="11" xfId="0" applyFont="1" applyFill="1" applyBorder="1" applyAlignment="1">
      <alignment/>
    </xf>
    <xf numFmtId="0" fontId="40" fillId="44" borderId="33" xfId="0" applyFont="1" applyFill="1" applyBorder="1" applyAlignment="1">
      <alignment/>
    </xf>
    <xf numFmtId="37" fontId="38" fillId="44" borderId="10" xfId="0" applyNumberFormat="1" applyFont="1" applyFill="1" applyBorder="1" applyAlignment="1" applyProtection="1">
      <alignment/>
      <protection locked="0"/>
    </xf>
    <xf numFmtId="1" fontId="38" fillId="44" borderId="0" xfId="0" applyNumberFormat="1" applyFont="1" applyFill="1" applyBorder="1" applyAlignment="1" applyProtection="1">
      <alignment horizontal="right" vertical="center"/>
      <protection/>
    </xf>
    <xf numFmtId="0" fontId="43" fillId="44" borderId="0" xfId="403" applyFont="1" applyFill="1" applyAlignment="1" applyProtection="1">
      <alignment horizontal="centerContinuous" vertical="center"/>
      <protection/>
    </xf>
    <xf numFmtId="0" fontId="38" fillId="44" borderId="0" xfId="0" applyFont="1" applyFill="1" applyAlignment="1" applyProtection="1">
      <alignment horizontal="centerContinuous" vertical="center"/>
      <protection/>
    </xf>
    <xf numFmtId="0" fontId="38" fillId="44" borderId="11" xfId="0" applyFont="1" applyFill="1" applyBorder="1" applyAlignment="1" applyProtection="1">
      <alignment horizontal="fill" vertical="center"/>
      <protection/>
    </xf>
    <xf numFmtId="0" fontId="38" fillId="44" borderId="15" xfId="0" applyFont="1" applyFill="1" applyBorder="1" applyAlignment="1" applyProtection="1">
      <alignment horizontal="center" vertical="center"/>
      <protection/>
    </xf>
    <xf numFmtId="0" fontId="38" fillId="44" borderId="35" xfId="0" applyFont="1" applyFill="1" applyBorder="1" applyAlignment="1" applyProtection="1">
      <alignment horizontal="centerContinuous" vertical="center"/>
      <protection/>
    </xf>
    <xf numFmtId="0" fontId="38" fillId="44" borderId="17" xfId="0" applyFont="1" applyFill="1" applyBorder="1" applyAlignment="1" applyProtection="1">
      <alignment horizontal="centerContinuous" vertical="center"/>
      <protection/>
    </xf>
    <xf numFmtId="0" fontId="38" fillId="44" borderId="36" xfId="0" applyFont="1" applyFill="1" applyBorder="1" applyAlignment="1" applyProtection="1">
      <alignment horizontal="center" vertical="center"/>
      <protection/>
    </xf>
    <xf numFmtId="0" fontId="38" fillId="44" borderId="10" xfId="0" applyFont="1" applyFill="1" applyBorder="1" applyAlignment="1" applyProtection="1">
      <alignment horizontal="left" vertical="center"/>
      <protection/>
    </xf>
    <xf numFmtId="0" fontId="38" fillId="44" borderId="16" xfId="0" applyFont="1" applyFill="1" applyBorder="1" applyAlignment="1" applyProtection="1">
      <alignment horizontal="center" vertical="center"/>
      <protection/>
    </xf>
    <xf numFmtId="1" fontId="38" fillId="44" borderId="33" xfId="0" applyNumberFormat="1" applyFont="1" applyFill="1" applyBorder="1" applyAlignment="1" applyProtection="1">
      <alignment horizontal="center" vertical="center"/>
      <protection/>
    </xf>
    <xf numFmtId="0" fontId="38" fillId="44" borderId="10" xfId="0" applyFont="1" applyFill="1" applyBorder="1" applyAlignment="1" applyProtection="1">
      <alignment horizontal="center" vertical="center"/>
      <protection/>
    </xf>
    <xf numFmtId="0" fontId="38" fillId="44" borderId="10" xfId="0" applyFont="1" applyFill="1" applyBorder="1" applyAlignment="1" applyProtection="1">
      <alignment vertical="center"/>
      <protection/>
    </xf>
    <xf numFmtId="2" fontId="38" fillId="44" borderId="10" xfId="0" applyNumberFormat="1" applyFont="1" applyFill="1" applyBorder="1" applyAlignment="1" applyProtection="1">
      <alignment vertical="center"/>
      <protection/>
    </xf>
    <xf numFmtId="0" fontId="38" fillId="0" borderId="10" xfId="0" applyFont="1" applyFill="1" applyBorder="1" applyAlignment="1" applyProtection="1">
      <alignment/>
      <protection locked="0"/>
    </xf>
    <xf numFmtId="14" fontId="38" fillId="0" borderId="10" xfId="0" applyNumberFormat="1" applyFont="1" applyFill="1" applyBorder="1" applyAlignment="1" applyProtection="1">
      <alignment/>
      <protection locked="0"/>
    </xf>
    <xf numFmtId="0" fontId="38" fillId="0" borderId="10" xfId="0" applyFont="1" applyFill="1" applyBorder="1" applyAlignment="1" applyProtection="1">
      <alignment horizontal="center"/>
      <protection locked="0"/>
    </xf>
    <xf numFmtId="43" fontId="38" fillId="0" borderId="10" xfId="42" applyFont="1" applyFill="1" applyBorder="1" applyAlignment="1" applyProtection="1">
      <alignment/>
      <protection locked="0"/>
    </xf>
    <xf numFmtId="37" fontId="38" fillId="0" borderId="10" xfId="0" applyNumberFormat="1"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xf>
    <xf numFmtId="174" fontId="43" fillId="0" borderId="10" xfId="0" applyNumberFormat="1" applyFont="1" applyFill="1" applyBorder="1" applyAlignment="1" applyProtection="1">
      <alignment horizontal="center" vertical="center"/>
      <protection/>
    </xf>
    <xf numFmtId="2" fontId="43" fillId="0" borderId="10" xfId="0" applyNumberFormat="1" applyFont="1" applyFill="1" applyBorder="1" applyAlignment="1" applyProtection="1">
      <alignment horizontal="center" vertical="center"/>
      <protection/>
    </xf>
    <xf numFmtId="3" fontId="43" fillId="0" borderId="10" xfId="0" applyNumberFormat="1" applyFont="1" applyFill="1" applyBorder="1" applyAlignment="1" applyProtection="1">
      <alignment horizontal="center" vertical="center"/>
      <protection/>
    </xf>
    <xf numFmtId="37" fontId="43" fillId="0" borderId="10" xfId="0" applyNumberFormat="1" applyFont="1" applyFill="1" applyBorder="1" applyAlignment="1" applyProtection="1">
      <alignment horizontal="center" vertical="center"/>
      <protection/>
    </xf>
    <xf numFmtId="175" fontId="43" fillId="0" borderId="10" xfId="0" applyNumberFormat="1" applyFont="1" applyFill="1" applyBorder="1" applyAlignment="1" applyProtection="1">
      <alignment horizontal="center" vertical="center"/>
      <protection/>
    </xf>
    <xf numFmtId="0" fontId="43" fillId="44" borderId="10" xfId="0" applyFont="1" applyFill="1" applyBorder="1" applyAlignment="1" applyProtection="1">
      <alignment horizontal="left" vertical="center"/>
      <protection/>
    </xf>
    <xf numFmtId="174" fontId="43" fillId="44" borderId="10" xfId="0" applyNumberFormat="1" applyFont="1" applyFill="1" applyBorder="1" applyAlignment="1" applyProtection="1">
      <alignment horizontal="center" vertical="center"/>
      <protection/>
    </xf>
    <xf numFmtId="2" fontId="43" fillId="44" borderId="10" xfId="0" applyNumberFormat="1" applyFont="1" applyFill="1" applyBorder="1" applyAlignment="1" applyProtection="1">
      <alignment horizontal="center" vertical="center"/>
      <protection/>
    </xf>
    <xf numFmtId="3" fontId="43" fillId="44" borderId="10" xfId="0" applyNumberFormat="1" applyFont="1" applyFill="1" applyBorder="1" applyAlignment="1" applyProtection="1">
      <alignment horizontal="center" vertical="center"/>
      <protection/>
    </xf>
    <xf numFmtId="37" fontId="43" fillId="44" borderId="10" xfId="0" applyNumberFormat="1" applyFont="1" applyFill="1" applyBorder="1" applyAlignment="1" applyProtection="1">
      <alignment horizontal="center" vertical="center"/>
      <protection/>
    </xf>
    <xf numFmtId="175" fontId="43" fillId="44" borderId="10" xfId="0" applyNumberFormat="1" applyFont="1" applyFill="1" applyBorder="1" applyAlignment="1" applyProtection="1">
      <alignment horizontal="center" vertical="center"/>
      <protection/>
    </xf>
    <xf numFmtId="174" fontId="38" fillId="44" borderId="10" xfId="0" applyNumberFormat="1" applyFont="1" applyFill="1" applyBorder="1" applyAlignment="1" applyProtection="1">
      <alignment horizontal="center" vertical="center"/>
      <protection/>
    </xf>
    <xf numFmtId="2" fontId="38" fillId="44" borderId="10" xfId="0" applyNumberFormat="1" applyFont="1" applyFill="1" applyBorder="1" applyAlignment="1" applyProtection="1">
      <alignment horizontal="center" vertical="center"/>
      <protection/>
    </xf>
    <xf numFmtId="175" fontId="38" fillId="44" borderId="10" xfId="0" applyNumberFormat="1" applyFont="1" applyFill="1" applyBorder="1" applyAlignment="1" applyProtection="1">
      <alignment horizontal="center" vertical="center"/>
      <protection/>
    </xf>
    <xf numFmtId="1" fontId="43" fillId="0" borderId="10" xfId="0" applyNumberFormat="1" applyFont="1" applyFill="1" applyBorder="1" applyAlignment="1" applyProtection="1">
      <alignment horizontal="center" vertical="center"/>
      <protection/>
    </xf>
    <xf numFmtId="1" fontId="43" fillId="44" borderId="10" xfId="0" applyNumberFormat="1" applyFont="1" applyFill="1" applyBorder="1" applyAlignment="1" applyProtection="1">
      <alignment horizontal="center" vertical="center"/>
      <protection/>
    </xf>
    <xf numFmtId="1" fontId="38" fillId="44" borderId="10" xfId="0" applyNumberFormat="1"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protection/>
    </xf>
    <xf numFmtId="0" fontId="43" fillId="44" borderId="10" xfId="0" applyFont="1" applyFill="1" applyBorder="1" applyAlignment="1" applyProtection="1">
      <alignment horizontal="center" vertical="center"/>
      <protection/>
    </xf>
    <xf numFmtId="37" fontId="38" fillId="0" borderId="0" xfId="0" applyNumberFormat="1" applyFont="1" applyAlignment="1" applyProtection="1">
      <alignment vertical="center"/>
      <protection locked="0"/>
    </xf>
    <xf numFmtId="0" fontId="38" fillId="0" borderId="0" xfId="0" applyFont="1" applyAlignment="1" applyProtection="1">
      <alignment horizontal="left" vertical="center"/>
      <protection locked="0"/>
    </xf>
    <xf numFmtId="0" fontId="38" fillId="44" borderId="10" xfId="146" applyFont="1" applyFill="1" applyBorder="1">
      <alignment/>
      <protection/>
    </xf>
    <xf numFmtId="14" fontId="38" fillId="44" borderId="10" xfId="146" applyNumberFormat="1" applyFont="1" applyFill="1" applyBorder="1" applyAlignment="1">
      <alignment horizontal="right"/>
      <protection/>
    </xf>
    <xf numFmtId="43" fontId="38" fillId="44" borderId="10" xfId="47" applyFont="1" applyFill="1" applyBorder="1" applyAlignment="1">
      <alignment/>
    </xf>
    <xf numFmtId="43" fontId="38" fillId="44" borderId="10" xfId="146" applyNumberFormat="1" applyFont="1" applyFill="1" applyBorder="1">
      <alignment/>
      <protection/>
    </xf>
    <xf numFmtId="2" fontId="38" fillId="44" borderId="10" xfId="146" applyNumberFormat="1" applyFont="1" applyFill="1" applyBorder="1">
      <alignment/>
      <protection/>
    </xf>
    <xf numFmtId="2" fontId="38" fillId="44" borderId="13" xfId="146" applyNumberFormat="1" applyFont="1" applyFill="1" applyBorder="1">
      <alignment/>
      <protection/>
    </xf>
    <xf numFmtId="43" fontId="38" fillId="44" borderId="15" xfId="146" applyNumberFormat="1" applyFont="1" applyFill="1" applyBorder="1">
      <alignment/>
      <protection/>
    </xf>
    <xf numFmtId="0" fontId="38" fillId="44" borderId="13" xfId="146" applyFont="1" applyFill="1" applyBorder="1">
      <alignment/>
      <protection/>
    </xf>
    <xf numFmtId="0" fontId="38" fillId="44" borderId="10" xfId="146" applyFont="1" applyFill="1" applyBorder="1" applyAlignment="1">
      <alignment horizontal="center"/>
      <protection/>
    </xf>
    <xf numFmtId="37" fontId="38" fillId="44" borderId="0" xfId="0" applyNumberFormat="1" applyFont="1" applyFill="1" applyAlignment="1" applyProtection="1">
      <alignment/>
      <protection/>
    </xf>
    <xf numFmtId="0" fontId="38" fillId="44" borderId="0" xfId="0" applyFont="1" applyFill="1" applyAlignment="1" applyProtection="1">
      <alignment/>
      <protection/>
    </xf>
    <xf numFmtId="0" fontId="38" fillId="44" borderId="0" xfId="0" applyNumberFormat="1" applyFont="1" applyFill="1" applyAlignment="1" applyProtection="1">
      <alignment horizontal="right"/>
      <protection/>
    </xf>
    <xf numFmtId="0" fontId="38" fillId="0" borderId="0" xfId="0" applyFont="1" applyAlignment="1" applyProtection="1">
      <alignment/>
      <protection locked="0"/>
    </xf>
    <xf numFmtId="37" fontId="38" fillId="44" borderId="0" xfId="0" applyNumberFormat="1" applyFont="1" applyFill="1" applyAlignment="1" applyProtection="1">
      <alignment horizontal="right"/>
      <protection/>
    </xf>
    <xf numFmtId="0" fontId="38" fillId="44" borderId="0" xfId="0" applyFont="1" applyFill="1" applyAlignment="1" applyProtection="1">
      <alignment horizontal="right"/>
      <protection/>
    </xf>
    <xf numFmtId="0" fontId="43" fillId="44" borderId="0" xfId="403" applyFont="1" applyFill="1" applyAlignment="1" applyProtection="1">
      <alignment horizontal="centerContinuous"/>
      <protection/>
    </xf>
    <xf numFmtId="0" fontId="38" fillId="44" borderId="0" xfId="0" applyFont="1" applyFill="1" applyAlignment="1" applyProtection="1">
      <alignment horizontal="centerContinuous"/>
      <protection/>
    </xf>
    <xf numFmtId="0" fontId="38" fillId="44" borderId="11" xfId="0" applyFont="1" applyFill="1" applyBorder="1" applyAlignment="1" applyProtection="1">
      <alignment/>
      <protection/>
    </xf>
    <xf numFmtId="0" fontId="38" fillId="44" borderId="11" xfId="0" applyFont="1" applyFill="1" applyBorder="1" applyAlignment="1" applyProtection="1">
      <alignment horizontal="fill"/>
      <protection/>
    </xf>
    <xf numFmtId="0" fontId="38" fillId="44" borderId="15" xfId="0" applyFont="1" applyFill="1" applyBorder="1" applyAlignment="1" applyProtection="1">
      <alignment/>
      <protection/>
    </xf>
    <xf numFmtId="0" fontId="38" fillId="44" borderId="15" xfId="0" applyFont="1" applyFill="1" applyBorder="1" applyAlignment="1" applyProtection="1">
      <alignment horizontal="center"/>
      <protection/>
    </xf>
    <xf numFmtId="0" fontId="38" fillId="44" borderId="36" xfId="0" applyFont="1" applyFill="1" applyBorder="1" applyAlignment="1" applyProtection="1">
      <alignment horizontal="center"/>
      <protection/>
    </xf>
    <xf numFmtId="0" fontId="38" fillId="44" borderId="11" xfId="0" applyFont="1" applyFill="1" applyBorder="1" applyAlignment="1" applyProtection="1">
      <alignment horizontal="left"/>
      <protection/>
    </xf>
    <xf numFmtId="0" fontId="38" fillId="44" borderId="16" xfId="0" applyFont="1" applyFill="1" applyBorder="1" applyAlignment="1" applyProtection="1">
      <alignment horizontal="center"/>
      <protection/>
    </xf>
    <xf numFmtId="14" fontId="38" fillId="44" borderId="16" xfId="0" applyNumberFormat="1" applyFont="1" applyFill="1" applyBorder="1" applyAlignment="1" applyProtection="1" quotePrefix="1">
      <alignment horizontal="center"/>
      <protection/>
    </xf>
    <xf numFmtId="0" fontId="43" fillId="44" borderId="0" xfId="0" applyFont="1" applyFill="1" applyAlignment="1" applyProtection="1">
      <alignment horizontal="left"/>
      <protection/>
    </xf>
    <xf numFmtId="0" fontId="38" fillId="44" borderId="0" xfId="0" applyFont="1" applyFill="1" applyAlignment="1" applyProtection="1">
      <alignment horizontal="center"/>
      <protection/>
    </xf>
    <xf numFmtId="3" fontId="43" fillId="44" borderId="18" xfId="0" applyNumberFormat="1" applyFont="1" applyFill="1" applyBorder="1" applyAlignment="1" applyProtection="1">
      <alignment horizontal="center"/>
      <protection/>
    </xf>
    <xf numFmtId="0" fontId="38" fillId="44" borderId="0" xfId="402" applyFont="1" applyFill="1" applyProtection="1">
      <alignment/>
      <protection/>
    </xf>
    <xf numFmtId="37" fontId="5" fillId="44" borderId="0" xfId="0" applyNumberFormat="1" applyFont="1" applyFill="1" applyAlignment="1" applyProtection="1">
      <alignment vertical="center"/>
      <protection/>
    </xf>
    <xf numFmtId="0" fontId="5" fillId="44" borderId="0" xfId="0" applyFont="1" applyFill="1" applyAlignment="1" applyProtection="1">
      <alignment vertical="center"/>
      <protection/>
    </xf>
    <xf numFmtId="0" fontId="5" fillId="44" borderId="15" xfId="0" applyFont="1" applyFill="1" applyBorder="1" applyAlignment="1" applyProtection="1">
      <alignment horizontal="center" vertical="center" wrapText="1"/>
      <protection/>
    </xf>
    <xf numFmtId="0" fontId="5" fillId="44" borderId="17" xfId="0" applyFont="1" applyFill="1" applyBorder="1" applyAlignment="1" applyProtection="1">
      <alignment horizontal="center" vertical="center" wrapText="1"/>
      <protection/>
    </xf>
    <xf numFmtId="0" fontId="5" fillId="44" borderId="10" xfId="0" applyFont="1" applyFill="1" applyBorder="1" applyAlignment="1" applyProtection="1">
      <alignment horizontal="center" vertical="center" wrapText="1"/>
      <protection/>
    </xf>
    <xf numFmtId="37" fontId="5" fillId="44" borderId="10" xfId="0" applyNumberFormat="1" applyFont="1" applyFill="1" applyBorder="1" applyAlignment="1" applyProtection="1">
      <alignment horizontal="left" vertical="center"/>
      <protection/>
    </xf>
    <xf numFmtId="3" fontId="5" fillId="44" borderId="10" xfId="0" applyNumberFormat="1" applyFont="1" applyFill="1" applyBorder="1" applyAlignment="1" applyProtection="1">
      <alignment horizontal="center" vertical="center"/>
      <protection locked="0"/>
    </xf>
    <xf numFmtId="188" fontId="5" fillId="44" borderId="10" xfId="0" applyNumberFormat="1" applyFont="1" applyFill="1" applyBorder="1" applyAlignment="1" applyProtection="1">
      <alignment horizontal="center" vertical="center"/>
      <protection/>
    </xf>
    <xf numFmtId="0" fontId="5" fillId="44" borderId="10" xfId="0" applyFont="1" applyFill="1" applyBorder="1" applyAlignment="1" applyProtection="1">
      <alignment vertical="center"/>
      <protection/>
    </xf>
    <xf numFmtId="3" fontId="5" fillId="44" borderId="18" xfId="0" applyNumberFormat="1" applyFont="1" applyFill="1" applyBorder="1" applyAlignment="1" applyProtection="1">
      <alignment horizontal="center" vertical="center"/>
      <protection/>
    </xf>
    <xf numFmtId="188" fontId="5" fillId="44" borderId="18" xfId="0" applyNumberFormat="1" applyFont="1" applyFill="1" applyBorder="1" applyAlignment="1" applyProtection="1">
      <alignment horizontal="center" vertical="center"/>
      <protection/>
    </xf>
    <xf numFmtId="3" fontId="5" fillId="44" borderId="11" xfId="0" applyNumberFormat="1" applyFont="1" applyFill="1" applyBorder="1" applyAlignment="1" applyProtection="1">
      <alignment horizontal="center" vertical="center"/>
      <protection/>
    </xf>
    <xf numFmtId="188" fontId="5" fillId="44" borderId="11" xfId="0" applyNumberFormat="1" applyFont="1" applyFill="1" applyBorder="1" applyAlignment="1" applyProtection="1">
      <alignment horizontal="center" vertical="center"/>
      <protection/>
    </xf>
    <xf numFmtId="0" fontId="5" fillId="44" borderId="0" xfId="0" applyFont="1" applyFill="1" applyAlignment="1" applyProtection="1">
      <alignment horizontal="right" vertical="center"/>
      <protection/>
    </xf>
    <xf numFmtId="188" fontId="5" fillId="44" borderId="0" xfId="0" applyNumberFormat="1" applyFont="1" applyFill="1" applyBorder="1" applyAlignment="1" applyProtection="1">
      <alignment horizontal="center" vertical="center"/>
      <protection/>
    </xf>
    <xf numFmtId="3" fontId="5" fillId="44" borderId="11" xfId="0" applyNumberFormat="1" applyFont="1" applyFill="1" applyBorder="1" applyAlignment="1">
      <alignment horizontal="center" vertical="center"/>
    </xf>
    <xf numFmtId="0" fontId="0" fillId="44" borderId="0" xfId="0" applyFill="1" applyAlignment="1">
      <alignment vertical="center"/>
    </xf>
    <xf numFmtId="0" fontId="0" fillId="44" borderId="0" xfId="0" applyFill="1" applyAlignment="1">
      <alignment horizontal="center" vertical="center"/>
    </xf>
    <xf numFmtId="188" fontId="5" fillId="44" borderId="11" xfId="0" applyNumberFormat="1" applyFont="1" applyFill="1" applyBorder="1" applyAlignment="1">
      <alignment horizontal="center" vertical="center"/>
    </xf>
    <xf numFmtId="0" fontId="5" fillId="44" borderId="0" xfId="0" applyFont="1" applyFill="1" applyAlignment="1">
      <alignment/>
    </xf>
    <xf numFmtId="0" fontId="5" fillId="44" borderId="0" xfId="0" applyFont="1" applyFill="1" applyAlignment="1">
      <alignment horizontal="right" vertical="center"/>
    </xf>
    <xf numFmtId="0" fontId="5" fillId="44" borderId="0" xfId="0" applyFont="1" applyFill="1" applyAlignment="1" applyProtection="1">
      <alignment horizontal="left" vertical="center"/>
      <protection locked="0"/>
    </xf>
    <xf numFmtId="178" fontId="5" fillId="44" borderId="0" xfId="0" applyNumberFormat="1" applyFont="1" applyFill="1" applyBorder="1" applyAlignment="1" applyProtection="1">
      <alignment vertical="center"/>
      <protection/>
    </xf>
    <xf numFmtId="0" fontId="38" fillId="0" borderId="0" xfId="0" applyFont="1" applyAlignment="1">
      <alignment horizontal="centerContinuous" vertical="center"/>
    </xf>
    <xf numFmtId="37" fontId="43" fillId="44" borderId="0" xfId="0" applyNumberFormat="1" applyFont="1" applyFill="1" applyAlignment="1" applyProtection="1">
      <alignment horizontal="centerContinuous" vertical="center"/>
      <protection/>
    </xf>
    <xf numFmtId="37" fontId="38" fillId="44" borderId="0" xfId="0" applyNumberFormat="1" applyFont="1" applyFill="1" applyAlignment="1" applyProtection="1">
      <alignment horizontal="centerContinuous" vertical="center"/>
      <protection/>
    </xf>
    <xf numFmtId="1" fontId="38" fillId="44" borderId="34" xfId="0" applyNumberFormat="1" applyFont="1" applyFill="1" applyBorder="1" applyAlignment="1" applyProtection="1">
      <alignment horizontal="centerContinuous" vertical="center"/>
      <protection/>
    </xf>
    <xf numFmtId="0" fontId="38" fillId="44" borderId="13" xfId="0" applyFont="1" applyFill="1" applyBorder="1" applyAlignment="1" applyProtection="1">
      <alignment horizontal="centerContinuous" vertical="center"/>
      <protection/>
    </xf>
    <xf numFmtId="37" fontId="38" fillId="44" borderId="34" xfId="0" applyNumberFormat="1" applyFont="1" applyFill="1" applyBorder="1" applyAlignment="1" applyProtection="1">
      <alignment horizontal="centerContinuous" vertical="center"/>
      <protection/>
    </xf>
    <xf numFmtId="0" fontId="38" fillId="44" borderId="12" xfId="0" applyFont="1" applyFill="1" applyBorder="1" applyAlignment="1" applyProtection="1">
      <alignment horizontal="centerContinuous" vertical="center"/>
      <protection/>
    </xf>
    <xf numFmtId="1" fontId="38" fillId="44" borderId="15" xfId="0" applyNumberFormat="1" applyFont="1" applyFill="1" applyBorder="1" applyAlignment="1" applyProtection="1">
      <alignment horizontal="center" vertical="center"/>
      <protection/>
    </xf>
    <xf numFmtId="37" fontId="38" fillId="44" borderId="15" xfId="0" applyNumberFormat="1" applyFont="1" applyFill="1" applyBorder="1" applyAlignment="1" applyProtection="1">
      <alignment horizontal="center" vertical="center"/>
      <protection/>
    </xf>
    <xf numFmtId="37" fontId="38" fillId="44" borderId="15" xfId="77" applyNumberFormat="1" applyFont="1" applyFill="1" applyBorder="1" applyAlignment="1" applyProtection="1">
      <alignment horizontal="center"/>
      <protection/>
    </xf>
    <xf numFmtId="37" fontId="38" fillId="44" borderId="10" xfId="0" applyNumberFormat="1" applyFont="1" applyFill="1" applyBorder="1" applyAlignment="1" applyProtection="1">
      <alignment horizontal="left" vertical="center"/>
      <protection/>
    </xf>
    <xf numFmtId="37" fontId="38" fillId="44" borderId="16" xfId="0" applyNumberFormat="1" applyFont="1" applyFill="1" applyBorder="1" applyAlignment="1" applyProtection="1">
      <alignment horizontal="center" vertical="center"/>
      <protection/>
    </xf>
    <xf numFmtId="37" fontId="38" fillId="44" borderId="16" xfId="77" applyNumberFormat="1" applyFont="1" applyFill="1" applyBorder="1" applyAlignment="1" applyProtection="1">
      <alignment horizontal="center"/>
      <protection/>
    </xf>
    <xf numFmtId="0" fontId="38" fillId="44" borderId="16" xfId="0" applyFont="1" applyFill="1" applyBorder="1" applyAlignment="1">
      <alignment horizontal="center" vertical="center"/>
    </xf>
    <xf numFmtId="164" fontId="38" fillId="44" borderId="10" xfId="0" applyNumberFormat="1" applyFont="1" applyFill="1" applyBorder="1" applyAlignment="1" applyProtection="1">
      <alignment vertical="center"/>
      <protection/>
    </xf>
    <xf numFmtId="0" fontId="38" fillId="46" borderId="31" xfId="86" applyFont="1" applyFill="1" applyBorder="1" applyProtection="1">
      <alignment/>
      <protection/>
    </xf>
    <xf numFmtId="0" fontId="38" fillId="46" borderId="0" xfId="86" applyFont="1" applyFill="1" applyBorder="1" applyProtection="1">
      <alignment/>
      <protection/>
    </xf>
    <xf numFmtId="0" fontId="38" fillId="44" borderId="32" xfId="86" applyFont="1" applyFill="1" applyBorder="1" applyProtection="1">
      <alignment/>
      <protection/>
    </xf>
    <xf numFmtId="37" fontId="38" fillId="44" borderId="15" xfId="0" applyNumberFormat="1" applyFont="1" applyFill="1" applyBorder="1" applyAlignment="1" applyProtection="1">
      <alignment horizontal="left" vertical="center"/>
      <protection/>
    </xf>
    <xf numFmtId="3" fontId="38" fillId="44" borderId="37" xfId="0" applyNumberFormat="1" applyFont="1" applyFill="1" applyBorder="1" applyAlignment="1" applyProtection="1">
      <alignment horizontal="center" vertical="center"/>
      <protection/>
    </xf>
    <xf numFmtId="188" fontId="38" fillId="44" borderId="37" xfId="0" applyNumberFormat="1" applyFont="1" applyFill="1" applyBorder="1" applyAlignment="1" applyProtection="1">
      <alignment horizontal="center" vertical="center"/>
      <protection/>
    </xf>
    <xf numFmtId="3" fontId="38" fillId="44" borderId="16" xfId="0" applyNumberFormat="1" applyFont="1" applyFill="1" applyBorder="1" applyAlignment="1" applyProtection="1">
      <alignment horizontal="center" vertical="center"/>
      <protection/>
    </xf>
    <xf numFmtId="178" fontId="38" fillId="44" borderId="0" xfId="0" applyNumberFormat="1" applyFont="1" applyFill="1" applyBorder="1" applyAlignment="1" applyProtection="1">
      <alignment horizontal="center" vertical="center"/>
      <protection/>
    </xf>
    <xf numFmtId="188" fontId="38" fillId="44" borderId="0" xfId="0" applyNumberFormat="1" applyFont="1" applyFill="1" applyBorder="1" applyAlignment="1" applyProtection="1">
      <alignment horizontal="center" vertical="center"/>
      <protection/>
    </xf>
    <xf numFmtId="3" fontId="38" fillId="44" borderId="0" xfId="0" applyNumberFormat="1" applyFont="1" applyFill="1" applyBorder="1" applyAlignment="1" applyProtection="1">
      <alignment horizontal="center" vertical="center"/>
      <protection/>
    </xf>
    <xf numFmtId="0" fontId="92" fillId="0" borderId="0" xfId="0" applyFont="1" applyAlignment="1">
      <alignment vertical="center"/>
    </xf>
    <xf numFmtId="0" fontId="38" fillId="44" borderId="31" xfId="86" applyFont="1" applyFill="1" applyBorder="1" applyProtection="1">
      <alignment/>
      <protection/>
    </xf>
    <xf numFmtId="0" fontId="38" fillId="44" borderId="0" xfId="86" applyFont="1" applyFill="1" applyBorder="1" applyProtection="1">
      <alignment/>
      <protection/>
    </xf>
    <xf numFmtId="3" fontId="38" fillId="44" borderId="18" xfId="0" applyNumberFormat="1" applyFont="1" applyFill="1" applyBorder="1" applyAlignment="1" applyProtection="1">
      <alignment horizontal="center" vertical="center"/>
      <protection/>
    </xf>
    <xf numFmtId="195" fontId="38" fillId="44" borderId="32" xfId="86" applyNumberFormat="1" applyFont="1" applyFill="1" applyBorder="1" applyAlignment="1" applyProtection="1">
      <alignment horizontal="center"/>
      <protection/>
    </xf>
    <xf numFmtId="37" fontId="38" fillId="44" borderId="16" xfId="0" applyNumberFormat="1" applyFont="1" applyFill="1" applyBorder="1" applyAlignment="1" applyProtection="1">
      <alignment horizontal="fill" vertical="center"/>
      <protection/>
    </xf>
    <xf numFmtId="195" fontId="38" fillId="44" borderId="14" xfId="86" applyNumberFormat="1" applyFont="1" applyFill="1" applyBorder="1" applyAlignment="1" applyProtection="1">
      <alignment horizontal="center"/>
      <protection/>
    </xf>
    <xf numFmtId="3" fontId="38" fillId="44" borderId="15" xfId="0" applyNumberFormat="1" applyFont="1" applyFill="1" applyBorder="1" applyAlignment="1" applyProtection="1">
      <alignment horizontal="center" vertical="center"/>
      <protection/>
    </xf>
    <xf numFmtId="166" fontId="38" fillId="44" borderId="0" xfId="0" applyNumberFormat="1" applyFont="1" applyFill="1" applyAlignment="1" applyProtection="1">
      <alignment vertical="center"/>
      <protection/>
    </xf>
    <xf numFmtId="0" fontId="38" fillId="44" borderId="15" xfId="0" applyFont="1" applyFill="1" applyBorder="1" applyAlignment="1" applyProtection="1">
      <alignment vertical="center"/>
      <protection/>
    </xf>
    <xf numFmtId="0" fontId="38" fillId="46" borderId="33" xfId="86" applyFont="1" applyFill="1" applyBorder="1" applyProtection="1">
      <alignment/>
      <protection/>
    </xf>
    <xf numFmtId="0" fontId="38" fillId="46" borderId="11" xfId="86" applyFont="1" applyFill="1" applyBorder="1" applyProtection="1">
      <alignment/>
      <protection/>
    </xf>
    <xf numFmtId="195" fontId="38" fillId="46" borderId="14" xfId="86" applyNumberFormat="1" applyFont="1" applyFill="1" applyBorder="1" applyAlignment="1" applyProtection="1">
      <alignment horizontal="center"/>
      <protection/>
    </xf>
    <xf numFmtId="0" fontId="38" fillId="44" borderId="0" xfId="0" applyFont="1" applyFill="1" applyBorder="1" applyAlignment="1" applyProtection="1">
      <alignment vertical="center"/>
      <protection/>
    </xf>
    <xf numFmtId="0" fontId="38" fillId="0" borderId="0" xfId="86" applyFont="1" applyFill="1" applyBorder="1" applyProtection="1">
      <alignment/>
      <protection/>
    </xf>
    <xf numFmtId="0" fontId="38" fillId="0" borderId="0" xfId="86" applyFont="1" applyProtection="1">
      <alignment/>
      <protection/>
    </xf>
    <xf numFmtId="1" fontId="49" fillId="44" borderId="0" xfId="0" applyNumberFormat="1" applyFont="1" applyFill="1" applyAlignment="1" applyProtection="1">
      <alignment horizontal="center" vertical="center"/>
      <protection/>
    </xf>
    <xf numFmtId="0" fontId="38" fillId="44" borderId="0" xfId="0" applyFont="1" applyFill="1" applyAlignment="1" applyProtection="1">
      <alignment horizontal="center" vertical="center"/>
      <protection/>
    </xf>
    <xf numFmtId="178" fontId="38" fillId="44" borderId="32" xfId="86" applyNumberFormat="1" applyFont="1" applyFill="1" applyBorder="1" applyAlignment="1" applyProtection="1">
      <alignment horizontal="center"/>
      <protection/>
    </xf>
    <xf numFmtId="188" fontId="38" fillId="42" borderId="32" xfId="86" applyNumberFormat="1" applyFont="1" applyFill="1" applyBorder="1" applyAlignment="1" applyProtection="1">
      <alignment horizontal="center"/>
      <protection locked="0"/>
    </xf>
    <xf numFmtId="3" fontId="32" fillId="0" borderId="0" xfId="0" applyNumberFormat="1" applyFont="1" applyAlignment="1" applyProtection="1">
      <alignment vertical="center"/>
      <protection locked="0"/>
    </xf>
    <xf numFmtId="37" fontId="38" fillId="34" borderId="13" xfId="0" applyNumberFormat="1" applyFont="1" applyFill="1" applyBorder="1" applyAlignment="1" applyProtection="1">
      <alignment/>
      <protection/>
    </xf>
    <xf numFmtId="37" fontId="43" fillId="34" borderId="13" xfId="0" applyNumberFormat="1" applyFont="1" applyFill="1" applyBorder="1" applyAlignment="1" applyProtection="1">
      <alignment/>
      <protection/>
    </xf>
    <xf numFmtId="37" fontId="44" fillId="40" borderId="13" xfId="0" applyNumberFormat="1" applyFont="1" applyFill="1" applyBorder="1" applyAlignment="1" applyProtection="1">
      <alignment horizontal="center"/>
      <protection/>
    </xf>
    <xf numFmtId="37" fontId="38" fillId="34" borderId="10" xfId="0" applyNumberFormat="1" applyFont="1" applyFill="1" applyBorder="1" applyAlignment="1" applyProtection="1">
      <alignment/>
      <protection/>
    </xf>
    <xf numFmtId="37" fontId="43" fillId="34" borderId="10" xfId="0" applyNumberFormat="1" applyFont="1" applyFill="1" applyBorder="1" applyAlignment="1" applyProtection="1">
      <alignment/>
      <protection/>
    </xf>
    <xf numFmtId="3" fontId="38" fillId="34" borderId="13" xfId="0" applyNumberFormat="1" applyFont="1" applyFill="1" applyBorder="1" applyAlignment="1" applyProtection="1">
      <alignment/>
      <protection/>
    </xf>
    <xf numFmtId="37" fontId="43" fillId="44" borderId="10" xfId="0" applyNumberFormat="1" applyFont="1" applyFill="1" applyBorder="1" applyAlignment="1" applyProtection="1">
      <alignment vertical="center"/>
      <protection/>
    </xf>
    <xf numFmtId="0" fontId="38" fillId="44" borderId="10" xfId="0" applyFont="1" applyFill="1" applyBorder="1" applyAlignment="1" applyProtection="1">
      <alignment horizontal="left"/>
      <protection locked="0"/>
    </xf>
    <xf numFmtId="3" fontId="43" fillId="44" borderId="10" xfId="0" applyNumberFormat="1" applyFont="1" applyFill="1" applyBorder="1" applyAlignment="1" applyProtection="1">
      <alignment vertical="center"/>
      <protection locked="0"/>
    </xf>
    <xf numFmtId="5" fontId="43" fillId="34" borderId="10" xfId="0" applyNumberFormat="1" applyFont="1" applyFill="1" applyBorder="1" applyAlignment="1" applyProtection="1">
      <alignment/>
      <protection/>
    </xf>
    <xf numFmtId="0" fontId="38" fillId="44" borderId="16" xfId="0" applyFont="1" applyFill="1" applyBorder="1" applyAlignment="1" applyProtection="1">
      <alignment horizontal="left" vertical="center"/>
      <protection/>
    </xf>
    <xf numFmtId="43" fontId="38" fillId="0" borderId="10" xfId="42" applyFont="1" applyFill="1" applyBorder="1" applyAlignment="1" applyProtection="1">
      <alignment horizontal="center" vertical="center"/>
      <protection locked="0"/>
    </xf>
    <xf numFmtId="39" fontId="38" fillId="0" borderId="10" xfId="0" applyNumberFormat="1" applyFont="1" applyFill="1" applyBorder="1" applyAlignment="1" applyProtection="1">
      <alignment horizontal="center" vertical="center"/>
      <protection locked="0"/>
    </xf>
    <xf numFmtId="0" fontId="43" fillId="47" borderId="10" xfId="0" applyFont="1" applyFill="1" applyBorder="1" applyAlignment="1" applyProtection="1">
      <alignment/>
      <protection locked="0"/>
    </xf>
    <xf numFmtId="14" fontId="43" fillId="47" borderId="10" xfId="0" applyNumberFormat="1" applyFont="1" applyFill="1" applyBorder="1" applyAlignment="1" applyProtection="1">
      <alignment/>
      <protection locked="0"/>
    </xf>
    <xf numFmtId="0" fontId="43" fillId="47" borderId="10" xfId="0" applyFont="1" applyFill="1" applyBorder="1" applyAlignment="1" applyProtection="1">
      <alignment horizontal="center"/>
      <protection locked="0"/>
    </xf>
    <xf numFmtId="3" fontId="43" fillId="47" borderId="10" xfId="0" applyNumberFormat="1" applyFont="1" applyFill="1" applyBorder="1" applyAlignment="1" applyProtection="1">
      <alignment horizontal="center" vertical="center"/>
      <protection/>
    </xf>
    <xf numFmtId="175" fontId="43" fillId="47" borderId="10" xfId="0" applyNumberFormat="1" applyFont="1" applyFill="1" applyBorder="1" applyAlignment="1" applyProtection="1">
      <alignment horizontal="center" vertical="center"/>
      <protection/>
    </xf>
    <xf numFmtId="37" fontId="32" fillId="46" borderId="10" xfId="0" applyNumberFormat="1" applyFont="1" applyFill="1" applyBorder="1" applyAlignment="1" applyProtection="1">
      <alignment vertical="center"/>
      <protection/>
    </xf>
    <xf numFmtId="0" fontId="38" fillId="34" borderId="0" xfId="0" applyFont="1" applyFill="1" applyAlignment="1">
      <alignment vertical="center"/>
    </xf>
    <xf numFmtId="37" fontId="38" fillId="34" borderId="0" xfId="0" applyNumberFormat="1" applyFont="1" applyFill="1" applyAlignment="1">
      <alignment vertical="center"/>
    </xf>
    <xf numFmtId="0" fontId="43" fillId="34" borderId="0" xfId="0" applyFont="1" applyFill="1" applyAlignment="1">
      <alignment horizontal="center" vertical="center"/>
    </xf>
    <xf numFmtId="0" fontId="43" fillId="34" borderId="0" xfId="0" applyFont="1" applyFill="1" applyAlignment="1">
      <alignment horizontal="center" vertical="center" wrapText="1"/>
    </xf>
    <xf numFmtId="0" fontId="38" fillId="34" borderId="0" xfId="0" applyFont="1" applyFill="1" applyAlignment="1" quotePrefix="1">
      <alignment horizontal="right" vertical="center"/>
    </xf>
    <xf numFmtId="3" fontId="38" fillId="34" borderId="0" xfId="0" applyNumberFormat="1" applyFont="1" applyFill="1" applyAlignment="1">
      <alignment vertical="center"/>
    </xf>
    <xf numFmtId="3" fontId="38" fillId="34" borderId="0" xfId="0" applyNumberFormat="1" applyFont="1" applyFill="1" applyAlignment="1" quotePrefix="1">
      <alignment vertical="center"/>
    </xf>
    <xf numFmtId="3" fontId="38" fillId="34" borderId="11" xfId="0" applyNumberFormat="1" applyFont="1" applyFill="1" applyBorder="1" applyAlignment="1">
      <alignment vertical="center"/>
    </xf>
    <xf numFmtId="3" fontId="38" fillId="34" borderId="12" xfId="0" applyNumberFormat="1" applyFont="1" applyFill="1" applyBorder="1" applyAlignment="1" applyProtection="1">
      <alignment horizontal="right" vertical="center"/>
      <protection/>
    </xf>
    <xf numFmtId="0" fontId="43" fillId="34" borderId="0" xfId="0" applyFont="1" applyFill="1" applyAlignment="1">
      <alignment vertical="center"/>
    </xf>
    <xf numFmtId="3" fontId="38" fillId="34" borderId="12" xfId="0" applyNumberFormat="1" applyFont="1" applyFill="1" applyBorder="1" applyAlignment="1">
      <alignment vertical="center"/>
    </xf>
    <xf numFmtId="3" fontId="38" fillId="34" borderId="11" xfId="0" applyNumberFormat="1" applyFont="1" applyFill="1" applyBorder="1" applyAlignment="1" applyProtection="1">
      <alignment vertical="center"/>
      <protection/>
    </xf>
    <xf numFmtId="3" fontId="38" fillId="34" borderId="0" xfId="0" applyNumberFormat="1" applyFont="1" applyFill="1" applyBorder="1" applyAlignment="1">
      <alignment vertical="center"/>
    </xf>
    <xf numFmtId="0" fontId="38" fillId="34" borderId="0" xfId="0" applyFont="1" applyFill="1" applyAlignment="1" quotePrefix="1">
      <alignment vertical="center"/>
    </xf>
    <xf numFmtId="0" fontId="38" fillId="34" borderId="0" xfId="0" applyFont="1" applyFill="1" applyAlignment="1">
      <alignment horizontal="right" vertical="center"/>
    </xf>
    <xf numFmtId="3" fontId="38" fillId="34" borderId="12" xfId="0" applyNumberFormat="1" applyFont="1" applyFill="1" applyBorder="1" applyAlignment="1" applyProtection="1">
      <alignment vertical="center"/>
      <protection/>
    </xf>
    <xf numFmtId="3" fontId="38" fillId="34" borderId="29" xfId="0" applyNumberFormat="1" applyFont="1" applyFill="1" applyBorder="1" applyAlignment="1">
      <alignment vertical="center"/>
    </xf>
    <xf numFmtId="0" fontId="38" fillId="34" borderId="29" xfId="0" applyFont="1" applyFill="1" applyBorder="1" applyAlignment="1">
      <alignment vertical="center"/>
    </xf>
    <xf numFmtId="0" fontId="38" fillId="34" borderId="0" xfId="0" applyFont="1" applyFill="1" applyBorder="1" applyAlignment="1">
      <alignment vertical="center"/>
    </xf>
    <xf numFmtId="171" fontId="38" fillId="34" borderId="11" xfId="0" applyNumberFormat="1" applyFont="1" applyFill="1" applyBorder="1" applyAlignment="1">
      <alignment vertical="center"/>
    </xf>
    <xf numFmtId="0" fontId="38" fillId="34" borderId="0" xfId="0" applyFont="1" applyFill="1" applyBorder="1" applyAlignment="1" quotePrefix="1">
      <alignment vertical="center"/>
    </xf>
    <xf numFmtId="3" fontId="38" fillId="34" borderId="38" xfId="0" applyNumberFormat="1" applyFont="1" applyFill="1" applyBorder="1" applyAlignment="1">
      <alignment vertical="center"/>
    </xf>
    <xf numFmtId="3" fontId="38" fillId="34" borderId="11" xfId="42" applyNumberFormat="1" applyFont="1" applyFill="1" applyBorder="1" applyAlignment="1" applyProtection="1">
      <alignment vertical="center"/>
      <protection/>
    </xf>
    <xf numFmtId="3" fontId="38" fillId="44" borderId="10" xfId="0" applyNumberFormat="1" applyFont="1" applyFill="1" applyBorder="1" applyAlignment="1" applyProtection="1">
      <alignment horizontal="center"/>
      <protection locked="0"/>
    </xf>
    <xf numFmtId="3" fontId="38" fillId="44" borderId="10" xfId="0" applyNumberFormat="1" applyFont="1" applyFill="1" applyBorder="1" applyAlignment="1" applyProtection="1">
      <alignment horizontal="center"/>
      <protection locked="0"/>
    </xf>
    <xf numFmtId="3" fontId="38" fillId="46" borderId="16" xfId="0" applyNumberFormat="1" applyFont="1" applyFill="1" applyBorder="1" applyAlignment="1" applyProtection="1">
      <alignment horizontal="center" vertical="center"/>
      <protection/>
    </xf>
    <xf numFmtId="177" fontId="40" fillId="44" borderId="10" xfId="42" applyNumberFormat="1" applyFont="1" applyFill="1" applyBorder="1" applyAlignment="1">
      <alignment horizontal="center" vertical="center"/>
    </xf>
    <xf numFmtId="177" fontId="40" fillId="44" borderId="10" xfId="42" applyNumberFormat="1" applyFont="1" applyFill="1" applyBorder="1" applyAlignment="1" applyProtection="1">
      <alignment horizontal="center" vertical="center"/>
      <protection locked="0"/>
    </xf>
    <xf numFmtId="177" fontId="40" fillId="44" borderId="16" xfId="42" applyNumberFormat="1" applyFont="1" applyFill="1" applyBorder="1" applyAlignment="1">
      <alignment horizontal="center" vertical="center"/>
    </xf>
    <xf numFmtId="177" fontId="40" fillId="44" borderId="0" xfId="42" applyNumberFormat="1" applyFont="1" applyFill="1" applyAlignment="1">
      <alignment horizontal="center" vertical="center"/>
    </xf>
    <xf numFmtId="177" fontId="40" fillId="44" borderId="0" xfId="42" applyNumberFormat="1" applyFont="1" applyFill="1" applyAlignment="1">
      <alignment vertical="center"/>
    </xf>
    <xf numFmtId="177" fontId="40" fillId="44" borderId="13" xfId="42" applyNumberFormat="1" applyFont="1" applyFill="1" applyBorder="1" applyAlignment="1">
      <alignment horizontal="center" vertical="center"/>
    </xf>
    <xf numFmtId="37" fontId="38" fillId="34" borderId="10" xfId="0" applyNumberFormat="1" applyFont="1" applyFill="1" applyBorder="1" applyAlignment="1" applyProtection="1" quotePrefix="1">
      <alignment horizontal="center"/>
      <protection locked="0"/>
    </xf>
    <xf numFmtId="37" fontId="38" fillId="34" borderId="10" xfId="0" applyNumberFormat="1" applyFont="1" applyFill="1" applyBorder="1" applyAlignment="1" applyProtection="1">
      <alignment horizontal="center"/>
      <protection locked="0"/>
    </xf>
    <xf numFmtId="0" fontId="32" fillId="37" borderId="12" xfId="0" applyFont="1" applyFill="1" applyBorder="1" applyAlignment="1" applyProtection="1">
      <alignment horizontal="left" vertical="center"/>
      <protection/>
    </xf>
    <xf numFmtId="0" fontId="5" fillId="0" borderId="0" xfId="383" applyFont="1" applyAlignment="1">
      <alignment horizontal="left" vertical="center" wrapText="1"/>
      <protection/>
    </xf>
    <xf numFmtId="0" fontId="25" fillId="0" borderId="0" xfId="383" applyAlignment="1">
      <alignment horizontal="left" vertical="center" wrapText="1"/>
      <protection/>
    </xf>
    <xf numFmtId="0" fontId="12" fillId="0" borderId="0" xfId="383" applyFont="1" applyAlignment="1">
      <alignment horizontal="left" vertical="center"/>
      <protection/>
    </xf>
    <xf numFmtId="0" fontId="38" fillId="34" borderId="0" xfId="0" applyFont="1" applyFill="1" applyAlignment="1">
      <alignment horizontal="center" vertical="center"/>
    </xf>
    <xf numFmtId="37" fontId="43" fillId="34" borderId="0" xfId="0" applyNumberFormat="1" applyFont="1" applyFill="1" applyAlignment="1">
      <alignment horizontal="center" vertical="center"/>
    </xf>
    <xf numFmtId="0" fontId="43"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34"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center" vertical="center"/>
      <protection/>
    </xf>
    <xf numFmtId="0" fontId="0" fillId="0" borderId="13" xfId="0" applyBorder="1" applyAlignment="1">
      <alignment vertical="center"/>
    </xf>
    <xf numFmtId="0" fontId="4" fillId="44" borderId="0" xfId="0" applyFont="1" applyFill="1" applyAlignment="1" applyProtection="1">
      <alignment horizontal="center" vertical="center"/>
      <protection/>
    </xf>
    <xf numFmtId="0" fontId="38" fillId="44" borderId="33" xfId="0" applyFont="1" applyFill="1" applyBorder="1" applyAlignment="1" applyProtection="1">
      <alignment horizontal="center" vertical="center"/>
      <protection/>
    </xf>
    <xf numFmtId="0" fontId="38" fillId="44" borderId="14" xfId="0" applyFont="1" applyFill="1" applyBorder="1" applyAlignment="1" applyProtection="1">
      <alignment vertical="center"/>
      <protection/>
    </xf>
    <xf numFmtId="1" fontId="38" fillId="44" borderId="33" xfId="0" applyNumberFormat="1" applyFont="1" applyFill="1" applyBorder="1" applyAlignment="1" applyProtection="1">
      <alignment horizontal="center" vertical="center"/>
      <protection/>
    </xf>
    <xf numFmtId="0" fontId="38" fillId="44" borderId="14" xfId="0" applyFont="1" applyFill="1" applyBorder="1" applyAlignment="1" applyProtection="1">
      <alignment horizontal="center" vertical="center"/>
      <protection/>
    </xf>
    <xf numFmtId="0" fontId="39" fillId="44" borderId="35" xfId="86" applyFont="1" applyFill="1" applyBorder="1" applyAlignment="1" applyProtection="1">
      <alignment horizontal="center" vertical="center"/>
      <protection/>
    </xf>
    <xf numFmtId="0" fontId="39" fillId="0" borderId="29" xfId="86" applyFont="1" applyBorder="1" applyAlignment="1" applyProtection="1">
      <alignment horizontal="center" vertical="center"/>
      <protection/>
    </xf>
    <xf numFmtId="0" fontId="32" fillId="0" borderId="17" xfId="86" applyFont="1" applyBorder="1" applyAlignment="1" applyProtection="1">
      <alignment vertical="center"/>
      <protection/>
    </xf>
    <xf numFmtId="0" fontId="39" fillId="44" borderId="29" xfId="86" applyFont="1" applyFill="1" applyBorder="1" applyAlignment="1" applyProtection="1">
      <alignment horizontal="center" vertical="center"/>
      <protection/>
    </xf>
    <xf numFmtId="0" fontId="32" fillId="44" borderId="0" xfId="0" applyFont="1" applyFill="1" applyAlignment="1" applyProtection="1">
      <alignment horizontal="center" vertical="center"/>
      <protection/>
    </xf>
    <xf numFmtId="3" fontId="32" fillId="44" borderId="29" xfId="90" applyNumberFormat="1" applyFont="1" applyFill="1" applyBorder="1" applyAlignment="1" applyProtection="1">
      <alignment horizontal="right" vertical="center"/>
      <protection/>
    </xf>
    <xf numFmtId="0" fontId="32" fillId="44" borderId="17" xfId="90" applyFont="1" applyFill="1" applyBorder="1" applyAlignment="1">
      <alignment horizontal="right" vertical="center"/>
      <protection/>
    </xf>
    <xf numFmtId="0" fontId="32" fillId="44" borderId="0" xfId="90" applyFont="1" applyFill="1" applyAlignment="1" applyProtection="1">
      <alignment horizontal="right" vertical="center"/>
      <protection/>
    </xf>
    <xf numFmtId="0" fontId="32" fillId="44" borderId="32" xfId="90" applyFont="1" applyFill="1" applyBorder="1" applyAlignment="1">
      <alignment horizontal="right" vertical="center"/>
      <protection/>
    </xf>
    <xf numFmtId="0" fontId="45" fillId="44" borderId="35" xfId="86" applyFont="1" applyFill="1" applyBorder="1" applyAlignment="1" applyProtection="1">
      <alignment horizontal="center" vertical="center"/>
      <protection locked="0"/>
    </xf>
    <xf numFmtId="0" fontId="45" fillId="0" borderId="29" xfId="86" applyFont="1" applyBorder="1" applyAlignment="1">
      <alignment horizontal="center" vertical="center"/>
      <protection/>
    </xf>
    <xf numFmtId="0" fontId="45" fillId="0" borderId="17" xfId="86" applyFont="1" applyBorder="1" applyAlignment="1">
      <alignment horizontal="center" vertical="center"/>
      <protection/>
    </xf>
    <xf numFmtId="3" fontId="38" fillId="44" borderId="29" xfId="90" applyNumberFormat="1" applyFont="1" applyFill="1" applyBorder="1" applyAlignment="1" applyProtection="1">
      <alignment horizontal="right" vertical="center"/>
      <protection/>
    </xf>
    <xf numFmtId="0" fontId="38" fillId="44" borderId="17" xfId="90" applyFont="1" applyFill="1" applyBorder="1" applyAlignment="1">
      <alignment horizontal="right" vertical="center"/>
      <protection/>
    </xf>
    <xf numFmtId="0" fontId="38" fillId="44" borderId="0" xfId="90" applyFont="1" applyFill="1" applyAlignment="1" applyProtection="1">
      <alignment horizontal="right" vertical="center"/>
      <protection/>
    </xf>
    <xf numFmtId="0" fontId="38" fillId="44" borderId="32" xfId="90" applyFont="1" applyFill="1" applyBorder="1" applyAlignment="1">
      <alignment horizontal="right" vertical="center"/>
      <protection/>
    </xf>
    <xf numFmtId="0" fontId="42" fillId="44" borderId="34" xfId="0" applyFont="1" applyFill="1" applyBorder="1" applyAlignment="1">
      <alignment horizontal="center" vertical="center"/>
    </xf>
    <xf numFmtId="0" fontId="42" fillId="44" borderId="13" xfId="0" applyFont="1" applyFill="1" applyBorder="1" applyAlignment="1">
      <alignment horizontal="center" vertical="center"/>
    </xf>
    <xf numFmtId="0" fontId="15" fillId="34" borderId="0" xfId="0" applyFont="1" applyFill="1" applyBorder="1" applyAlignment="1">
      <alignment vertical="center"/>
    </xf>
    <xf numFmtId="0" fontId="17"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29" xfId="0" applyFont="1" applyFill="1" applyBorder="1" applyAlignment="1">
      <alignment vertical="center" wrapText="1"/>
    </xf>
    <xf numFmtId="0" fontId="0" fillId="0" borderId="29" xfId="0" applyBorder="1" applyAlignment="1">
      <alignment vertical="center" wrapText="1"/>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37" fontId="34" fillId="34" borderId="0" xfId="0" applyNumberFormat="1" applyFont="1" applyFill="1" applyAlignment="1" applyProtection="1">
      <alignment horizontal="center" vertical="center"/>
      <protection/>
    </xf>
    <xf numFmtId="0" fontId="31" fillId="0" borderId="0" xfId="0" applyFont="1" applyAlignment="1">
      <alignment horizontal="center" vertical="center"/>
    </xf>
    <xf numFmtId="37" fontId="31" fillId="34" borderId="0" xfId="0" applyNumberFormat="1" applyFont="1" applyFill="1" applyAlignment="1" applyProtection="1">
      <alignment horizontal="left" vertical="center"/>
      <protection/>
    </xf>
    <xf numFmtId="0" fontId="32" fillId="0" borderId="0" xfId="0" applyFont="1" applyAlignment="1">
      <alignment horizontal="left" vertical="center"/>
    </xf>
    <xf numFmtId="37" fontId="38" fillId="44" borderId="29" xfId="0" applyNumberFormat="1" applyFont="1" applyFill="1" applyBorder="1" applyAlignment="1" applyProtection="1">
      <alignment horizontal="center" vertical="center"/>
      <protection/>
    </xf>
    <xf numFmtId="37" fontId="38" fillId="44" borderId="11" xfId="0" applyNumberFormat="1" applyFont="1" applyFill="1" applyBorder="1" applyAlignment="1" applyProtection="1">
      <alignment horizontal="center" vertical="center"/>
      <protection locked="0"/>
    </xf>
    <xf numFmtId="0" fontId="45" fillId="44" borderId="35" xfId="86" applyFont="1" applyFill="1" applyBorder="1" applyAlignment="1" applyProtection="1">
      <alignment horizontal="center"/>
      <protection/>
    </xf>
    <xf numFmtId="0" fontId="38" fillId="0" borderId="29" xfId="86" applyFont="1" applyBorder="1" applyAlignment="1" applyProtection="1">
      <alignment horizontal="center"/>
      <protection/>
    </xf>
    <xf numFmtId="0" fontId="38" fillId="0" borderId="17" xfId="86" applyFont="1" applyBorder="1" applyAlignment="1" applyProtection="1">
      <alignment horizontal="center"/>
      <protection/>
    </xf>
    <xf numFmtId="0" fontId="45" fillId="44" borderId="29" xfId="86" applyFont="1" applyFill="1" applyBorder="1" applyAlignment="1" applyProtection="1">
      <alignment horizontal="center"/>
      <protection/>
    </xf>
    <xf numFmtId="0" fontId="45" fillId="44" borderId="17" xfId="86" applyFont="1" applyFill="1" applyBorder="1" applyAlignment="1" applyProtection="1">
      <alignment horizontal="center"/>
      <protection/>
    </xf>
    <xf numFmtId="37" fontId="43" fillId="44" borderId="0" xfId="0" applyNumberFormat="1" applyFont="1" applyFill="1" applyAlignment="1" applyProtection="1">
      <alignment horizontal="center" vertical="center"/>
      <protection/>
    </xf>
    <xf numFmtId="37" fontId="45" fillId="44" borderId="0" xfId="0" applyNumberFormat="1" applyFont="1" applyFill="1" applyAlignment="1" applyProtection="1">
      <alignment horizontal="center" vertical="center"/>
      <protection/>
    </xf>
    <xf numFmtId="37" fontId="38" fillId="44" borderId="0" xfId="0" applyNumberFormat="1" applyFont="1" applyFill="1" applyAlignment="1" applyProtection="1">
      <alignment horizontal="center" vertical="center"/>
      <protection/>
    </xf>
    <xf numFmtId="37" fontId="38" fillId="44" borderId="0" xfId="111" applyNumberFormat="1" applyFont="1" applyFill="1" applyAlignment="1" applyProtection="1">
      <alignment horizontal="center"/>
      <protection/>
    </xf>
    <xf numFmtId="0" fontId="5" fillId="44" borderId="0" xfId="0" applyFont="1" applyFill="1" applyAlignment="1">
      <alignment horizontal="right" vertical="center"/>
    </xf>
    <xf numFmtId="0" fontId="0" fillId="44" borderId="0" xfId="0" applyFill="1" applyAlignment="1">
      <alignment horizontal="right" vertical="center"/>
    </xf>
    <xf numFmtId="0" fontId="0" fillId="44" borderId="0" xfId="0" applyFill="1" applyAlignment="1" applyProtection="1">
      <alignment vertical="center"/>
      <protection/>
    </xf>
    <xf numFmtId="0" fontId="5" fillId="44" borderId="0" xfId="0" applyFont="1" applyFill="1" applyAlignment="1" applyProtection="1">
      <alignment horizontal="right" vertical="center"/>
      <protection/>
    </xf>
    <xf numFmtId="0" fontId="0" fillId="44" borderId="0" xfId="0" applyFill="1" applyAlignment="1">
      <alignment vertical="center"/>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195" fontId="27" fillId="44" borderId="0" xfId="0" applyNumberFormat="1" applyFont="1" applyFill="1" applyBorder="1" applyAlignment="1">
      <alignment horizontal="center"/>
    </xf>
    <xf numFmtId="0" fontId="27" fillId="44" borderId="27" xfId="0" applyFont="1" applyFill="1" applyBorder="1" applyAlignment="1">
      <alignment vertical="top" wrapText="1"/>
    </xf>
    <xf numFmtId="0" fontId="27" fillId="0" borderId="0" xfId="0" applyFont="1" applyAlignment="1">
      <alignment vertical="top" wrapText="1"/>
    </xf>
    <xf numFmtId="0" fontId="27" fillId="0" borderId="23" xfId="0" applyFont="1" applyBorder="1" applyAlignment="1">
      <alignment vertical="top" wrapText="1"/>
    </xf>
    <xf numFmtId="196" fontId="27" fillId="44" borderId="0" xfId="0" applyNumberFormat="1" applyFont="1" applyFill="1" applyBorder="1" applyAlignment="1">
      <alignment horizontal="center"/>
    </xf>
    <xf numFmtId="0" fontId="27" fillId="0" borderId="23" xfId="0" applyFont="1" applyBorder="1" applyAlignment="1">
      <alignment horizontal="center"/>
    </xf>
    <xf numFmtId="178" fontId="27" fillId="42" borderId="11" xfId="0" applyNumberFormat="1" applyFont="1" applyFill="1" applyBorder="1" applyAlignment="1" applyProtection="1">
      <alignment horizontal="center"/>
      <protection locked="0"/>
    </xf>
    <xf numFmtId="195" fontId="27" fillId="0" borderId="23" xfId="0" applyNumberFormat="1" applyFont="1" applyBorder="1" applyAlignment="1">
      <alignment horizontal="center"/>
    </xf>
    <xf numFmtId="0" fontId="86" fillId="44" borderId="20" xfId="0" applyFont="1" applyFill="1" applyBorder="1" applyAlignment="1">
      <alignment horizontal="center" vertical="center"/>
    </xf>
    <xf numFmtId="0" fontId="86" fillId="44" borderId="0" xfId="0" applyFont="1" applyFill="1" applyAlignment="1">
      <alignment horizontal="center" wrapText="1"/>
    </xf>
    <xf numFmtId="0" fontId="27" fillId="44" borderId="0" xfId="0" applyFont="1" applyFill="1" applyBorder="1" applyAlignment="1">
      <alignment horizontal="center"/>
    </xf>
    <xf numFmtId="0" fontId="27" fillId="44" borderId="0" xfId="0" applyFont="1" applyFill="1" applyAlignment="1">
      <alignment wrapText="1"/>
    </xf>
    <xf numFmtId="0" fontId="86" fillId="44" borderId="0" xfId="0" applyFont="1" applyFill="1" applyBorder="1" applyAlignment="1">
      <alignment horizontal="center" wrapText="1"/>
    </xf>
    <xf numFmtId="0" fontId="27" fillId="0" borderId="0" xfId="0" applyFont="1" applyAlignment="1">
      <alignment horizontal="center" wrapText="1"/>
    </xf>
    <xf numFmtId="0" fontId="86" fillId="0" borderId="0" xfId="0" applyFont="1" applyAlignment="1">
      <alignment horizontal="center" wrapText="1"/>
    </xf>
    <xf numFmtId="0" fontId="27" fillId="44" borderId="0" xfId="0" applyFont="1" applyFill="1" applyBorder="1" applyAlignment="1">
      <alignment wrapText="1"/>
    </xf>
    <xf numFmtId="0" fontId="27" fillId="0" borderId="0" xfId="0" applyFont="1" applyAlignment="1">
      <alignment wrapText="1"/>
    </xf>
    <xf numFmtId="195" fontId="27" fillId="42" borderId="11" xfId="0" applyNumberFormat="1" applyFont="1" applyFill="1" applyBorder="1" applyAlignment="1" applyProtection="1">
      <alignment horizontal="center"/>
      <protection locked="0"/>
    </xf>
    <xf numFmtId="5" fontId="27" fillId="44" borderId="11" xfId="0" applyNumberFormat="1" applyFont="1" applyFill="1" applyBorder="1" applyAlignment="1">
      <alignment horizontal="center"/>
    </xf>
    <xf numFmtId="0" fontId="86" fillId="44" borderId="0" xfId="0" applyFont="1" applyFill="1" applyAlignment="1">
      <alignment horizontal="center"/>
    </xf>
    <xf numFmtId="195" fontId="27" fillId="44" borderId="0" xfId="0" applyNumberFormat="1" applyFont="1" applyFill="1" applyAlignment="1">
      <alignment horizontal="center"/>
    </xf>
    <xf numFmtId="0" fontId="27" fillId="44" borderId="0" xfId="0" applyFont="1" applyFill="1" applyBorder="1" applyAlignment="1">
      <alignment/>
    </xf>
    <xf numFmtId="0" fontId="27" fillId="0" borderId="0" xfId="0" applyFont="1" applyBorder="1" applyAlignment="1">
      <alignment/>
    </xf>
    <xf numFmtId="0" fontId="27" fillId="44" borderId="25" xfId="0" applyFont="1" applyFill="1" applyBorder="1" applyAlignment="1">
      <alignment/>
    </xf>
    <xf numFmtId="0" fontId="27" fillId="44" borderId="26" xfId="0" applyFont="1" applyFill="1" applyBorder="1" applyAlignment="1">
      <alignment/>
    </xf>
    <xf numFmtId="0" fontId="86" fillId="44" borderId="0" xfId="0" applyFont="1" applyFill="1" applyAlignment="1">
      <alignment horizontal="center" vertical="center"/>
    </xf>
    <xf numFmtId="0" fontId="86" fillId="0" borderId="0" xfId="0" applyFont="1" applyAlignment="1">
      <alignment horizontal="center" vertical="center"/>
    </xf>
    <xf numFmtId="195" fontId="27" fillId="44" borderId="0" xfId="0" applyNumberFormat="1" applyFont="1" applyFill="1" applyAlignment="1">
      <alignment/>
    </xf>
    <xf numFmtId="0" fontId="27" fillId="44" borderId="29" xfId="0" applyFont="1" applyFill="1" applyBorder="1" applyAlignment="1">
      <alignment horizontal="center"/>
    </xf>
    <xf numFmtId="0" fontId="27" fillId="0" borderId="20" xfId="0" applyFont="1" applyBorder="1" applyAlignment="1">
      <alignment horizontal="center" vertical="center"/>
    </xf>
    <xf numFmtId="0" fontId="38" fillId="34" borderId="0" xfId="0" applyFont="1" applyFill="1" applyAlignment="1" applyProtection="1">
      <alignment vertical="center"/>
      <protection/>
    </xf>
    <xf numFmtId="37" fontId="43" fillId="34" borderId="0" xfId="0" applyNumberFormat="1" applyFont="1" applyFill="1" applyAlignment="1" applyProtection="1">
      <alignment horizontal="left" vertical="center"/>
      <protection/>
    </xf>
    <xf numFmtId="0" fontId="38" fillId="34" borderId="0" xfId="0" applyFont="1" applyFill="1" applyAlignment="1" applyProtection="1">
      <alignment horizontal="right" vertical="center"/>
      <protection/>
    </xf>
    <xf numFmtId="37" fontId="38" fillId="34" borderId="0" xfId="0" applyNumberFormat="1" applyFont="1" applyFill="1" applyAlignment="1" applyProtection="1">
      <alignment horizontal="center" vertical="center"/>
      <protection/>
    </xf>
    <xf numFmtId="0" fontId="38" fillId="0" borderId="0" xfId="0" applyFont="1" applyAlignment="1">
      <alignment horizontal="center" vertical="center"/>
    </xf>
    <xf numFmtId="37" fontId="38" fillId="34" borderId="0" xfId="0" applyNumberFormat="1" applyFont="1" applyFill="1" applyAlignment="1" applyProtection="1">
      <alignment horizontal="centerContinuous" vertical="center"/>
      <protection/>
    </xf>
    <xf numFmtId="0" fontId="38" fillId="34" borderId="0" xfId="0" applyFont="1" applyFill="1" applyAlignment="1" applyProtection="1">
      <alignment horizontal="centerContinuous" vertical="center"/>
      <protection/>
    </xf>
    <xf numFmtId="37" fontId="45" fillId="34" borderId="0" xfId="0" applyNumberFormat="1" applyFont="1" applyFill="1" applyAlignment="1" applyProtection="1">
      <alignment horizontal="center" vertical="center"/>
      <protection/>
    </xf>
    <xf numFmtId="0" fontId="43" fillId="34" borderId="0" xfId="0" applyFont="1" applyFill="1" applyAlignment="1" applyProtection="1">
      <alignment horizontal="center" vertical="center"/>
      <protection/>
    </xf>
    <xf numFmtId="37" fontId="38" fillId="34" borderId="34" xfId="0" applyNumberFormat="1" applyFont="1" applyFill="1" applyBorder="1" applyAlignment="1" applyProtection="1">
      <alignment horizontal="centerContinuous" vertical="center"/>
      <protection/>
    </xf>
    <xf numFmtId="0" fontId="38" fillId="34" borderId="12" xfId="0" applyFont="1" applyFill="1" applyBorder="1" applyAlignment="1" applyProtection="1">
      <alignment horizontal="centerContinuous" vertical="center"/>
      <protection/>
    </xf>
    <xf numFmtId="0" fontId="38" fillId="34" borderId="13" xfId="0" applyFont="1" applyFill="1" applyBorder="1" applyAlignment="1" applyProtection="1">
      <alignment horizontal="centerContinuous" vertical="center"/>
      <protection/>
    </xf>
    <xf numFmtId="37" fontId="38" fillId="34" borderId="11" xfId="0" applyNumberFormat="1" applyFont="1" applyFill="1" applyBorder="1" applyAlignment="1" applyProtection="1">
      <alignment horizontal="fill" vertical="center"/>
      <protection/>
    </xf>
    <xf numFmtId="37" fontId="38" fillId="34" borderId="15" xfId="0" applyNumberFormat="1" applyFont="1" applyFill="1" applyBorder="1" applyAlignment="1" applyProtection="1">
      <alignment horizontal="left" vertical="center"/>
      <protection/>
    </xf>
    <xf numFmtId="37" fontId="38" fillId="34" borderId="15" xfId="0" applyNumberFormat="1" applyFont="1" applyFill="1" applyBorder="1" applyAlignment="1" applyProtection="1">
      <alignment horizontal="center" vertical="center"/>
      <protection/>
    </xf>
    <xf numFmtId="37" fontId="38" fillId="34" borderId="0" xfId="0" applyNumberFormat="1" applyFont="1" applyFill="1" applyAlignment="1" applyProtection="1">
      <alignment horizontal="left" vertical="center"/>
      <protection/>
    </xf>
    <xf numFmtId="37" fontId="38" fillId="34" borderId="36" xfId="86" applyNumberFormat="1" applyFont="1" applyFill="1" applyBorder="1" applyAlignment="1" applyProtection="1">
      <alignment horizontal="center" vertical="center"/>
      <protection/>
    </xf>
    <xf numFmtId="0" fontId="38" fillId="34" borderId="36" xfId="0" applyFont="1" applyFill="1" applyBorder="1" applyAlignment="1">
      <alignment horizontal="center" vertical="center"/>
    </xf>
    <xf numFmtId="37" fontId="38" fillId="34" borderId="36" xfId="0" applyNumberFormat="1" applyFont="1" applyFill="1" applyBorder="1" applyAlignment="1" applyProtection="1">
      <alignment horizontal="center" vertical="center"/>
      <protection/>
    </xf>
    <xf numFmtId="37" fontId="43" fillId="34" borderId="11" xfId="0" applyNumberFormat="1" applyFont="1" applyFill="1" applyBorder="1" applyAlignment="1" applyProtection="1">
      <alignment horizontal="left" vertical="center"/>
      <protection/>
    </xf>
    <xf numFmtId="0" fontId="38" fillId="34" borderId="11" xfId="0" applyFont="1" applyFill="1" applyBorder="1" applyAlignment="1" applyProtection="1">
      <alignment vertical="center"/>
      <protection/>
    </xf>
    <xf numFmtId="37" fontId="38" fillId="34" borderId="16" xfId="0" applyNumberFormat="1" applyFont="1" applyFill="1" applyBorder="1" applyAlignment="1" applyProtection="1">
      <alignment horizontal="center" vertical="center"/>
      <protection/>
    </xf>
    <xf numFmtId="37" fontId="38" fillId="34" borderId="16" xfId="86" applyNumberFormat="1" applyFont="1" applyFill="1" applyBorder="1" applyAlignment="1" applyProtection="1">
      <alignment horizontal="center" vertical="center"/>
      <protection/>
    </xf>
    <xf numFmtId="0" fontId="38" fillId="34" borderId="16" xfId="0" applyFont="1" applyFill="1" applyBorder="1" applyAlignment="1">
      <alignment horizontal="center" vertical="center"/>
    </xf>
    <xf numFmtId="37" fontId="38" fillId="34" borderId="34" xfId="0" applyNumberFormat="1" applyFont="1" applyFill="1" applyBorder="1" applyAlignment="1" applyProtection="1">
      <alignment horizontal="left" vertical="center"/>
      <protection/>
    </xf>
    <xf numFmtId="0" fontId="38" fillId="34" borderId="13" xfId="0" applyFont="1" applyFill="1" applyBorder="1" applyAlignment="1" applyProtection="1">
      <alignment vertical="center"/>
      <protection/>
    </xf>
    <xf numFmtId="37" fontId="38" fillId="34" borderId="10" xfId="0" applyNumberFormat="1" applyFont="1" applyFill="1" applyBorder="1" applyAlignment="1" applyProtection="1">
      <alignment horizontal="center" vertical="center"/>
      <protection/>
    </xf>
    <xf numFmtId="0" fontId="38" fillId="34" borderId="15" xfId="0" applyFont="1" applyFill="1" applyBorder="1" applyAlignment="1" applyProtection="1">
      <alignment vertical="center"/>
      <protection/>
    </xf>
    <xf numFmtId="0" fontId="38" fillId="34" borderId="36" xfId="0" applyFont="1" applyFill="1" applyBorder="1" applyAlignment="1" applyProtection="1">
      <alignment vertical="center"/>
      <protection/>
    </xf>
    <xf numFmtId="37" fontId="45" fillId="34" borderId="34" xfId="0" applyNumberFormat="1" applyFont="1" applyFill="1" applyBorder="1" applyAlignment="1" applyProtection="1">
      <alignment horizontal="left" vertical="center"/>
      <protection/>
    </xf>
    <xf numFmtId="37" fontId="45" fillId="34" borderId="13" xfId="0" applyNumberFormat="1" applyFont="1" applyFill="1" applyBorder="1" applyAlignment="1" applyProtection="1">
      <alignment horizontal="center" vertical="center"/>
      <protection/>
    </xf>
    <xf numFmtId="0" fontId="38" fillId="34" borderId="10" xfId="0" applyFont="1" applyFill="1" applyBorder="1" applyAlignment="1" applyProtection="1">
      <alignment horizontal="center" vertical="center"/>
      <protection/>
    </xf>
    <xf numFmtId="0" fontId="38" fillId="34" borderId="16" xfId="0" applyFont="1" applyFill="1" applyBorder="1" applyAlignment="1" applyProtection="1">
      <alignment vertical="center"/>
      <protection/>
    </xf>
    <xf numFmtId="37" fontId="38" fillId="34" borderId="10" xfId="0" applyNumberFormat="1" applyFont="1" applyFill="1" applyBorder="1" applyAlignment="1" applyProtection="1">
      <alignment horizontal="left" vertical="center"/>
      <protection/>
    </xf>
    <xf numFmtId="37" fontId="38" fillId="39" borderId="10" xfId="0" applyNumberFormat="1" applyFont="1" applyFill="1" applyBorder="1" applyAlignment="1" applyProtection="1">
      <alignment horizontal="center" vertical="center"/>
      <protection/>
    </xf>
    <xf numFmtId="178" fontId="38" fillId="34" borderId="10" xfId="0" applyNumberFormat="1" applyFont="1" applyFill="1" applyBorder="1" applyAlignment="1" applyProtection="1">
      <alignment horizontal="center" vertical="center"/>
      <protection/>
    </xf>
    <xf numFmtId="37" fontId="38" fillId="34" borderId="34" xfId="0" applyNumberFormat="1" applyFont="1" applyFill="1" applyBorder="1" applyAlignment="1" applyProtection="1">
      <alignment vertical="center"/>
      <protection/>
    </xf>
    <xf numFmtId="0" fontId="38" fillId="34" borderId="13" xfId="0" applyFont="1" applyFill="1" applyBorder="1" applyAlignment="1" applyProtection="1">
      <alignment horizontal="center" vertical="center"/>
      <protection/>
    </xf>
    <xf numFmtId="37" fontId="38" fillId="34" borderId="13" xfId="0" applyNumberFormat="1" applyFont="1" applyFill="1" applyBorder="1" applyAlignment="1" applyProtection="1">
      <alignment horizontal="center" vertical="center"/>
      <protection/>
    </xf>
    <xf numFmtId="0" fontId="38" fillId="34" borderId="32" xfId="0" applyFont="1" applyFill="1" applyBorder="1" applyAlignment="1" applyProtection="1">
      <alignment horizontal="center" vertical="center"/>
      <protection/>
    </xf>
    <xf numFmtId="0" fontId="38" fillId="34" borderId="17" xfId="0" applyFont="1" applyFill="1" applyBorder="1" applyAlignment="1" applyProtection="1">
      <alignment horizontal="center" vertical="center"/>
      <protection/>
    </xf>
    <xf numFmtId="37" fontId="43" fillId="34" borderId="34" xfId="86" applyNumberFormat="1" applyFont="1" applyFill="1" applyBorder="1" applyAlignment="1" applyProtection="1">
      <alignment horizontal="left" vertical="center"/>
      <protection/>
    </xf>
    <xf numFmtId="37" fontId="38" fillId="34" borderId="10" xfId="0" applyNumberFormat="1" applyFont="1" applyFill="1" applyBorder="1" applyAlignment="1" applyProtection="1">
      <alignment horizontal="fill" vertical="center"/>
      <protection/>
    </xf>
    <xf numFmtId="188" fontId="38" fillId="41" borderId="16" xfId="0" applyNumberFormat="1" applyFont="1" applyFill="1" applyBorder="1" applyAlignment="1" applyProtection="1">
      <alignment horizontal="center" vertical="center"/>
      <protection/>
    </xf>
    <xf numFmtId="37" fontId="38" fillId="40" borderId="10" xfId="0" applyNumberFormat="1" applyFont="1" applyFill="1" applyBorder="1" applyAlignment="1" applyProtection="1">
      <alignment horizontal="left" vertical="center"/>
      <protection/>
    </xf>
    <xf numFmtId="0" fontId="38" fillId="40" borderId="10" xfId="0" applyFont="1" applyFill="1" applyBorder="1" applyAlignment="1" applyProtection="1">
      <alignment vertical="center"/>
      <protection/>
    </xf>
    <xf numFmtId="37" fontId="38" fillId="40" borderId="10" xfId="0" applyNumberFormat="1" applyFont="1" applyFill="1" applyBorder="1" applyAlignment="1" applyProtection="1">
      <alignment vertical="center"/>
      <protection/>
    </xf>
    <xf numFmtId="0" fontId="44" fillId="40" borderId="13" xfId="0" applyFont="1" applyFill="1" applyBorder="1" applyAlignment="1" applyProtection="1">
      <alignment horizontal="center" vertical="center"/>
      <protection/>
    </xf>
    <xf numFmtId="0" fontId="38" fillId="35" borderId="10" xfId="0" applyFont="1" applyFill="1" applyBorder="1" applyAlignment="1" applyProtection="1">
      <alignment vertical="center" shrinkToFit="1"/>
      <protection/>
    </xf>
    <xf numFmtId="177" fontId="38" fillId="33" borderId="10" xfId="42" applyNumberFormat="1" applyFont="1" applyFill="1" applyBorder="1" applyAlignment="1" applyProtection="1">
      <alignment vertical="center"/>
      <protection locked="0"/>
    </xf>
    <xf numFmtId="0" fontId="38" fillId="35" borderId="15" xfId="0" applyFont="1" applyFill="1" applyBorder="1" applyAlignment="1" applyProtection="1">
      <alignment horizontal="center" vertical="center" wrapText="1" shrinkToFit="1"/>
      <protection/>
    </xf>
    <xf numFmtId="0" fontId="38" fillId="34" borderId="0" xfId="0" applyFont="1" applyFill="1" applyBorder="1" applyAlignment="1" applyProtection="1">
      <alignment vertical="center"/>
      <protection/>
    </xf>
    <xf numFmtId="0" fontId="38" fillId="0" borderId="16" xfId="0" applyFont="1" applyBorder="1" applyAlignment="1" applyProtection="1">
      <alignment horizontal="center" vertical="center" wrapText="1"/>
      <protection/>
    </xf>
    <xf numFmtId="37" fontId="38" fillId="34" borderId="0" xfId="0" applyNumberFormat="1" applyFont="1" applyFill="1" applyBorder="1" applyAlignment="1" applyProtection="1">
      <alignment horizontal="left" vertical="center"/>
      <protection/>
    </xf>
    <xf numFmtId="37" fontId="38" fillId="34" borderId="0" xfId="0" applyNumberFormat="1" applyFont="1" applyFill="1" applyBorder="1" applyAlignment="1" applyProtection="1">
      <alignment horizontal="fill" vertical="center"/>
      <protection/>
    </xf>
    <xf numFmtId="0" fontId="38" fillId="33" borderId="11" xfId="0" applyFont="1" applyFill="1" applyBorder="1" applyAlignment="1" applyProtection="1">
      <alignment vertical="center"/>
      <protection locked="0"/>
    </xf>
    <xf numFmtId="0" fontId="38" fillId="33" borderId="12" xfId="0" applyFont="1" applyFill="1" applyBorder="1" applyAlignment="1" applyProtection="1">
      <alignment vertical="center"/>
      <protection locked="0"/>
    </xf>
    <xf numFmtId="37" fontId="38" fillId="34" borderId="29" xfId="0" applyNumberFormat="1" applyFont="1" applyFill="1" applyBorder="1" applyAlignment="1" applyProtection="1">
      <alignment horizontal="left" vertical="center"/>
      <protection/>
    </xf>
    <xf numFmtId="37" fontId="38" fillId="34" borderId="29" xfId="0" applyNumberFormat="1" applyFont="1" applyFill="1" applyBorder="1" applyAlignment="1" applyProtection="1">
      <alignment horizontal="fill" vertical="center"/>
      <protection/>
    </xf>
    <xf numFmtId="0" fontId="38" fillId="34" borderId="29" xfId="0" applyFont="1" applyFill="1" applyBorder="1" applyAlignment="1" applyProtection="1">
      <alignment vertical="center"/>
      <protection/>
    </xf>
    <xf numFmtId="37" fontId="38" fillId="34" borderId="0" xfId="0" applyNumberFormat="1" applyFont="1" applyFill="1" applyAlignment="1" applyProtection="1">
      <alignment horizontal="right" vertical="center"/>
      <protection/>
    </xf>
    <xf numFmtId="0" fontId="38" fillId="34" borderId="29" xfId="0" applyFont="1" applyFill="1" applyBorder="1" applyAlignment="1" applyProtection="1">
      <alignment vertical="center"/>
      <protection locked="0"/>
    </xf>
    <xf numFmtId="37" fontId="38" fillId="34" borderId="11" xfId="0" applyNumberFormat="1" applyFont="1" applyFill="1" applyBorder="1" applyAlignment="1" applyProtection="1">
      <alignment horizontal="fill" vertical="center"/>
      <protection locked="0"/>
    </xf>
    <xf numFmtId="0" fontId="38" fillId="34" borderId="0" xfId="0" applyFont="1" applyFill="1" applyBorder="1" applyAlignment="1" applyProtection="1">
      <alignment horizontal="right" vertical="center"/>
      <protection/>
    </xf>
    <xf numFmtId="0" fontId="38" fillId="34" borderId="0" xfId="0" applyFont="1" applyFill="1" applyAlignment="1" applyProtection="1">
      <alignment vertical="center"/>
      <protection locked="0"/>
    </xf>
    <xf numFmtId="37" fontId="38" fillId="34" borderId="0" xfId="0" applyNumberFormat="1" applyFont="1" applyFill="1" applyAlignment="1" applyProtection="1">
      <alignment horizontal="left" vertical="center"/>
      <protection locked="0"/>
    </xf>
    <xf numFmtId="0" fontId="38" fillId="34" borderId="0" xfId="0" applyFont="1" applyFill="1" applyAlignment="1" applyProtection="1">
      <alignment horizontal="left" vertical="center"/>
      <protection/>
    </xf>
    <xf numFmtId="37" fontId="38" fillId="34" borderId="11" xfId="0" applyNumberFormat="1" applyFont="1" applyFill="1" applyBorder="1" applyAlignment="1" applyProtection="1">
      <alignment vertical="center"/>
      <protection locked="0"/>
    </xf>
    <xf numFmtId="37" fontId="38" fillId="34" borderId="0" xfId="0" applyNumberFormat="1" applyFont="1" applyFill="1" applyAlignment="1" applyProtection="1">
      <alignment horizontal="center" vertical="center"/>
      <protection/>
    </xf>
    <xf numFmtId="0" fontId="38" fillId="34" borderId="0" xfId="0" applyFont="1" applyFill="1" applyAlignment="1" applyProtection="1">
      <alignment horizontal="center" vertical="center"/>
      <protection/>
    </xf>
    <xf numFmtId="0" fontId="38" fillId="0" borderId="0" xfId="0" applyFont="1" applyAlignment="1">
      <alignment vertical="center"/>
    </xf>
    <xf numFmtId="3" fontId="38" fillId="34" borderId="10" xfId="0" applyNumberFormat="1" applyFont="1" applyFill="1" applyBorder="1" applyAlignment="1" applyProtection="1">
      <alignment horizontal="right" vertical="center"/>
      <protection/>
    </xf>
    <xf numFmtId="197" fontId="38" fillId="34" borderId="10" xfId="0" applyNumberFormat="1" applyFont="1" applyFill="1" applyBorder="1" applyAlignment="1" applyProtection="1">
      <alignment horizontal="right" vertical="center"/>
      <protection/>
    </xf>
    <xf numFmtId="0" fontId="38" fillId="44" borderId="0" xfId="0" applyFont="1" applyFill="1" applyAlignment="1">
      <alignment vertical="center"/>
    </xf>
    <xf numFmtId="0" fontId="43" fillId="44" borderId="0" xfId="0" applyFont="1" applyFill="1" applyAlignment="1" applyProtection="1">
      <alignment horizontal="center" vertical="center"/>
      <protection/>
    </xf>
    <xf numFmtId="0" fontId="43" fillId="44" borderId="11" xfId="0" applyFont="1" applyFill="1" applyBorder="1" applyAlignment="1" applyProtection="1">
      <alignment horizontal="center" vertical="center"/>
      <protection/>
    </xf>
    <xf numFmtId="0" fontId="43" fillId="44" borderId="15" xfId="0" applyFont="1" applyFill="1" applyBorder="1" applyAlignment="1" applyProtection="1">
      <alignment horizontal="center" vertical="center"/>
      <protection/>
    </xf>
    <xf numFmtId="0" fontId="43" fillId="44" borderId="36" xfId="0" applyFont="1" applyFill="1" applyBorder="1" applyAlignment="1" applyProtection="1">
      <alignment horizontal="center" vertical="center"/>
      <protection/>
    </xf>
    <xf numFmtId="0" fontId="43" fillId="44" borderId="16" xfId="0" applyFont="1" applyFill="1" applyBorder="1" applyAlignment="1" applyProtection="1">
      <alignment horizontal="center" vertical="center"/>
      <protection/>
    </xf>
    <xf numFmtId="1" fontId="38" fillId="44" borderId="16" xfId="0" applyNumberFormat="1" applyFont="1" applyFill="1" applyBorder="1" applyAlignment="1" applyProtection="1">
      <alignment horizontal="center" vertical="center"/>
      <protection/>
    </xf>
    <xf numFmtId="177" fontId="38" fillId="44" borderId="16" xfId="42" applyNumberFormat="1" applyFont="1" applyFill="1" applyBorder="1" applyAlignment="1" applyProtection="1">
      <alignment horizontal="center" vertical="center"/>
      <protection locked="0"/>
    </xf>
    <xf numFmtId="177" fontId="38" fillId="44" borderId="10" xfId="42" applyNumberFormat="1" applyFont="1" applyFill="1" applyBorder="1" applyAlignment="1" applyProtection="1">
      <alignment horizontal="center" vertical="center"/>
      <protection locked="0"/>
    </xf>
    <xf numFmtId="0" fontId="38" fillId="44" borderId="0" xfId="0" applyFont="1" applyFill="1" applyAlignment="1" applyProtection="1">
      <alignment vertical="center"/>
      <protection locked="0"/>
    </xf>
    <xf numFmtId="0" fontId="38" fillId="44" borderId="0" xfId="0" applyFont="1" applyFill="1" applyAlignment="1" applyProtection="1">
      <alignment horizontal="center" vertical="center"/>
      <protection locked="0"/>
    </xf>
    <xf numFmtId="177" fontId="38" fillId="44" borderId="10" xfId="0" applyNumberFormat="1" applyFont="1" applyFill="1" applyBorder="1" applyAlignment="1" applyProtection="1">
      <alignment horizontal="center" vertical="center"/>
      <protection/>
    </xf>
    <xf numFmtId="0" fontId="93" fillId="44" borderId="0" xfId="0" applyFont="1" applyFill="1" applyAlignment="1" applyProtection="1">
      <alignment horizontal="right" vertical="center"/>
      <protection locked="0"/>
    </xf>
    <xf numFmtId="3" fontId="38" fillId="41" borderId="16" xfId="0" applyNumberFormat="1" applyFont="1" applyFill="1" applyBorder="1" applyAlignment="1" applyProtection="1">
      <alignment horizontal="right" vertical="center"/>
      <protection/>
    </xf>
  </cellXfs>
  <cellStyles count="3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2 2" xfId="48"/>
    <cellStyle name="Comma 3"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3 2" xfId="66"/>
    <cellStyle name="Hyperlink 7" xfId="67"/>
    <cellStyle name="Hyperlink 7 2" xfId="68"/>
    <cellStyle name="Input" xfId="69"/>
    <cellStyle name="Linked Cell" xfId="70"/>
    <cellStyle name="Neutral" xfId="71"/>
    <cellStyle name="Normal 10" xfId="72"/>
    <cellStyle name="Normal 10 2" xfId="73"/>
    <cellStyle name="Normal 10 2 2" xfId="74"/>
    <cellStyle name="Normal 10 3" xfId="75"/>
    <cellStyle name="Normal 10 4" xfId="76"/>
    <cellStyle name="Normal 10 5" xfId="77"/>
    <cellStyle name="Normal 10 6" xfId="78"/>
    <cellStyle name="Normal 11" xfId="79"/>
    <cellStyle name="Normal 11 2" xfId="80"/>
    <cellStyle name="Normal 11 2 2" xfId="81"/>
    <cellStyle name="Normal 11 3" xfId="82"/>
    <cellStyle name="Normal 11 4" xfId="83"/>
    <cellStyle name="Normal 11 5" xfId="84"/>
    <cellStyle name="Normal 12" xfId="85"/>
    <cellStyle name="Normal 12 10" xfId="86"/>
    <cellStyle name="Normal 12 11" xfId="87"/>
    <cellStyle name="Normal 12 12" xfId="88"/>
    <cellStyle name="Normal 12 2" xfId="89"/>
    <cellStyle name="Normal 12 2 2" xfId="90"/>
    <cellStyle name="Normal 12 3" xfId="91"/>
    <cellStyle name="Normal 12 4" xfId="92"/>
    <cellStyle name="Normal 12 5" xfId="93"/>
    <cellStyle name="Normal 12 6" xfId="94"/>
    <cellStyle name="Normal 12 7" xfId="95"/>
    <cellStyle name="Normal 12 8" xfId="96"/>
    <cellStyle name="Normal 12 9" xfId="97"/>
    <cellStyle name="Normal 13" xfId="98"/>
    <cellStyle name="Normal 13 10" xfId="99"/>
    <cellStyle name="Normal 13 11" xfId="100"/>
    <cellStyle name="Normal 13 12" xfId="101"/>
    <cellStyle name="Normal 13 2" xfId="102"/>
    <cellStyle name="Normal 13 2 2" xfId="103"/>
    <cellStyle name="Normal 13 3" xfId="104"/>
    <cellStyle name="Normal 13 4" xfId="105"/>
    <cellStyle name="Normal 13 5" xfId="106"/>
    <cellStyle name="Normal 13 6" xfId="107"/>
    <cellStyle name="Normal 13 7" xfId="108"/>
    <cellStyle name="Normal 13 8" xfId="109"/>
    <cellStyle name="Normal 13 9" xfId="110"/>
    <cellStyle name="Normal 14" xfId="111"/>
    <cellStyle name="Normal 14 2" xfId="112"/>
    <cellStyle name="Normal 14 3" xfId="113"/>
    <cellStyle name="Normal 14 4" xfId="114"/>
    <cellStyle name="Normal 14 5" xfId="115"/>
    <cellStyle name="Normal 14 6" xfId="116"/>
    <cellStyle name="Normal 15" xfId="117"/>
    <cellStyle name="Normal 15 2" xfId="118"/>
    <cellStyle name="Normal 15 3" xfId="119"/>
    <cellStyle name="Normal 15 4" xfId="120"/>
    <cellStyle name="Normal 16" xfId="121"/>
    <cellStyle name="Normal 16 2" xfId="122"/>
    <cellStyle name="Normal 16 3" xfId="123"/>
    <cellStyle name="Normal 16 4" xfId="124"/>
    <cellStyle name="Normal 17" xfId="125"/>
    <cellStyle name="Normal 17 2" xfId="126"/>
    <cellStyle name="Normal 17 3" xfId="127"/>
    <cellStyle name="Normal 17 4" xfId="128"/>
    <cellStyle name="Normal 18" xfId="129"/>
    <cellStyle name="Normal 18 2" xfId="130"/>
    <cellStyle name="Normal 18 2 2" xfId="131"/>
    <cellStyle name="Normal 18 2 3" xfId="132"/>
    <cellStyle name="Normal 18 3" xfId="133"/>
    <cellStyle name="Normal 18 4" xfId="134"/>
    <cellStyle name="Normal 18 5" xfId="135"/>
    <cellStyle name="Normal 18 6" xfId="136"/>
    <cellStyle name="Normal 18 7"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2" xfId="146"/>
    <cellStyle name="Normal 2 10" xfId="147"/>
    <cellStyle name="Normal 2 10 10"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2" xfId="166"/>
    <cellStyle name="Normal 2 11 2 2" xfId="167"/>
    <cellStyle name="Normal 2 11 3" xfId="168"/>
    <cellStyle name="Normal 2 11 3 2" xfId="169"/>
    <cellStyle name="Normal 2 11 4" xfId="170"/>
    <cellStyle name="Normal 2 11 4 2" xfId="171"/>
    <cellStyle name="Normal 2 11 5" xfId="172"/>
    <cellStyle name="Normal 2 11 5 2" xfId="173"/>
    <cellStyle name="Normal 2 11 6" xfId="174"/>
    <cellStyle name="Normal 2 11 6 2" xfId="175"/>
    <cellStyle name="Normal 2 11 7" xfId="176"/>
    <cellStyle name="Normal 2 11 7 2" xfId="177"/>
    <cellStyle name="Normal 2 11 8" xfId="178"/>
    <cellStyle name="Normal 2 11 8 2" xfId="179"/>
    <cellStyle name="Normal 2 11 9" xfId="180"/>
    <cellStyle name="Normal 2 12" xfId="181"/>
    <cellStyle name="Normal 2 13" xfId="182"/>
    <cellStyle name="Normal 2 14" xfId="183"/>
    <cellStyle name="Normal 2 15" xfId="184"/>
    <cellStyle name="Normal 2 16" xfId="185"/>
    <cellStyle name="Normal 2 2" xfId="186"/>
    <cellStyle name="Normal 2 2 10" xfId="187"/>
    <cellStyle name="Normal 2 2 10 2" xfId="188"/>
    <cellStyle name="Normal 2 2 11" xfId="189"/>
    <cellStyle name="Normal 2 2 11 2" xfId="190"/>
    <cellStyle name="Normal 2 2 12" xfId="191"/>
    <cellStyle name="Normal 2 2 12 2" xfId="192"/>
    <cellStyle name="Normal 2 2 13" xfId="193"/>
    <cellStyle name="Normal 2 2 13 2" xfId="194"/>
    <cellStyle name="Normal 2 2 14" xfId="195"/>
    <cellStyle name="Normal 2 2 14 2" xfId="196"/>
    <cellStyle name="Normal 2 2 15" xfId="197"/>
    <cellStyle name="Normal 2 2 15 2" xfId="198"/>
    <cellStyle name="Normal 2 2 16" xfId="199"/>
    <cellStyle name="Normal 2 2 17" xfId="200"/>
    <cellStyle name="Normal 2 2 18" xfId="201"/>
    <cellStyle name="Normal 2 2 19" xfId="202"/>
    <cellStyle name="Normal 2 2 2" xfId="203"/>
    <cellStyle name="Normal 2 2 2 2" xfId="204"/>
    <cellStyle name="Normal 2 2 2 2 2" xfId="205"/>
    <cellStyle name="Normal 2 2 2 3" xfId="206"/>
    <cellStyle name="Normal 2 2 2 3 2" xfId="207"/>
    <cellStyle name="Normal 2 2 2 4" xfId="208"/>
    <cellStyle name="Normal 2 2 2 4 2" xfId="209"/>
    <cellStyle name="Normal 2 2 2 5" xfId="210"/>
    <cellStyle name="Normal 2 2 2 5 2" xfId="211"/>
    <cellStyle name="Normal 2 2 2 6" xfId="212"/>
    <cellStyle name="Normal 2 2 2 6 2" xfId="213"/>
    <cellStyle name="Normal 2 2 2 7" xfId="214"/>
    <cellStyle name="Normal 2 2 2 8" xfId="215"/>
    <cellStyle name="Normal 2 2 20" xfId="216"/>
    <cellStyle name="Normal 2 2 21" xfId="217"/>
    <cellStyle name="Normal 2 2 3" xfId="218"/>
    <cellStyle name="Normal 2 2 3 2" xfId="219"/>
    <cellStyle name="Normal 2 2 4" xfId="220"/>
    <cellStyle name="Normal 2 2 4 2" xfId="221"/>
    <cellStyle name="Normal 2 2 5" xfId="222"/>
    <cellStyle name="Normal 2 2 5 2" xfId="223"/>
    <cellStyle name="Normal 2 2 6" xfId="224"/>
    <cellStyle name="Normal 2 2 6 2" xfId="225"/>
    <cellStyle name="Normal 2 2 7" xfId="226"/>
    <cellStyle name="Normal 2 2 7 2" xfId="227"/>
    <cellStyle name="Normal 2 2 8" xfId="228"/>
    <cellStyle name="Normal 2 2 8 2" xfId="229"/>
    <cellStyle name="Normal 2 2 9" xfId="230"/>
    <cellStyle name="Normal 2 2 9 2" xfId="231"/>
    <cellStyle name="Normal 2 3" xfId="232"/>
    <cellStyle name="Normal 2 3 10" xfId="233"/>
    <cellStyle name="Normal 2 3 11" xfId="234"/>
    <cellStyle name="Normal 2 3 12" xfId="235"/>
    <cellStyle name="Normal 2 3 13" xfId="236"/>
    <cellStyle name="Normal 2 3 14" xfId="237"/>
    <cellStyle name="Normal 2 3 2" xfId="238"/>
    <cellStyle name="Normal 2 3 2 2" xfId="239"/>
    <cellStyle name="Normal 2 3 3" xfId="240"/>
    <cellStyle name="Normal 2 3 3 2" xfId="241"/>
    <cellStyle name="Normal 2 3 3 3" xfId="242"/>
    <cellStyle name="Normal 2 3 4" xfId="243"/>
    <cellStyle name="Normal 2 3 5" xfId="244"/>
    <cellStyle name="Normal 2 3 6" xfId="245"/>
    <cellStyle name="Normal 2 3 7" xfId="246"/>
    <cellStyle name="Normal 2 3 8" xfId="247"/>
    <cellStyle name="Normal 2 3 9" xfId="248"/>
    <cellStyle name="Normal 2 4" xfId="249"/>
    <cellStyle name="Normal 2 4 10" xfId="250"/>
    <cellStyle name="Normal 2 4 11" xfId="251"/>
    <cellStyle name="Normal 2 4 2" xfId="252"/>
    <cellStyle name="Normal 2 4 2 2" xfId="253"/>
    <cellStyle name="Normal 2 4 3" xfId="254"/>
    <cellStyle name="Normal 2 4 3 2" xfId="255"/>
    <cellStyle name="Normal 2 4 3 3" xfId="256"/>
    <cellStyle name="Normal 2 4 4" xfId="257"/>
    <cellStyle name="Normal 2 4 5" xfId="258"/>
    <cellStyle name="Normal 2 4 6" xfId="259"/>
    <cellStyle name="Normal 2 4 7" xfId="260"/>
    <cellStyle name="Normal 2 4 8" xfId="261"/>
    <cellStyle name="Normal 2 4 9" xfId="262"/>
    <cellStyle name="Normal 2 5" xfId="263"/>
    <cellStyle name="Normal 2 5 10" xfId="264"/>
    <cellStyle name="Normal 2 5 11" xfId="265"/>
    <cellStyle name="Normal 2 5 12" xfId="266"/>
    <cellStyle name="Normal 2 5 2" xfId="267"/>
    <cellStyle name="Normal 2 5 2 2" xfId="268"/>
    <cellStyle name="Normal 2 5 3" xfId="269"/>
    <cellStyle name="Normal 2 5 3 2" xfId="270"/>
    <cellStyle name="Normal 2 5 4" xfId="271"/>
    <cellStyle name="Normal 2 5 5" xfId="272"/>
    <cellStyle name="Normal 2 5 6" xfId="273"/>
    <cellStyle name="Normal 2 5 7" xfId="274"/>
    <cellStyle name="Normal 2 5 8" xfId="275"/>
    <cellStyle name="Normal 2 5 9" xfId="276"/>
    <cellStyle name="Normal 2 6" xfId="277"/>
    <cellStyle name="Normal 2 6 10" xfId="278"/>
    <cellStyle name="Normal 2 6 11" xfId="279"/>
    <cellStyle name="Normal 2 6 12" xfId="280"/>
    <cellStyle name="Normal 2 6 2" xfId="281"/>
    <cellStyle name="Normal 2 6 2 2" xfId="282"/>
    <cellStyle name="Normal 2 6 3" xfId="283"/>
    <cellStyle name="Normal 2 6 3 2" xfId="284"/>
    <cellStyle name="Normal 2 6 4" xfId="285"/>
    <cellStyle name="Normal 2 6 5" xfId="286"/>
    <cellStyle name="Normal 2 6 6" xfId="287"/>
    <cellStyle name="Normal 2 6 7" xfId="288"/>
    <cellStyle name="Normal 2 6 8" xfId="289"/>
    <cellStyle name="Normal 2 6 9" xfId="290"/>
    <cellStyle name="Normal 2 7" xfId="291"/>
    <cellStyle name="Normal 2 7 10" xfId="292"/>
    <cellStyle name="Normal 2 7 2" xfId="293"/>
    <cellStyle name="Normal 2 7 2 2" xfId="294"/>
    <cellStyle name="Normal 2 7 2 3" xfId="295"/>
    <cellStyle name="Normal 2 7 3" xfId="296"/>
    <cellStyle name="Normal 2 7 3 2" xfId="297"/>
    <cellStyle name="Normal 2 7 4" xfId="298"/>
    <cellStyle name="Normal 2 7 4 2" xfId="299"/>
    <cellStyle name="Normal 2 7 5" xfId="300"/>
    <cellStyle name="Normal 2 7 5 2" xfId="301"/>
    <cellStyle name="Normal 2 7 6" xfId="302"/>
    <cellStyle name="Normal 2 7 6 2" xfId="303"/>
    <cellStyle name="Normal 2 7 7" xfId="304"/>
    <cellStyle name="Normal 2 7 7 2" xfId="305"/>
    <cellStyle name="Normal 2 7 8" xfId="306"/>
    <cellStyle name="Normal 2 7 8 2" xfId="307"/>
    <cellStyle name="Normal 2 7 9" xfId="308"/>
    <cellStyle name="Normal 2 8" xfId="309"/>
    <cellStyle name="Normal 2 8 10" xfId="310"/>
    <cellStyle name="Normal 2 8 2" xfId="311"/>
    <cellStyle name="Normal 2 8 2 2" xfId="312"/>
    <cellStyle name="Normal 2 8 3" xfId="313"/>
    <cellStyle name="Normal 2 8 3 2" xfId="314"/>
    <cellStyle name="Normal 2 8 4" xfId="315"/>
    <cellStyle name="Normal 2 8 4 2" xfId="316"/>
    <cellStyle name="Normal 2 8 5" xfId="317"/>
    <cellStyle name="Normal 2 8 5 2" xfId="318"/>
    <cellStyle name="Normal 2 8 6" xfId="319"/>
    <cellStyle name="Normal 2 8 6 2" xfId="320"/>
    <cellStyle name="Normal 2 8 7" xfId="321"/>
    <cellStyle name="Normal 2 8 7 2" xfId="322"/>
    <cellStyle name="Normal 2 8 8" xfId="323"/>
    <cellStyle name="Normal 2 8 8 2" xfId="324"/>
    <cellStyle name="Normal 2 8 9" xfId="325"/>
    <cellStyle name="Normal 2 9" xfId="326"/>
    <cellStyle name="Normal 2 9 10"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2" xfId="346"/>
    <cellStyle name="Normal 22 2" xfId="347"/>
    <cellStyle name="Normal 22 3" xfId="348"/>
    <cellStyle name="Normal 23" xfId="349"/>
    <cellStyle name="Normal 23 2" xfId="350"/>
    <cellStyle name="Normal 23 3" xfId="351"/>
    <cellStyle name="Normal 24" xfId="352"/>
    <cellStyle name="Normal 24 2" xfId="353"/>
    <cellStyle name="Normal 24 3" xfId="354"/>
    <cellStyle name="Normal 25" xfId="355"/>
    <cellStyle name="Normal 25 2" xfId="356"/>
    <cellStyle name="Normal 25 3" xfId="357"/>
    <cellStyle name="Normal 3" xfId="358"/>
    <cellStyle name="Normal 3 2" xfId="359"/>
    <cellStyle name="Normal 3 3" xfId="360"/>
    <cellStyle name="Normal 3 3 2" xfId="361"/>
    <cellStyle name="Normal 3 3 3" xfId="362"/>
    <cellStyle name="Normal 3 4" xfId="363"/>
    <cellStyle name="Normal 3 5" xfId="364"/>
    <cellStyle name="Normal 3 6" xfId="365"/>
    <cellStyle name="Normal 3 7" xfId="366"/>
    <cellStyle name="Normal 4" xfId="367"/>
    <cellStyle name="Normal 4 2" xfId="368"/>
    <cellStyle name="Normal 4 3" xfId="369"/>
    <cellStyle name="Normal 4 3 2" xfId="370"/>
    <cellStyle name="Normal 4 3 3" xfId="371"/>
    <cellStyle name="Normal 4 4" xfId="372"/>
    <cellStyle name="Normal 4 5" xfId="373"/>
    <cellStyle name="Normal 5" xfId="374"/>
    <cellStyle name="Normal 5 2" xfId="375"/>
    <cellStyle name="Normal 5 3"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3" xfId="388"/>
    <cellStyle name="Normal 7 4" xfId="389"/>
    <cellStyle name="Normal 7 5" xfId="390"/>
    <cellStyle name="Normal 7 5 2" xfId="391"/>
    <cellStyle name="Normal 7 5 3" xfId="392"/>
    <cellStyle name="Normal 7 6" xfId="393"/>
    <cellStyle name="Normal 8" xfId="394"/>
    <cellStyle name="Normal 8 2" xfId="395"/>
    <cellStyle name="Normal 9" xfId="396"/>
    <cellStyle name="Normal 9 2" xfId="397"/>
    <cellStyle name="Normal 9 2 2" xfId="398"/>
    <cellStyle name="Normal 9 3" xfId="399"/>
    <cellStyle name="Normal 9 4" xfId="400"/>
    <cellStyle name="Normal 9 5" xfId="401"/>
    <cellStyle name="Normal_debt" xfId="402"/>
    <cellStyle name="Normal_lpform" xfId="403"/>
    <cellStyle name="Note" xfId="404"/>
    <cellStyle name="Output" xfId="405"/>
    <cellStyle name="Percent" xfId="406"/>
    <cellStyle name="Title" xfId="407"/>
    <cellStyle name="Total" xfId="408"/>
    <cellStyle name="Warning Text" xfId="409"/>
  </cellStyles>
  <dxfs count="115">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e%20Forms%202011\Kansas%20City,%20KS%20Final%208_25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rt"/>
      <sheetName val="computation"/>
      <sheetName val="mvalloc"/>
      <sheetName val="transfers"/>
      <sheetName val="debt"/>
      <sheetName val="lpform"/>
      <sheetName val="general"/>
      <sheetName val="DebtService"/>
      <sheetName val="Sp Hiway_Sewer"/>
      <sheetName val="Levee_golf"/>
      <sheetName val="SP_Parks_Alcohol"/>
      <sheetName val="Tourism_911"/>
      <sheetName val="ETruct_EMS"/>
      <sheetName val="Stormwater"/>
      <sheetName val="SalesTax"/>
      <sheetName val="NonBudA"/>
      <sheetName val="summ"/>
      <sheetName val="nhood"/>
      <sheetName val="ordinance"/>
      <sheetName val="Tab A"/>
      <sheetName val="Tab B"/>
      <sheetName val="Tab C"/>
      <sheetName val="Tab D"/>
      <sheetName val="Tab E"/>
      <sheetName val="legend"/>
      <sheetName val="Instructions"/>
      <sheetName val="inputPrYr"/>
      <sheetName val="inputOth"/>
      <sheetName val="inputBudSum"/>
      <sheetName val="TransferStatutes"/>
      <sheetName val="NonBudB"/>
      <sheetName val="NonBudFu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tabSelected="1" zoomScale="80" zoomScaleNormal="80" zoomScalePageLayoutView="0" workbookViewId="0" topLeftCell="A16">
      <selection activeCell="D34" sqref="D34:E34"/>
    </sheetView>
  </sheetViews>
  <sheetFormatPr defaultColWidth="8.796875" defaultRowHeight="15"/>
  <cols>
    <col min="1" max="1" width="24.296875" style="396" customWidth="1"/>
    <col min="2" max="2" width="10.796875" style="396" customWidth="1"/>
    <col min="3" max="3" width="5.796875" style="396" customWidth="1"/>
    <col min="4" max="4" width="14" style="396" customWidth="1"/>
    <col min="5" max="5" width="13.296875" style="396" customWidth="1"/>
    <col min="6" max="6" width="12.296875" style="396" customWidth="1"/>
    <col min="7" max="16384" width="8.8984375" style="480" customWidth="1"/>
  </cols>
  <sheetData>
    <row r="1" spans="1:8" ht="15">
      <c r="A1" s="797"/>
      <c r="B1" s="797"/>
      <c r="C1" s="798" t="s">
        <v>166</v>
      </c>
      <c r="D1" s="797"/>
      <c r="E1" s="797"/>
      <c r="F1" s="799"/>
      <c r="H1" s="480">
        <f>inputPrYr!C5</f>
        <v>2012</v>
      </c>
    </row>
    <row r="2" spans="1:6" ht="14.25">
      <c r="A2" s="800" t="str">
        <f>CONCATENATE("To the Clerk of ",(inputPrYr!D3),", State of Kansas")</f>
        <v>To the Clerk of Wyandotte, State of Kansas</v>
      </c>
      <c r="B2" s="801"/>
      <c r="C2" s="801"/>
      <c r="D2" s="801"/>
      <c r="E2" s="801"/>
      <c r="F2" s="801"/>
    </row>
    <row r="3" spans="1:6" ht="14.25">
      <c r="A3" s="802" t="s">
        <v>662</v>
      </c>
      <c r="B3" s="803"/>
      <c r="C3" s="803"/>
      <c r="D3" s="803"/>
      <c r="E3" s="803"/>
      <c r="F3" s="803"/>
    </row>
    <row r="4" spans="1:6" ht="15">
      <c r="A4" s="804" t="str">
        <f>(inputPrYr!D2)</f>
        <v>Kansas City</v>
      </c>
      <c r="B4" s="805"/>
      <c r="C4" s="805"/>
      <c r="D4" s="805"/>
      <c r="E4" s="805"/>
      <c r="F4" s="805"/>
    </row>
    <row r="5" spans="1:6" ht="14.25">
      <c r="A5" s="802" t="s">
        <v>81</v>
      </c>
      <c r="B5" s="803"/>
      <c r="C5" s="803"/>
      <c r="D5" s="803"/>
      <c r="E5" s="803"/>
      <c r="F5" s="803"/>
    </row>
    <row r="6" spans="1:6" ht="14.25">
      <c r="A6" s="802" t="s">
        <v>82</v>
      </c>
      <c r="B6" s="803"/>
      <c r="C6" s="803"/>
      <c r="D6" s="803"/>
      <c r="E6" s="803"/>
      <c r="F6" s="803"/>
    </row>
    <row r="7" spans="1:6" ht="14.25">
      <c r="A7" s="802" t="str">
        <f>CONCATENATE("maximum expenditures for the various funds for the year ",H1,"; and")</f>
        <v>maximum expenditures for the various funds for the year 2012; and</v>
      </c>
      <c r="B7" s="803"/>
      <c r="C7" s="803"/>
      <c r="D7" s="803"/>
      <c r="E7" s="803"/>
      <c r="F7" s="803"/>
    </row>
    <row r="8" spans="1:6" ht="14.25">
      <c r="A8" s="802" t="str">
        <f>CONCATENATE("(3) the Amounts(s) of ",H1-1," Ad Valorem Tax are within statutory limitations.")</f>
        <v>(3) the Amounts(s) of 2011 Ad Valorem Tax are within statutory limitations.</v>
      </c>
      <c r="B8" s="803"/>
      <c r="C8" s="803"/>
      <c r="D8" s="803"/>
      <c r="E8" s="803"/>
      <c r="F8" s="803"/>
    </row>
    <row r="9" spans="1:6" ht="14.25">
      <c r="A9" s="797"/>
      <c r="B9" s="797"/>
      <c r="C9" s="797"/>
      <c r="D9" s="806" t="str">
        <f>CONCATENATE("",H1," Adopted Budget")</f>
        <v>2012 Adopted Budget</v>
      </c>
      <c r="E9" s="807"/>
      <c r="F9" s="808"/>
    </row>
    <row r="10" spans="1:6" ht="21" customHeight="1">
      <c r="A10" s="797"/>
      <c r="B10" s="797"/>
      <c r="C10" s="809"/>
      <c r="D10" s="810" t="s">
        <v>83</v>
      </c>
      <c r="E10" s="811" t="str">
        <f>CONCATENATE("Amount of ",H1-1,"")</f>
        <v>Amount of 2011</v>
      </c>
      <c r="F10" s="811" t="s">
        <v>84</v>
      </c>
    </row>
    <row r="11" spans="1:6" ht="14.25">
      <c r="A11" s="812"/>
      <c r="B11" s="797"/>
      <c r="C11" s="811" t="s">
        <v>85</v>
      </c>
      <c r="D11" s="813"/>
      <c r="E11" s="814" t="s">
        <v>273</v>
      </c>
      <c r="F11" s="815" t="s">
        <v>86</v>
      </c>
    </row>
    <row r="12" spans="1:6" ht="15">
      <c r="A12" s="816" t="s">
        <v>87</v>
      </c>
      <c r="B12" s="817"/>
      <c r="C12" s="818" t="s">
        <v>88</v>
      </c>
      <c r="D12" s="819" t="s">
        <v>961</v>
      </c>
      <c r="E12" s="820" t="s">
        <v>274</v>
      </c>
      <c r="F12" s="818" t="s">
        <v>89</v>
      </c>
    </row>
    <row r="13" spans="1:6" ht="14.25">
      <c r="A13" s="821" t="str">
        <f>CONCATENATE("Computation to Determine Limit for ",H1,"")</f>
        <v>Computation to Determine Limit for 2012</v>
      </c>
      <c r="B13" s="822"/>
      <c r="C13" s="823" t="s">
        <v>1169</v>
      </c>
      <c r="D13" s="824"/>
      <c r="E13" s="824"/>
      <c r="F13" s="824"/>
    </row>
    <row r="14" spans="1:6" ht="14.25">
      <c r="A14" s="821" t="s">
        <v>10</v>
      </c>
      <c r="B14" s="817"/>
      <c r="C14" s="818" t="s">
        <v>1170</v>
      </c>
      <c r="D14" s="815"/>
      <c r="E14" s="815"/>
      <c r="F14" s="815"/>
    </row>
    <row r="15" spans="1:6" ht="14.25">
      <c r="A15" s="821" t="s">
        <v>228</v>
      </c>
      <c r="B15" s="817"/>
      <c r="C15" s="818" t="s">
        <v>1171</v>
      </c>
      <c r="D15" s="815"/>
      <c r="E15" s="815"/>
      <c r="F15" s="815"/>
    </row>
    <row r="16" spans="1:6" ht="14.25">
      <c r="A16" s="821" t="s">
        <v>90</v>
      </c>
      <c r="B16" s="822"/>
      <c r="C16" s="823" t="s">
        <v>1172</v>
      </c>
      <c r="D16" s="825"/>
      <c r="E16" s="825"/>
      <c r="F16" s="825"/>
    </row>
    <row r="17" spans="1:6" ht="14.25">
      <c r="A17" s="821" t="s">
        <v>91</v>
      </c>
      <c r="B17" s="822"/>
      <c r="C17" s="823" t="s">
        <v>1173</v>
      </c>
      <c r="D17" s="825"/>
      <c r="E17" s="825"/>
      <c r="F17" s="825"/>
    </row>
    <row r="18" spans="1:6" ht="15">
      <c r="A18" s="826" t="s">
        <v>92</v>
      </c>
      <c r="B18" s="827" t="s">
        <v>93</v>
      </c>
      <c r="C18" s="828"/>
      <c r="D18" s="829"/>
      <c r="E18" s="829"/>
      <c r="F18" s="829"/>
    </row>
    <row r="19" spans="1:6" ht="14.25">
      <c r="A19" s="830" t="s">
        <v>76</v>
      </c>
      <c r="B19" s="831" t="str">
        <f>IF(inputPrYr!C17&gt;0,(inputPrYr!C17),"  ")</f>
        <v>12-101a</v>
      </c>
      <c r="C19" s="823" t="s">
        <v>1174</v>
      </c>
      <c r="D19" s="868">
        <f>IF(general!$F$131&lt;&gt;0,general!$F$131,"  ")</f>
        <v>117587319</v>
      </c>
      <c r="E19" s="869">
        <f>IF(general!$F$138&lt;&gt;0,general!$F138,0)</f>
        <v>27559284</v>
      </c>
      <c r="F19" s="832">
        <f>IF($F$36=0,"",ROUND(E19/$F$36*1000,3))</f>
      </c>
    </row>
    <row r="20" spans="1:6" ht="14.25">
      <c r="A20" s="830" t="s">
        <v>47</v>
      </c>
      <c r="B20" s="831" t="str">
        <f>IF(inputPrYr!C18&gt;0,(inputPrYr!C18),"  ")</f>
        <v>10-113</v>
      </c>
      <c r="C20" s="823" t="s">
        <v>1175</v>
      </c>
      <c r="D20" s="868">
        <f>IF(DebtService!F52&lt;&gt;0,DebtService!F52,"  ")</f>
        <v>26770676</v>
      </c>
      <c r="E20" s="869">
        <f>IF(DebtService!$F$59&lt;&gt;0,DebtService!$F$59,0)</f>
        <v>16262501.353103448</v>
      </c>
      <c r="F20" s="832">
        <f>IF($F$36=0,"",ROUND(E20/$F$36*1000,3))</f>
      </c>
    </row>
    <row r="21" spans="1:6" ht="14.25">
      <c r="A21" s="833" t="str">
        <f>IF(inputPrYr!$B23&gt;"  ",(inputPrYr!$B23),"  ")</f>
        <v>Special Highway</v>
      </c>
      <c r="B21" s="834"/>
      <c r="C21" s="835" t="s">
        <v>1176</v>
      </c>
      <c r="D21" s="868">
        <f>IF('Sp Hiway_Sewer'!$F$32&gt;0,'Sp Hiway_Sewer'!$F$32,"  ")</f>
        <v>6720104</v>
      </c>
      <c r="E21" s="868"/>
      <c r="F21" s="828"/>
    </row>
    <row r="22" spans="1:6" ht="14.25">
      <c r="A22" s="833" t="str">
        <f>IF(inputPrYr!$B24&gt;"  ",(inputPrYr!$B24),"  ")</f>
        <v>Sewer System Enterprise Fund</v>
      </c>
      <c r="B22" s="834"/>
      <c r="C22" s="835" t="s">
        <v>1176</v>
      </c>
      <c r="D22" s="868">
        <f>IF('Sp Hiway_Sewer'!$F$79&gt;0,'Sp Hiway_Sewer'!$F$79,"  ")</f>
        <v>25216117</v>
      </c>
      <c r="E22" s="868"/>
      <c r="F22" s="828"/>
    </row>
    <row r="23" spans="1:6" ht="14.25">
      <c r="A23" s="833" t="str">
        <f>IF(inputPrYr!$B25&gt;"  ",(inputPrYr!$B25),"  ")</f>
        <v>Public Levee Enterprise Fund</v>
      </c>
      <c r="B23" s="836"/>
      <c r="C23" s="835" t="s">
        <v>1177</v>
      </c>
      <c r="D23" s="868">
        <f>IF(Levee_golf!$F$32&gt;0,Levee_golf!$F$32,"  ")</f>
        <v>1166523</v>
      </c>
      <c r="E23" s="868"/>
      <c r="F23" s="828"/>
    </row>
    <row r="24" spans="1:6" ht="14.25">
      <c r="A24" s="833" t="str">
        <f>IF(inputPrYr!$B26&gt;"  ",(inputPrYr!$B26),"  ")</f>
        <v>Sunflower Hills Golf Course</v>
      </c>
      <c r="B24" s="834"/>
      <c r="C24" s="835" t="s">
        <v>1177</v>
      </c>
      <c r="D24" s="868">
        <f>IF(Levee_golf!$F$63&gt;0,Levee_golf!$F$63,"  ")</f>
        <v>811413</v>
      </c>
      <c r="E24" s="868"/>
      <c r="F24" s="828"/>
    </row>
    <row r="25" spans="1:6" ht="14.25">
      <c r="A25" s="833" t="str">
        <f>IF(inputPrYr!$B27&gt;"  ",(inputPrYr!$B27),"  ")</f>
        <v>Special Parks and Recreation</v>
      </c>
      <c r="B25" s="836"/>
      <c r="C25" s="835" t="s">
        <v>1178</v>
      </c>
      <c r="D25" s="868">
        <f>IF(SP_Parks_Alcohol!$F$25&gt;0,SP_Parks_Alcohol!$F$25,"  ")</f>
        <v>471384</v>
      </c>
      <c r="E25" s="868"/>
      <c r="F25" s="828"/>
    </row>
    <row r="26" spans="1:6" ht="14.25">
      <c r="A26" s="833" t="str">
        <f>IF(inputPrYr!$B28&gt;"  ",(inputPrYr!$B28),"  ")</f>
        <v>Special Alcohol</v>
      </c>
      <c r="B26" s="837"/>
      <c r="C26" s="835" t="s">
        <v>1178</v>
      </c>
      <c r="D26" s="868">
        <f>IF(SP_Parks_Alcohol!$F$54&gt;0,SP_Parks_Alcohol!$F$54,"  ")</f>
        <v>591216</v>
      </c>
      <c r="E26" s="868"/>
      <c r="F26" s="828"/>
    </row>
    <row r="27" spans="1:6" ht="14.25">
      <c r="A27" s="833" t="str">
        <f>IF(inputPrYr!$B29&gt;"  ",(inputPrYr!$B29),"  ")</f>
        <v>Tourism</v>
      </c>
      <c r="B27" s="837"/>
      <c r="C27" s="835" t="s">
        <v>1179</v>
      </c>
      <c r="D27" s="868">
        <f>IF(Tourism_911!$F$25&gt;0,Tourism_911!$F$25,"  ")</f>
        <v>647500</v>
      </c>
      <c r="E27" s="868"/>
      <c r="F27" s="828"/>
    </row>
    <row r="28" spans="1:6" ht="14.25">
      <c r="A28" s="833" t="str">
        <f>IF(inputPrYr!$B30&gt;"  ",(inputPrYr!$B30),"  ")</f>
        <v>911 Public Safety</v>
      </c>
      <c r="B28" s="837"/>
      <c r="C28" s="835" t="s">
        <v>1179</v>
      </c>
      <c r="D28" s="868">
        <f>IF(Tourism_911!$F$51&gt;0,Tourism_911!$F$51,"  ")</f>
        <v>972000</v>
      </c>
      <c r="E28" s="868"/>
      <c r="F28" s="828"/>
    </row>
    <row r="29" spans="1:6" ht="14.25">
      <c r="A29" s="833" t="str">
        <f>IF(inputPrYr!$B31&gt;"  ",(inputPrYr!$B31),"  ")</f>
        <v>Environmental Trust</v>
      </c>
      <c r="B29" s="834"/>
      <c r="C29" s="835" t="s">
        <v>1180</v>
      </c>
      <c r="D29" s="868">
        <f>IF(ETrust_EMS!$F$28&gt;0,ETrust_EMS!$F$28,"  ")</f>
        <v>920000</v>
      </c>
      <c r="E29" s="868"/>
      <c r="F29" s="828"/>
    </row>
    <row r="30" spans="1:6" ht="14.25">
      <c r="A30" s="833" t="str">
        <f>IF(inputPrYr!$B32&gt;"  ",(inputPrYr!$B32),"  ")</f>
        <v>EMS Enterprise Fund</v>
      </c>
      <c r="B30" s="834"/>
      <c r="C30" s="835" t="s">
        <v>1180</v>
      </c>
      <c r="D30" s="868">
        <f>IF(ETrust_EMS!$F$64&gt;0,ETrust_EMS!$F$64,"  ")</f>
        <v>8618280</v>
      </c>
      <c r="E30" s="868"/>
      <c r="F30" s="828"/>
    </row>
    <row r="31" spans="1:6" ht="14.25">
      <c r="A31" s="833" t="str">
        <f>IF(inputPrYr!$B33&gt;"  ",(inputPrYr!$B33),"  ")</f>
        <v>Stormwater Enterprise</v>
      </c>
      <c r="B31" s="836"/>
      <c r="C31" s="835" t="s">
        <v>1181</v>
      </c>
      <c r="D31" s="868">
        <f>IF(Stormwater!$F$24&gt;0,Stormwater!$F$24,"  ")</f>
        <v>3478064</v>
      </c>
      <c r="E31" s="868"/>
      <c r="F31" s="828"/>
    </row>
    <row r="32" spans="1:6" ht="14.25">
      <c r="A32" s="833" t="s">
        <v>851</v>
      </c>
      <c r="B32" s="834"/>
      <c r="C32" s="835" t="s">
        <v>1182</v>
      </c>
      <c r="D32" s="868">
        <f>SalesTax!F25</f>
        <v>5686627</v>
      </c>
      <c r="E32" s="868"/>
      <c r="F32" s="828"/>
    </row>
    <row r="33" spans="1:6" ht="14.25">
      <c r="A33" s="833" t="str">
        <f>IF(inputPrYr!$B37&gt;"  ",(NonBudA!$A3),"  ")</f>
        <v>Non-Budgeted Funds-A</v>
      </c>
      <c r="B33" s="837"/>
      <c r="C33" s="835" t="s">
        <v>1183</v>
      </c>
      <c r="D33" s="868"/>
      <c r="E33" s="868"/>
      <c r="F33" s="828"/>
    </row>
    <row r="34" spans="1:6" ht="15">
      <c r="A34" s="838" t="s">
        <v>792</v>
      </c>
      <c r="B34" s="822"/>
      <c r="C34" s="839" t="s">
        <v>95</v>
      </c>
      <c r="D34" s="883">
        <f>SUM(D19:D33)</f>
        <v>199657223</v>
      </c>
      <c r="E34" s="883">
        <f>SUM(E19:E33)</f>
        <v>43821785.353103444</v>
      </c>
      <c r="F34" s="840">
        <f>IF(SUM(F19:F33)=0,"",SUM(F19:F33))</f>
      </c>
    </row>
    <row r="35" spans="1:6" ht="14.25">
      <c r="A35" s="841" t="s">
        <v>324</v>
      </c>
      <c r="B35" s="842"/>
      <c r="C35" s="843"/>
      <c r="D35" s="842"/>
      <c r="E35" s="844" t="str">
        <f>IF(E34&gt;computation!J40,"Yes","No")</f>
        <v>Yes</v>
      </c>
      <c r="F35" s="845" t="s">
        <v>232</v>
      </c>
    </row>
    <row r="36" spans="1:6" ht="14.25">
      <c r="A36" s="821" t="s">
        <v>323</v>
      </c>
      <c r="B36" s="822"/>
      <c r="C36" s="823" t="s">
        <v>1184</v>
      </c>
      <c r="D36" s="797"/>
      <c r="E36" s="797"/>
      <c r="F36" s="846"/>
    </row>
    <row r="37" spans="1:6" ht="14.25">
      <c r="A37" s="821"/>
      <c r="B37" s="822"/>
      <c r="C37" s="823">
        <f>IF(nhood!C28&gt;0,nhood!C28,"")</f>
      </c>
      <c r="D37" s="797"/>
      <c r="E37" s="797"/>
      <c r="F37" s="847" t="str">
        <f>CONCATENATE("Nov 1, ",H1-1," Total Assessed Valuation")</f>
        <v>Nov 1, 2011 Total Assessed Valuation</v>
      </c>
    </row>
    <row r="38" spans="1:6" ht="14.25">
      <c r="A38" s="848"/>
      <c r="B38" s="848"/>
      <c r="C38" s="848"/>
      <c r="D38" s="848"/>
      <c r="E38" s="848"/>
      <c r="F38" s="849"/>
    </row>
    <row r="39" spans="1:6" ht="14.25">
      <c r="A39" s="850" t="s">
        <v>96</v>
      </c>
      <c r="B39" s="848"/>
      <c r="C39" s="797"/>
      <c r="D39" s="851"/>
      <c r="E39" s="848"/>
      <c r="F39" s="848"/>
    </row>
    <row r="40" spans="1:6" ht="14.25">
      <c r="A40" s="852"/>
      <c r="B40" s="848"/>
      <c r="C40" s="797"/>
      <c r="D40" s="851"/>
      <c r="E40" s="848"/>
      <c r="F40" s="848"/>
    </row>
    <row r="41" spans="1:6" ht="14.25">
      <c r="A41" s="853"/>
      <c r="B41" s="797"/>
      <c r="C41" s="854"/>
      <c r="D41" s="855"/>
      <c r="E41" s="856"/>
      <c r="F41" s="856"/>
    </row>
    <row r="42" spans="1:6" ht="14.25">
      <c r="A42" s="850" t="s">
        <v>246</v>
      </c>
      <c r="B42" s="848"/>
      <c r="C42" s="797"/>
      <c r="D42" s="851"/>
      <c r="E42" s="851"/>
      <c r="F42" s="851"/>
    </row>
    <row r="43" spans="1:6" ht="14.25">
      <c r="A43" s="852"/>
      <c r="B43" s="857"/>
      <c r="C43" s="856"/>
      <c r="D43" s="856"/>
      <c r="E43" s="858"/>
      <c r="F43" s="858"/>
    </row>
    <row r="44" spans="1:6" ht="14.25">
      <c r="A44" s="853"/>
      <c r="B44" s="857"/>
      <c r="C44" s="817"/>
      <c r="D44" s="817"/>
      <c r="E44" s="859"/>
      <c r="F44" s="859"/>
    </row>
    <row r="45" spans="1:6" ht="14.25">
      <c r="A45" s="853"/>
      <c r="B45" s="860"/>
      <c r="C45" s="848"/>
      <c r="D45" s="848"/>
      <c r="E45" s="861"/>
      <c r="F45" s="861"/>
    </row>
    <row r="46" spans="1:6" ht="14.25">
      <c r="A46" s="862" t="s">
        <v>5</v>
      </c>
      <c r="B46" s="863">
        <f>H1-1</f>
        <v>2011</v>
      </c>
      <c r="C46" s="817"/>
      <c r="D46" s="817"/>
      <c r="E46" s="859"/>
      <c r="F46" s="859"/>
    </row>
    <row r="47" spans="1:6" ht="14.25">
      <c r="A47" s="851"/>
      <c r="B47" s="863"/>
      <c r="C47" s="848"/>
      <c r="D47" s="848"/>
      <c r="E47" s="802"/>
      <c r="F47" s="797"/>
    </row>
    <row r="48" spans="1:6" ht="14.25">
      <c r="A48" s="864"/>
      <c r="B48" s="797"/>
      <c r="C48" s="817"/>
      <c r="D48" s="817"/>
      <c r="E48" s="817"/>
      <c r="F48" s="817"/>
    </row>
    <row r="49" spans="1:6" ht="14.25">
      <c r="A49" s="865" t="s">
        <v>98</v>
      </c>
      <c r="B49" s="797"/>
      <c r="C49" s="866" t="s">
        <v>97</v>
      </c>
      <c r="D49" s="867"/>
      <c r="E49" s="867"/>
      <c r="F49" s="867"/>
    </row>
    <row r="50" ht="14.25">
      <c r="A50" s="480"/>
    </row>
    <row r="60" spans="1:6" ht="14.25">
      <c r="A60" s="480"/>
      <c r="B60" s="480"/>
      <c r="C60" s="480"/>
      <c r="D60" s="480"/>
      <c r="E60" s="480"/>
      <c r="F60" s="480"/>
    </row>
    <row r="61" spans="1:6" ht="14.25">
      <c r="A61" s="480"/>
      <c r="B61" s="480"/>
      <c r="C61" s="480"/>
      <c r="D61" s="480"/>
      <c r="E61" s="480"/>
      <c r="F61" s="480"/>
    </row>
    <row r="62" spans="1:6" ht="14.25">
      <c r="A62" s="480"/>
      <c r="B62" s="480"/>
      <c r="C62" s="480"/>
      <c r="D62" s="480"/>
      <c r="E62" s="480"/>
      <c r="F62" s="480"/>
    </row>
    <row r="63" spans="1:6" ht="14.25">
      <c r="A63" s="480"/>
      <c r="B63" s="480"/>
      <c r="C63" s="480"/>
      <c r="D63" s="480"/>
      <c r="E63" s="480"/>
      <c r="F63" s="480"/>
    </row>
    <row r="64" spans="1:6" ht="14.25">
      <c r="A64" s="480"/>
      <c r="B64" s="480"/>
      <c r="C64" s="480"/>
      <c r="D64" s="480"/>
      <c r="E64" s="480"/>
      <c r="F64" s="480"/>
    </row>
    <row r="65" spans="1:6" ht="14.25">
      <c r="A65" s="480"/>
      <c r="B65" s="480"/>
      <c r="C65" s="480"/>
      <c r="D65" s="480"/>
      <c r="E65" s="480"/>
      <c r="F65" s="480"/>
    </row>
    <row r="66" spans="1:6" ht="14.25">
      <c r="A66" s="480"/>
      <c r="B66" s="480"/>
      <c r="C66" s="480"/>
      <c r="D66" s="480"/>
      <c r="E66" s="480"/>
      <c r="F66" s="480"/>
    </row>
    <row r="67" spans="1:6" ht="14.25">
      <c r="A67" s="480"/>
      <c r="B67" s="480"/>
      <c r="C67" s="480"/>
      <c r="D67" s="480"/>
      <c r="E67" s="480"/>
      <c r="F67" s="480"/>
    </row>
    <row r="68" spans="1:6" ht="14.25">
      <c r="A68" s="480"/>
      <c r="B68" s="480"/>
      <c r="C68" s="480"/>
      <c r="D68" s="480"/>
      <c r="E68" s="480"/>
      <c r="F68" s="480"/>
    </row>
    <row r="69" spans="1:6" ht="14.25">
      <c r="A69" s="480"/>
      <c r="B69" s="480"/>
      <c r="C69" s="480"/>
      <c r="D69" s="480"/>
      <c r="E69" s="480"/>
      <c r="F69" s="480"/>
    </row>
    <row r="70" spans="1:6" ht="14.25">
      <c r="A70" s="480"/>
      <c r="B70" s="480"/>
      <c r="C70" s="480"/>
      <c r="D70" s="480"/>
      <c r="E70" s="480"/>
      <c r="F70" s="480"/>
    </row>
    <row r="71" spans="1:6" ht="14.25">
      <c r="A71" s="480"/>
      <c r="B71" s="480"/>
      <c r="C71" s="480"/>
      <c r="D71" s="480"/>
      <c r="E71" s="480"/>
      <c r="F71" s="480"/>
    </row>
    <row r="72" spans="1:6" ht="14.25">
      <c r="A72" s="480"/>
      <c r="B72" s="480"/>
      <c r="C72" s="480"/>
      <c r="D72" s="480"/>
      <c r="E72" s="480"/>
      <c r="F72" s="480"/>
    </row>
    <row r="73" spans="1:6" ht="14.25">
      <c r="A73" s="480"/>
      <c r="B73" s="480"/>
      <c r="C73" s="480"/>
      <c r="D73" s="480"/>
      <c r="E73" s="480"/>
      <c r="F73" s="480"/>
    </row>
    <row r="74" spans="1:6" ht="14.25">
      <c r="A74" s="480"/>
      <c r="B74" s="480"/>
      <c r="C74" s="480"/>
      <c r="D74" s="480"/>
      <c r="E74" s="480"/>
      <c r="F74" s="480"/>
    </row>
    <row r="75" spans="1:6" ht="14.25">
      <c r="A75" s="480"/>
      <c r="B75" s="480"/>
      <c r="C75" s="480"/>
      <c r="D75" s="480"/>
      <c r="E75" s="480"/>
      <c r="F75" s="480"/>
    </row>
    <row r="78" spans="1:6" ht="14.25">
      <c r="A78" s="480"/>
      <c r="B78" s="480"/>
      <c r="C78" s="480"/>
      <c r="D78" s="480"/>
      <c r="E78" s="480"/>
      <c r="F78" s="480"/>
    </row>
  </sheetData>
  <sheetProtection/>
  <mergeCells count="4">
    <mergeCell ref="A4:F4"/>
    <mergeCell ref="A2:F2"/>
    <mergeCell ref="C49:F49"/>
    <mergeCell ref="F37:F38"/>
  </mergeCells>
  <printOptions/>
  <pageMargins left="0.5" right="0.5" top="1" bottom="0.5" header="0.5" footer="0.25"/>
  <pageSetup blackAndWhite="1" fitToHeight="1" fitToWidth="1" horizontalDpi="120" verticalDpi="120" orientation="portrait" scale="81" r:id="rId1"/>
  <headerFooter alignWithMargins="0">
    <oddHeader>&amp;RState of Kansas
City
</oddHeader>
    <oddFooter>&amp;C&amp;"Arial,Regular"&amp;11KC - 1&amp;"Courier,Regular"&amp;12
</oddFooter>
  </headerFooter>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B1:F69"/>
  <sheetViews>
    <sheetView zoomScale="80" zoomScaleNormal="80" zoomScalePageLayoutView="0" workbookViewId="0" topLeftCell="A16">
      <selection activeCell="A59" sqref="A59:IV59"/>
    </sheetView>
  </sheetViews>
  <sheetFormatPr defaultColWidth="8.796875" defaultRowHeight="15"/>
  <cols>
    <col min="1" max="1" width="2.3984375" style="396" customWidth="1"/>
    <col min="2" max="2" width="31.09765625" style="396" customWidth="1"/>
    <col min="3" max="5" width="15.796875" style="396" customWidth="1"/>
    <col min="6" max="6" width="16.296875" style="396" customWidth="1"/>
    <col min="7" max="16384" width="8.8984375" style="396" customWidth="1"/>
  </cols>
  <sheetData>
    <row r="1" spans="2:6" ht="14.25">
      <c r="B1" s="447" t="str">
        <f>(inputPrYr!D2)</f>
        <v>Kansas City</v>
      </c>
      <c r="C1" s="448"/>
      <c r="D1" s="448"/>
      <c r="E1" s="448"/>
      <c r="F1" s="449">
        <f>inputPrYr!C5</f>
        <v>2012</v>
      </c>
    </row>
    <row r="2" spans="2:6" ht="14.25">
      <c r="B2" s="448"/>
      <c r="C2" s="448"/>
      <c r="D2" s="448"/>
      <c r="E2" s="448"/>
      <c r="F2" s="450"/>
    </row>
    <row r="3" spans="2:6" ht="15">
      <c r="B3" s="451" t="s">
        <v>171</v>
      </c>
      <c r="C3" s="452"/>
      <c r="D3" s="452"/>
      <c r="E3" s="452"/>
      <c r="F3" s="452"/>
    </row>
    <row r="4" spans="2:6" ht="14.25">
      <c r="B4" s="453" t="s">
        <v>106</v>
      </c>
      <c r="C4" s="354" t="s">
        <v>857</v>
      </c>
      <c r="D4" s="355">
        <v>2011</v>
      </c>
      <c r="E4" s="356" t="s">
        <v>858</v>
      </c>
      <c r="F4" s="356" t="s">
        <v>859</v>
      </c>
    </row>
    <row r="5" spans="2:6" ht="14.25">
      <c r="B5" s="477" t="str">
        <f>(inputPrYr!B25)</f>
        <v>Public Levee Enterprise Fund</v>
      </c>
      <c r="C5" s="357" t="s">
        <v>861</v>
      </c>
      <c r="D5" s="358" t="s">
        <v>860</v>
      </c>
      <c r="E5" s="359" t="s">
        <v>862</v>
      </c>
      <c r="F5" s="357">
        <v>2012</v>
      </c>
    </row>
    <row r="6" spans="2:6" ht="14.25">
      <c r="B6" s="454" t="s">
        <v>223</v>
      </c>
      <c r="C6" s="410">
        <v>935964</v>
      </c>
      <c r="D6" s="410">
        <v>488827</v>
      </c>
      <c r="E6" s="455">
        <f>C33</f>
        <v>707923</v>
      </c>
      <c r="F6" s="455">
        <f>E33</f>
        <v>397675</v>
      </c>
    </row>
    <row r="7" spans="2:6" ht="14.25">
      <c r="B7" s="456" t="s">
        <v>225</v>
      </c>
      <c r="C7" s="457"/>
      <c r="D7" s="457"/>
      <c r="E7" s="457"/>
      <c r="F7" s="457"/>
    </row>
    <row r="8" spans="2:6" ht="14.25">
      <c r="B8" s="367" t="s">
        <v>939</v>
      </c>
      <c r="C8" s="410">
        <v>3950</v>
      </c>
      <c r="D8" s="648">
        <v>6000</v>
      </c>
      <c r="E8" s="410">
        <v>6000</v>
      </c>
      <c r="F8" s="410">
        <v>6000</v>
      </c>
    </row>
    <row r="9" spans="2:6" ht="14.25">
      <c r="B9" s="367" t="s">
        <v>975</v>
      </c>
      <c r="C9" s="410">
        <v>13200</v>
      </c>
      <c r="D9" s="648">
        <v>16600</v>
      </c>
      <c r="E9" s="410">
        <v>10100</v>
      </c>
      <c r="F9" s="410">
        <v>10100</v>
      </c>
    </row>
    <row r="10" spans="2:6" ht="14.25">
      <c r="B10" s="367" t="s">
        <v>1006</v>
      </c>
      <c r="C10" s="410">
        <v>33903</v>
      </c>
      <c r="D10" s="648">
        <v>35000</v>
      </c>
      <c r="E10" s="410">
        <v>25000</v>
      </c>
      <c r="F10" s="410">
        <v>29000</v>
      </c>
    </row>
    <row r="11" spans="2:6" ht="14.25">
      <c r="B11" s="367" t="s">
        <v>1007</v>
      </c>
      <c r="C11" s="410">
        <v>43901</v>
      </c>
      <c r="D11" s="648">
        <v>40000</v>
      </c>
      <c r="E11" s="410">
        <v>44000</v>
      </c>
      <c r="F11" s="410">
        <v>50000</v>
      </c>
    </row>
    <row r="12" spans="2:6" ht="14.25">
      <c r="B12" s="367" t="s">
        <v>1008</v>
      </c>
      <c r="C12" s="410">
        <v>91442</v>
      </c>
      <c r="D12" s="648">
        <v>100000</v>
      </c>
      <c r="E12" s="410">
        <v>85000</v>
      </c>
      <c r="F12" s="410">
        <v>98000</v>
      </c>
    </row>
    <row r="13" spans="2:6" ht="14.25">
      <c r="B13" s="367" t="s">
        <v>1009</v>
      </c>
      <c r="C13" s="410">
        <v>569002</v>
      </c>
      <c r="D13" s="648">
        <v>600000</v>
      </c>
      <c r="E13" s="410">
        <v>575000</v>
      </c>
      <c r="F13" s="410">
        <v>660000</v>
      </c>
    </row>
    <row r="14" spans="2:6" ht="14.25">
      <c r="B14" s="367" t="s">
        <v>1010</v>
      </c>
      <c r="C14" s="410">
        <v>107309</v>
      </c>
      <c r="D14" s="648">
        <v>78000</v>
      </c>
      <c r="E14" s="410">
        <v>108000</v>
      </c>
      <c r="F14" s="410">
        <v>120000</v>
      </c>
    </row>
    <row r="15" spans="2:6" ht="14.25">
      <c r="B15" s="367" t="s">
        <v>1011</v>
      </c>
      <c r="C15" s="410">
        <v>0</v>
      </c>
      <c r="D15" s="648">
        <v>2000</v>
      </c>
      <c r="E15" s="410">
        <v>0</v>
      </c>
      <c r="F15" s="410">
        <v>0</v>
      </c>
    </row>
    <row r="16" spans="2:6" ht="14.25">
      <c r="B16" s="367" t="s">
        <v>945</v>
      </c>
      <c r="C16" s="410">
        <v>1390</v>
      </c>
      <c r="D16" s="648">
        <v>0</v>
      </c>
      <c r="E16" s="410">
        <v>0</v>
      </c>
      <c r="F16" s="410">
        <v>0</v>
      </c>
    </row>
    <row r="17" spans="2:6" ht="14.25">
      <c r="B17" s="367" t="s">
        <v>1012</v>
      </c>
      <c r="C17" s="410">
        <v>5215</v>
      </c>
      <c r="D17" s="648">
        <v>0</v>
      </c>
      <c r="E17" s="410">
        <v>0</v>
      </c>
      <c r="F17" s="410">
        <v>0</v>
      </c>
    </row>
    <row r="18" spans="2:6" ht="14.25">
      <c r="B18" s="458" t="s">
        <v>16</v>
      </c>
      <c r="C18" s="410">
        <v>0</v>
      </c>
      <c r="D18" s="648">
        <v>0</v>
      </c>
      <c r="E18" s="459">
        <v>0</v>
      </c>
      <c r="F18" s="459">
        <v>0</v>
      </c>
    </row>
    <row r="19" spans="2:6" ht="15.75">
      <c r="B19" s="454" t="s">
        <v>804</v>
      </c>
      <c r="C19" s="413">
        <f>IF(C20*0.1&lt;C18,"Exceed 10% Rule","")</f>
      </c>
      <c r="D19" s="94">
        <f>IF(D20*0.1&lt;D18,"Exceed 10% Rule","")</f>
      </c>
      <c r="E19" s="460">
        <f>IF(E20*0.1&lt;E18,"Exceed 10% Rule","")</f>
      </c>
      <c r="F19" s="460">
        <f>IF(F20*0.1&lt;F18,"Exceed 10% Rule","")</f>
      </c>
    </row>
    <row r="20" spans="2:6" ht="15">
      <c r="B20" s="461" t="s">
        <v>111</v>
      </c>
      <c r="C20" s="649">
        <f>SUM(C8:C18)</f>
        <v>869312</v>
      </c>
      <c r="D20" s="649">
        <f>SUM(D8:D18)</f>
        <v>877600</v>
      </c>
      <c r="E20" s="462">
        <f>SUM(E8:E18)</f>
        <v>853100</v>
      </c>
      <c r="F20" s="462">
        <f>SUM(F8:F18)</f>
        <v>973100</v>
      </c>
    </row>
    <row r="21" spans="2:6" ht="15">
      <c r="B21" s="461" t="s">
        <v>112</v>
      </c>
      <c r="C21" s="648">
        <f>C6+C20</f>
        <v>1805276</v>
      </c>
      <c r="D21" s="648">
        <f>D6+D20</f>
        <v>1366427</v>
      </c>
      <c r="E21" s="648">
        <f>E6+E20</f>
        <v>1561023</v>
      </c>
      <c r="F21" s="648">
        <f>F6+F20</f>
        <v>1370775</v>
      </c>
    </row>
    <row r="22" spans="2:6" ht="14.25">
      <c r="B22" s="463" t="s">
        <v>113</v>
      </c>
      <c r="C22" s="455"/>
      <c r="D22" s="648"/>
      <c r="E22" s="455"/>
      <c r="F22" s="455"/>
    </row>
    <row r="23" spans="2:6" ht="14.25">
      <c r="B23" s="371" t="s">
        <v>962</v>
      </c>
      <c r="C23" s="410">
        <v>327287</v>
      </c>
      <c r="D23" s="648">
        <v>445403</v>
      </c>
      <c r="E23" s="410">
        <v>340000</v>
      </c>
      <c r="F23" s="410">
        <v>340000</v>
      </c>
    </row>
    <row r="24" spans="2:6" ht="14.25">
      <c r="B24" s="371" t="s">
        <v>963</v>
      </c>
      <c r="C24" s="410">
        <v>270925</v>
      </c>
      <c r="D24" s="648">
        <v>321306</v>
      </c>
      <c r="E24" s="410">
        <v>260306</v>
      </c>
      <c r="F24" s="410">
        <v>260306</v>
      </c>
    </row>
    <row r="25" spans="2:6" ht="14.25">
      <c r="B25" s="371" t="s">
        <v>964</v>
      </c>
      <c r="C25" s="410">
        <v>86372</v>
      </c>
      <c r="D25" s="648">
        <v>124638</v>
      </c>
      <c r="E25" s="410">
        <v>124638</v>
      </c>
      <c r="F25" s="410">
        <v>124638</v>
      </c>
    </row>
    <row r="26" spans="2:6" ht="14.25">
      <c r="B26" s="371" t="s">
        <v>965</v>
      </c>
      <c r="C26" s="410">
        <v>95085</v>
      </c>
      <c r="D26" s="648">
        <v>95085</v>
      </c>
      <c r="E26" s="410">
        <v>95085</v>
      </c>
      <c r="F26" s="410">
        <v>95085</v>
      </c>
    </row>
    <row r="27" spans="2:6" ht="14.25">
      <c r="B27" s="371" t="s">
        <v>991</v>
      </c>
      <c r="C27" s="410">
        <v>289118</v>
      </c>
      <c r="D27" s="648">
        <f>701-701+287618</f>
        <v>287618</v>
      </c>
      <c r="E27" s="410">
        <v>287618</v>
      </c>
      <c r="F27" s="410">
        <v>290793</v>
      </c>
    </row>
    <row r="28" spans="2:6" ht="14.25">
      <c r="B28" s="371" t="s">
        <v>1013</v>
      </c>
      <c r="C28" s="410">
        <v>0</v>
      </c>
      <c r="D28" s="648">
        <v>0</v>
      </c>
      <c r="E28" s="410">
        <v>0</v>
      </c>
      <c r="F28" s="410">
        <v>0</v>
      </c>
    </row>
    <row r="29" spans="2:6" ht="14.25">
      <c r="B29" s="371" t="s">
        <v>966</v>
      </c>
      <c r="C29" s="410">
        <v>28566</v>
      </c>
      <c r="D29" s="648">
        <v>30000</v>
      </c>
      <c r="E29" s="410">
        <v>30000</v>
      </c>
      <c r="F29" s="410">
        <v>30000</v>
      </c>
    </row>
    <row r="30" spans="2:6" ht="14.25">
      <c r="B30" s="464" t="s">
        <v>16</v>
      </c>
      <c r="C30" s="410"/>
      <c r="D30" s="648">
        <f>25000+701</f>
        <v>25701</v>
      </c>
      <c r="E30" s="459">
        <v>25701</v>
      </c>
      <c r="F30" s="459">
        <v>25701</v>
      </c>
    </row>
    <row r="31" spans="2:6" ht="14.25">
      <c r="B31" s="464" t="s">
        <v>805</v>
      </c>
      <c r="C31" s="421">
        <f>IF(C32*0.1&lt;C30,"Exceed 10% Rule","")</f>
      </c>
      <c r="D31" s="473"/>
      <c r="E31" s="473">
        <f>IF(E32*0.1&lt;E30,"Exceed 10% Rule","")</f>
      </c>
      <c r="F31" s="473">
        <f>IF(F32*0.1&lt;F30,"Exceed 10% Rule","")</f>
      </c>
    </row>
    <row r="32" spans="2:6" ht="15">
      <c r="B32" s="461" t="s">
        <v>117</v>
      </c>
      <c r="C32" s="462">
        <f>SUM(C23:C30)</f>
        <v>1097353</v>
      </c>
      <c r="D32" s="462">
        <f>SUM(D23:D30)</f>
        <v>1329751</v>
      </c>
      <c r="E32" s="462">
        <f>SUM(E23:E30)</f>
        <v>1163348</v>
      </c>
      <c r="F32" s="462">
        <f>SUM(F23:F30)</f>
        <v>1166523</v>
      </c>
    </row>
    <row r="33" spans="2:6" ht="14.25">
      <c r="B33" s="463" t="s">
        <v>224</v>
      </c>
      <c r="C33" s="455">
        <f>C21-C32</f>
        <v>707923</v>
      </c>
      <c r="D33" s="648">
        <f>D21-D32</f>
        <v>36676</v>
      </c>
      <c r="E33" s="455">
        <f>E21-E32</f>
        <v>397675</v>
      </c>
      <c r="F33" s="455">
        <f>F21-F32</f>
        <v>204252</v>
      </c>
    </row>
    <row r="34" spans="2:6" ht="15">
      <c r="B34" s="465" t="str">
        <f>CONCATENATE("",F1-2,"/",F1-1," Budget Authority Amount:")</f>
        <v>2010/2011 Budget Authority Amount:</v>
      </c>
      <c r="C34" s="466">
        <f>inputOth!B54</f>
        <v>1330237</v>
      </c>
      <c r="D34" s="648"/>
      <c r="E34" s="466">
        <f>inputPrYr!D25</f>
        <v>1163348</v>
      </c>
      <c r="F34" s="467">
        <f>IF(F33&lt;0,"See Tab E","")</f>
      </c>
    </row>
    <row r="35" spans="2:6" ht="15">
      <c r="B35" s="465"/>
      <c r="C35" s="468">
        <f>IF(C32&gt;C34,"See Tab A","")</f>
      </c>
      <c r="D35" s="468"/>
      <c r="E35" s="468">
        <f>IF(E32&gt;E34,"See Tab C","")</f>
      </c>
      <c r="F35" s="469"/>
    </row>
    <row r="36" spans="2:6" ht="15">
      <c r="B36" s="465"/>
      <c r="C36" s="468">
        <f>IF(C33&lt;0,"See Tab B","")</f>
      </c>
      <c r="D36" s="468"/>
      <c r="E36" s="468">
        <f>IF(E33&lt;0,"See Tab D","")</f>
      </c>
      <c r="F36" s="469"/>
    </row>
    <row r="37" spans="2:6" ht="14.25">
      <c r="B37" s="448"/>
      <c r="C37" s="469"/>
      <c r="D37" s="469"/>
      <c r="E37" s="469"/>
      <c r="F37" s="469"/>
    </row>
    <row r="38" spans="2:6" ht="14.25">
      <c r="B38" s="453" t="s">
        <v>106</v>
      </c>
      <c r="C38" s="470"/>
      <c r="D38" s="470"/>
      <c r="E38" s="470"/>
      <c r="F38" s="470"/>
    </row>
    <row r="39" spans="2:6" ht="14.25">
      <c r="B39" s="448"/>
      <c r="C39" s="354" t="s">
        <v>857</v>
      </c>
      <c r="D39" s="355">
        <v>2011</v>
      </c>
      <c r="E39" s="356" t="s">
        <v>858</v>
      </c>
      <c r="F39" s="356" t="s">
        <v>859</v>
      </c>
    </row>
    <row r="40" spans="2:6" ht="14.25">
      <c r="B40" s="477" t="str">
        <f>(inputPrYr!B26)</f>
        <v>Sunflower Hills Golf Course</v>
      </c>
      <c r="C40" s="357" t="s">
        <v>861</v>
      </c>
      <c r="D40" s="358" t="s">
        <v>860</v>
      </c>
      <c r="E40" s="359" t="s">
        <v>862</v>
      </c>
      <c r="F40" s="357">
        <v>2012</v>
      </c>
    </row>
    <row r="41" spans="2:6" ht="14.25">
      <c r="B41" s="454" t="s">
        <v>223</v>
      </c>
      <c r="C41" s="455">
        <v>66525</v>
      </c>
      <c r="D41" s="455">
        <v>55467</v>
      </c>
      <c r="E41" s="455">
        <f>C64</f>
        <v>13571</v>
      </c>
      <c r="F41" s="455">
        <f>E64</f>
        <v>1836</v>
      </c>
    </row>
    <row r="42" spans="2:6" ht="14.25">
      <c r="B42" s="456" t="s">
        <v>225</v>
      </c>
      <c r="C42" s="457"/>
      <c r="D42" s="457"/>
      <c r="E42" s="457"/>
      <c r="F42" s="457"/>
    </row>
    <row r="43" spans="2:6" ht="14.25">
      <c r="B43" s="342" t="s">
        <v>1014</v>
      </c>
      <c r="C43" s="457">
        <v>10614</v>
      </c>
      <c r="D43" s="648">
        <v>10500</v>
      </c>
      <c r="E43" s="457">
        <v>10500</v>
      </c>
      <c r="F43" s="457">
        <v>10500</v>
      </c>
    </row>
    <row r="44" spans="2:6" ht="14.25">
      <c r="B44" s="342" t="s">
        <v>1015</v>
      </c>
      <c r="C44" s="457">
        <v>404691</v>
      </c>
      <c r="D44" s="457">
        <v>449000</v>
      </c>
      <c r="E44" s="457">
        <f>450000+5000</f>
        <v>455000</v>
      </c>
      <c r="F44" s="457">
        <v>475000</v>
      </c>
    </row>
    <row r="45" spans="2:6" ht="14.25">
      <c r="B45" s="342" t="s">
        <v>1016</v>
      </c>
      <c r="C45" s="457">
        <v>251922</v>
      </c>
      <c r="D45" s="457">
        <v>266800</v>
      </c>
      <c r="E45" s="457">
        <v>268500</v>
      </c>
      <c r="F45" s="457">
        <v>273500</v>
      </c>
    </row>
    <row r="46" spans="2:6" ht="14.25">
      <c r="B46" s="342" t="s">
        <v>1017</v>
      </c>
      <c r="C46" s="457">
        <v>2669</v>
      </c>
      <c r="D46" s="648">
        <v>3000</v>
      </c>
      <c r="E46" s="457">
        <v>3000</v>
      </c>
      <c r="F46" s="457">
        <v>3000</v>
      </c>
    </row>
    <row r="47" spans="2:6" ht="14.25">
      <c r="B47" s="342" t="s">
        <v>975</v>
      </c>
      <c r="C47" s="457">
        <v>-1374</v>
      </c>
      <c r="D47" s="648">
        <v>1000</v>
      </c>
      <c r="E47" s="457">
        <v>100</v>
      </c>
      <c r="F47" s="457">
        <v>100</v>
      </c>
    </row>
    <row r="48" spans="2:6" ht="14.25">
      <c r="B48" s="342" t="s">
        <v>1018</v>
      </c>
      <c r="C48" s="457">
        <v>0</v>
      </c>
      <c r="D48" s="648">
        <v>0</v>
      </c>
      <c r="E48" s="457">
        <v>0</v>
      </c>
      <c r="F48" s="457">
        <v>0</v>
      </c>
    </row>
    <row r="49" spans="2:6" ht="14.25">
      <c r="B49" s="342" t="s">
        <v>1019</v>
      </c>
      <c r="C49" s="457">
        <v>0</v>
      </c>
      <c r="D49" s="648">
        <v>0</v>
      </c>
      <c r="E49" s="457">
        <v>0</v>
      </c>
      <c r="F49" s="457">
        <v>0</v>
      </c>
    </row>
    <row r="50" spans="2:6" ht="14.25">
      <c r="B50" s="458" t="s">
        <v>16</v>
      </c>
      <c r="C50" s="410">
        <v>0</v>
      </c>
      <c r="D50" s="648">
        <v>75000</v>
      </c>
      <c r="E50" s="459">
        <v>80000</v>
      </c>
      <c r="F50" s="459">
        <v>50000</v>
      </c>
    </row>
    <row r="51" spans="2:6" ht="15.75">
      <c r="B51" s="454" t="s">
        <v>804</v>
      </c>
      <c r="C51" s="413">
        <f>IF(C52*0.1&lt;C50,"Exceed 10% Rule","")</f>
      </c>
      <c r="D51" s="94">
        <f>IF(D52*0.1&lt;D50,"Exceed 10% Rule","")</f>
      </c>
      <c r="E51" s="460">
        <f>IF(E52*0.1&lt;E50,"Exceed 10% Rule","")</f>
      </c>
      <c r="F51" s="460">
        <f>IF(F52*0.1&lt;F50,"Exceed 10% Rule","")</f>
      </c>
    </row>
    <row r="52" spans="2:6" ht="15">
      <c r="B52" s="461" t="s">
        <v>111</v>
      </c>
      <c r="C52" s="651">
        <f>SUM(C43:C50)</f>
        <v>668522</v>
      </c>
      <c r="D52" s="651">
        <f>SUM(D43:D50)</f>
        <v>805300</v>
      </c>
      <c r="E52" s="651">
        <f>SUM(E43:E50)</f>
        <v>817100</v>
      </c>
      <c r="F52" s="651">
        <f>SUM(F43:F50)</f>
        <v>812100</v>
      </c>
    </row>
    <row r="53" spans="2:6" ht="15">
      <c r="B53" s="461" t="s">
        <v>112</v>
      </c>
      <c r="C53" s="462">
        <f>C41+C52</f>
        <v>735047</v>
      </c>
      <c r="D53" s="457">
        <f>D41+D52</f>
        <v>860767</v>
      </c>
      <c r="E53" s="462">
        <f>E41+E52</f>
        <v>830671</v>
      </c>
      <c r="F53" s="462">
        <f>F41+F52</f>
        <v>813936</v>
      </c>
    </row>
    <row r="54" spans="2:6" ht="14.25">
      <c r="B54" s="463" t="s">
        <v>113</v>
      </c>
      <c r="C54" s="455"/>
      <c r="D54" s="457"/>
      <c r="E54" s="455"/>
      <c r="F54" s="455"/>
    </row>
    <row r="55" spans="2:6" ht="14.25">
      <c r="B55" s="391" t="s">
        <v>962</v>
      </c>
      <c r="C55" s="410">
        <v>259303</v>
      </c>
      <c r="D55" s="457">
        <v>278285</v>
      </c>
      <c r="E55" s="410">
        <v>245000</v>
      </c>
      <c r="F55" s="410">
        <v>245000</v>
      </c>
    </row>
    <row r="56" spans="2:6" ht="14.25">
      <c r="B56" s="391" t="s">
        <v>963</v>
      </c>
      <c r="C56" s="410">
        <v>145974</v>
      </c>
      <c r="D56" s="457">
        <v>166945</v>
      </c>
      <c r="E56" s="410">
        <v>166945</v>
      </c>
      <c r="F56" s="410">
        <v>156945</v>
      </c>
    </row>
    <row r="57" spans="2:6" ht="14.25">
      <c r="B57" s="391" t="s">
        <v>964</v>
      </c>
      <c r="C57" s="410">
        <v>117561</v>
      </c>
      <c r="D57" s="457">
        <v>125879</v>
      </c>
      <c r="E57" s="410">
        <v>139177</v>
      </c>
      <c r="F57" s="410">
        <v>131855</v>
      </c>
    </row>
    <row r="58" spans="2:6" ht="14.25">
      <c r="B58" s="391" t="s">
        <v>965</v>
      </c>
      <c r="C58" s="410">
        <v>0</v>
      </c>
      <c r="D58" s="457">
        <v>0</v>
      </c>
      <c r="E58" s="410">
        <v>0</v>
      </c>
      <c r="F58" s="410">
        <v>0</v>
      </c>
    </row>
    <row r="59" spans="2:6" ht="14.25">
      <c r="B59" s="391" t="s">
        <v>991</v>
      </c>
      <c r="C59" s="410">
        <v>155413</v>
      </c>
      <c r="D59" s="457">
        <v>232713</v>
      </c>
      <c r="E59" s="410">
        <v>197713</v>
      </c>
      <c r="F59" s="410">
        <v>232613</v>
      </c>
    </row>
    <row r="60" spans="2:6" ht="14.25">
      <c r="B60" s="391" t="s">
        <v>966</v>
      </c>
      <c r="C60" s="410">
        <v>43225</v>
      </c>
      <c r="D60" s="457">
        <v>20000</v>
      </c>
      <c r="E60" s="410">
        <v>20000</v>
      </c>
      <c r="F60" s="410">
        <v>20000</v>
      </c>
    </row>
    <row r="61" spans="2:6" ht="14.25">
      <c r="B61" s="464" t="s">
        <v>16</v>
      </c>
      <c r="C61" s="410">
        <v>0</v>
      </c>
      <c r="D61" s="457">
        <v>25000</v>
      </c>
      <c r="E61" s="459">
        <v>60000</v>
      </c>
      <c r="F61" s="459">
        <v>25000</v>
      </c>
    </row>
    <row r="62" spans="2:6" ht="14.25">
      <c r="B62" s="464" t="s">
        <v>805</v>
      </c>
      <c r="C62" s="413">
        <f>IF(C63*0.1&lt;C61,"Exceed 10% Rule","")</f>
      </c>
      <c r="D62" s="460"/>
      <c r="E62" s="460">
        <f>IF(E63*0.1&lt;E61,"Exceed 10% Rule","")</f>
      </c>
      <c r="F62" s="460">
        <f>IF(F63*0.1&lt;F61,"Exceed 10% Rule","")</f>
      </c>
    </row>
    <row r="63" spans="2:6" ht="15">
      <c r="B63" s="461" t="s">
        <v>117</v>
      </c>
      <c r="C63" s="462">
        <f>SUM(C55:C61)</f>
        <v>721476</v>
      </c>
      <c r="D63" s="651">
        <f>SUM(D55:D61)</f>
        <v>848822</v>
      </c>
      <c r="E63" s="462">
        <f>SUM(E55:E61)</f>
        <v>828835</v>
      </c>
      <c r="F63" s="462">
        <f>SUM(F55:F61)</f>
        <v>811413</v>
      </c>
    </row>
    <row r="64" spans="2:6" ht="14.25">
      <c r="B64" s="463" t="s">
        <v>224</v>
      </c>
      <c r="C64" s="455">
        <f>C53-C63</f>
        <v>13571</v>
      </c>
      <c r="D64" s="457">
        <f>D53-D63</f>
        <v>11945</v>
      </c>
      <c r="E64" s="455">
        <f>E53-E63</f>
        <v>1836</v>
      </c>
      <c r="F64" s="455">
        <f>F53-F63</f>
        <v>2523</v>
      </c>
    </row>
    <row r="65" spans="2:6" ht="15">
      <c r="B65" s="465" t="str">
        <f>CONCATENATE("",F1-2,"/",F1-1," Budget Authority Amount:")</f>
        <v>2010/2011 Budget Authority Amount:</v>
      </c>
      <c r="C65" s="466">
        <f>inputOth!B55</f>
        <v>787858</v>
      </c>
      <c r="D65" s="466"/>
      <c r="E65" s="466">
        <f>inputPrYr!D26</f>
        <v>828835</v>
      </c>
      <c r="F65" s="467">
        <f>IF(F64&lt;0,"See Tab E","")</f>
      </c>
    </row>
    <row r="66" spans="2:6" ht="15">
      <c r="B66" s="465"/>
      <c r="C66" s="468">
        <f>IF(C63&gt;C65,"See Tab A","")</f>
      </c>
      <c r="D66" s="468"/>
      <c r="E66" s="468">
        <f>IF(E63&gt;E65,"See Tab C","")</f>
      </c>
      <c r="F66" s="448"/>
    </row>
    <row r="67" spans="2:6" ht="15">
      <c r="B67" s="465"/>
      <c r="C67" s="468">
        <f>IF(C64&lt;0,"See Tab B","")</f>
      </c>
      <c r="D67" s="468"/>
      <c r="E67" s="468">
        <f>IF(E64&lt;0,"See Tab D","")</f>
      </c>
      <c r="F67" s="448"/>
    </row>
    <row r="68" spans="2:6" ht="14.25">
      <c r="B68" s="448"/>
      <c r="C68" s="448"/>
      <c r="D68" s="448"/>
      <c r="E68" s="448"/>
      <c r="F68" s="448"/>
    </row>
    <row r="69" spans="2:6" ht="14.25">
      <c r="B69" s="397"/>
      <c r="C69" s="471"/>
      <c r="D69" s="471"/>
      <c r="E69" s="448"/>
      <c r="F69" s="448"/>
    </row>
  </sheetData>
  <sheetProtection/>
  <conditionalFormatting sqref="C18:D18">
    <cfRule type="cellIs" priority="12" dxfId="114" operator="greaterThan" stopIfTrue="1">
      <formula>$C$20*0.1</formula>
    </cfRule>
  </conditionalFormatting>
  <conditionalFormatting sqref="E18">
    <cfRule type="cellIs" priority="13" dxfId="114" operator="greaterThan" stopIfTrue="1">
      <formula>$E$20*0.1</formula>
    </cfRule>
  </conditionalFormatting>
  <conditionalFormatting sqref="F18 D18">
    <cfRule type="cellIs" priority="14" dxfId="114" operator="greaterThan" stopIfTrue="1">
      <formula>$F$20*0.1</formula>
    </cfRule>
  </conditionalFormatting>
  <conditionalFormatting sqref="C30">
    <cfRule type="cellIs" priority="15" dxfId="114" operator="greaterThan" stopIfTrue="1">
      <formula>$C$32*0.1</formula>
    </cfRule>
  </conditionalFormatting>
  <conditionalFormatting sqref="E30">
    <cfRule type="cellIs" priority="16" dxfId="114" operator="greaterThan" stopIfTrue="1">
      <formula>$E$32*0.1</formula>
    </cfRule>
  </conditionalFormatting>
  <conditionalFormatting sqref="F30">
    <cfRule type="cellIs" priority="17" dxfId="114" operator="greaterThan" stopIfTrue="1">
      <formula>$F$32*0.1</formula>
    </cfRule>
  </conditionalFormatting>
  <conditionalFormatting sqref="C50:D50">
    <cfRule type="cellIs" priority="18" dxfId="114" operator="greaterThan" stopIfTrue="1">
      <formula>$C$52*0.1</formula>
    </cfRule>
  </conditionalFormatting>
  <conditionalFormatting sqref="E50">
    <cfRule type="cellIs" priority="19" dxfId="114" operator="greaterThan" stopIfTrue="1">
      <formula>$E$52*0.1</formula>
    </cfRule>
  </conditionalFormatting>
  <conditionalFormatting sqref="F50">
    <cfRule type="cellIs" priority="20" dxfId="114" operator="greaterThan" stopIfTrue="1">
      <formula>$F$52*0.1</formula>
    </cfRule>
  </conditionalFormatting>
  <conditionalFormatting sqref="E61">
    <cfRule type="cellIs" priority="22" dxfId="114" operator="greaterThan" stopIfTrue="1">
      <formula>$E$63*0.1</formula>
    </cfRule>
  </conditionalFormatting>
  <conditionalFormatting sqref="F61">
    <cfRule type="cellIs" priority="23" dxfId="114" operator="greaterThan" stopIfTrue="1">
      <formula>$F$63*0.1</formula>
    </cfRule>
  </conditionalFormatting>
  <conditionalFormatting sqref="E63">
    <cfRule type="cellIs" priority="24" dxfId="1" operator="greaterThan" stopIfTrue="1">
      <formula>$E$65</formula>
    </cfRule>
  </conditionalFormatting>
  <conditionalFormatting sqref="C63">
    <cfRule type="cellIs" priority="25" dxfId="1" operator="greaterThan" stopIfTrue="1">
      <formula>$C$65</formula>
    </cfRule>
  </conditionalFormatting>
  <conditionalFormatting sqref="F64 F33 C33 C64">
    <cfRule type="cellIs" priority="26" dxfId="1" operator="lessThan" stopIfTrue="1">
      <formula>0</formula>
    </cfRule>
  </conditionalFormatting>
  <conditionalFormatting sqref="E32">
    <cfRule type="cellIs" priority="27" dxfId="1" operator="greaterThan" stopIfTrue="1">
      <formula>$E$34</formula>
    </cfRule>
  </conditionalFormatting>
  <conditionalFormatting sqref="C32:D32">
    <cfRule type="cellIs" priority="28" dxfId="1" operator="greaterThan" stopIfTrue="1">
      <formula>$C$34</formula>
    </cfRule>
  </conditionalFormatting>
  <conditionalFormatting sqref="E64 E33">
    <cfRule type="cellIs" priority="11" dxfId="0" operator="lessThan" stopIfTrue="1">
      <formula>0</formula>
    </cfRule>
  </conditionalFormatting>
  <conditionalFormatting sqref="C28">
    <cfRule type="cellIs" priority="7" dxfId="114" operator="greaterThan" stopIfTrue="1">
      <formula>$C$32*0.1</formula>
    </cfRule>
  </conditionalFormatting>
  <conditionalFormatting sqref="D50">
    <cfRule type="cellIs" priority="6" dxfId="114" operator="greaterThan" stopIfTrue="1">
      <formula>$F$52*0.1</formula>
    </cfRule>
  </conditionalFormatting>
  <conditionalFormatting sqref="D43 D46:D50">
    <cfRule type="cellIs" priority="4" dxfId="114" operator="greaterThan" stopIfTrue="1">
      <formula>$C$20*0.1</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oddHeader>
    <oddFooter>&amp;C&amp;"Arial,Regular"&amp;10KC - &amp;P</oddFooter>
  </headerFooter>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B1:F60"/>
  <sheetViews>
    <sheetView zoomScale="80" zoomScaleNormal="80" zoomScalePageLayoutView="0" workbookViewId="0" topLeftCell="A13">
      <selection activeCell="H43" sqref="H43"/>
    </sheetView>
  </sheetViews>
  <sheetFormatPr defaultColWidth="8.796875" defaultRowHeight="15"/>
  <cols>
    <col min="1" max="1" width="2.3984375" style="396" customWidth="1"/>
    <col min="2" max="2" width="31.09765625" style="396" customWidth="1"/>
    <col min="3" max="5" width="15.796875" style="396" customWidth="1"/>
    <col min="6" max="6" width="16.09765625" style="396" customWidth="1"/>
    <col min="7" max="16384" width="8.8984375" style="396" customWidth="1"/>
  </cols>
  <sheetData>
    <row r="1" spans="2:6" ht="14.25">
      <c r="B1" s="447" t="str">
        <f>(inputPrYr!D2)</f>
        <v>Kansas City</v>
      </c>
      <c r="C1" s="448"/>
      <c r="D1" s="448"/>
      <c r="E1" s="448"/>
      <c r="F1" s="449">
        <f>inputPrYr!C5</f>
        <v>2012</v>
      </c>
    </row>
    <row r="2" spans="2:6" ht="14.25">
      <c r="B2" s="448"/>
      <c r="C2" s="448"/>
      <c r="D2" s="448"/>
      <c r="E2" s="448"/>
      <c r="F2" s="450"/>
    </row>
    <row r="3" spans="2:6" ht="15">
      <c r="B3" s="451" t="s">
        <v>171</v>
      </c>
      <c r="C3" s="452"/>
      <c r="D3" s="452"/>
      <c r="E3" s="452"/>
      <c r="F3" s="452"/>
    </row>
    <row r="4" spans="2:6" ht="14.25">
      <c r="B4" s="453" t="s">
        <v>106</v>
      </c>
      <c r="C4" s="354" t="s">
        <v>857</v>
      </c>
      <c r="D4" s="355">
        <v>2011</v>
      </c>
      <c r="E4" s="356" t="s">
        <v>858</v>
      </c>
      <c r="F4" s="356" t="s">
        <v>859</v>
      </c>
    </row>
    <row r="5" spans="2:6" ht="14.25">
      <c r="B5" s="477" t="str">
        <f>(inputPrYr!B27)</f>
        <v>Special Parks and Recreation</v>
      </c>
      <c r="C5" s="357" t="s">
        <v>861</v>
      </c>
      <c r="D5" s="358" t="s">
        <v>860</v>
      </c>
      <c r="E5" s="359" t="s">
        <v>862</v>
      </c>
      <c r="F5" s="357">
        <v>2012</v>
      </c>
    </row>
    <row r="6" spans="2:6" ht="14.25">
      <c r="B6" s="454" t="s">
        <v>223</v>
      </c>
      <c r="C6" s="410">
        <v>266003</v>
      </c>
      <c r="D6" s="410">
        <v>124872</v>
      </c>
      <c r="E6" s="455">
        <f>C26</f>
        <v>173147</v>
      </c>
      <c r="F6" s="455">
        <f>E26</f>
        <v>64903</v>
      </c>
    </row>
    <row r="7" spans="2:6" ht="14.25">
      <c r="B7" s="456" t="s">
        <v>225</v>
      </c>
      <c r="C7" s="457"/>
      <c r="D7" s="457"/>
      <c r="E7" s="457"/>
      <c r="F7" s="457"/>
    </row>
    <row r="8" spans="2:6" ht="14.25">
      <c r="B8" s="474" t="s">
        <v>880</v>
      </c>
      <c r="C8" s="410">
        <v>391219</v>
      </c>
      <c r="D8" s="645">
        <v>418200</v>
      </c>
      <c r="E8" s="410">
        <v>416000</v>
      </c>
      <c r="F8" s="410">
        <v>436000</v>
      </c>
    </row>
    <row r="9" spans="2:6" ht="14.25">
      <c r="B9" s="474" t="s">
        <v>1020</v>
      </c>
      <c r="C9" s="410">
        <v>0</v>
      </c>
      <c r="D9" s="645">
        <v>0</v>
      </c>
      <c r="E9" s="410">
        <v>0</v>
      </c>
      <c r="F9" s="410">
        <v>0</v>
      </c>
    </row>
    <row r="10" spans="2:6" ht="14.25">
      <c r="B10" s="474" t="s">
        <v>1012</v>
      </c>
      <c r="C10" s="410">
        <v>0</v>
      </c>
      <c r="D10" s="645">
        <v>0</v>
      </c>
      <c r="E10" s="410">
        <v>0</v>
      </c>
      <c r="F10" s="410">
        <v>0</v>
      </c>
    </row>
    <row r="11" spans="2:6" ht="14.25">
      <c r="B11" s="458" t="s">
        <v>16</v>
      </c>
      <c r="C11" s="410">
        <v>0</v>
      </c>
      <c r="D11" s="645">
        <v>0</v>
      </c>
      <c r="E11" s="459">
        <v>0</v>
      </c>
      <c r="F11" s="459">
        <v>0</v>
      </c>
    </row>
    <row r="12" spans="2:6" ht="15.75">
      <c r="B12" s="454" t="s">
        <v>804</v>
      </c>
      <c r="C12" s="413">
        <f>IF(C13*0.1&lt;C11,"Exceed 10% Rule","")</f>
      </c>
      <c r="D12" s="94">
        <f>IF(D13*0.1&lt;D11,"Exceed 10% Rule","")</f>
      </c>
      <c r="E12" s="460">
        <f>IF(E13*0.1&lt;E11,"Exceed 10% Rule","")</f>
      </c>
      <c r="F12" s="460">
        <f>IF(F13*0.1&lt;F11,"Exceed 10% Rule","")</f>
      </c>
    </row>
    <row r="13" spans="2:6" ht="15">
      <c r="B13" s="461" t="s">
        <v>111</v>
      </c>
      <c r="C13" s="462">
        <f>SUM(C8:C11)</f>
        <v>391219</v>
      </c>
      <c r="D13" s="646">
        <f>SUM(D8:D11)</f>
        <v>418200</v>
      </c>
      <c r="E13" s="462">
        <f>SUM(E8:E11)</f>
        <v>416000</v>
      </c>
      <c r="F13" s="462">
        <f>SUM(F8:F11)</f>
        <v>436000</v>
      </c>
    </row>
    <row r="14" spans="2:6" ht="15">
      <c r="B14" s="461" t="s">
        <v>112</v>
      </c>
      <c r="C14" s="462">
        <f>C6+C13</f>
        <v>657222</v>
      </c>
      <c r="D14" s="646">
        <f>D6+D13</f>
        <v>543072</v>
      </c>
      <c r="E14" s="462">
        <f>E6+E13</f>
        <v>589147</v>
      </c>
      <c r="F14" s="462">
        <f>F6+F13</f>
        <v>500903</v>
      </c>
    </row>
    <row r="15" spans="2:6" ht="15.75">
      <c r="B15" s="463" t="s">
        <v>113</v>
      </c>
      <c r="C15" s="455"/>
      <c r="D15" s="90"/>
      <c r="E15" s="455"/>
      <c r="F15" s="455"/>
    </row>
    <row r="16" spans="2:6" ht="14.25">
      <c r="B16" s="475" t="s">
        <v>962</v>
      </c>
      <c r="C16" s="410">
        <v>176225</v>
      </c>
      <c r="D16" s="645">
        <v>180736</v>
      </c>
      <c r="E16" s="410">
        <v>185384</v>
      </c>
      <c r="F16" s="410">
        <v>185384</v>
      </c>
    </row>
    <row r="17" spans="2:6" ht="14.25">
      <c r="B17" s="475" t="s">
        <v>963</v>
      </c>
      <c r="C17" s="410">
        <v>0</v>
      </c>
      <c r="D17" s="645">
        <v>100000</v>
      </c>
      <c r="E17" s="410">
        <v>100000</v>
      </c>
      <c r="F17" s="410">
        <v>100000</v>
      </c>
    </row>
    <row r="18" spans="2:6" ht="14.25">
      <c r="B18" s="475" t="s">
        <v>964</v>
      </c>
      <c r="C18" s="410">
        <v>0</v>
      </c>
      <c r="D18" s="645">
        <v>0</v>
      </c>
      <c r="E18" s="410">
        <v>0</v>
      </c>
      <c r="F18" s="410">
        <v>0</v>
      </c>
    </row>
    <row r="19" spans="2:6" ht="14.25">
      <c r="B19" s="475" t="s">
        <v>965</v>
      </c>
      <c r="C19" s="410">
        <v>0</v>
      </c>
      <c r="D19" s="645">
        <v>0</v>
      </c>
      <c r="E19" s="410">
        <v>0</v>
      </c>
      <c r="F19" s="410">
        <v>0</v>
      </c>
    </row>
    <row r="20" spans="2:6" ht="14.25">
      <c r="B20" s="475" t="s">
        <v>967</v>
      </c>
      <c r="C20" s="410">
        <v>0</v>
      </c>
      <c r="D20" s="645">
        <v>0</v>
      </c>
      <c r="E20" s="410">
        <v>0</v>
      </c>
      <c r="F20" s="410">
        <v>0</v>
      </c>
    </row>
    <row r="21" spans="2:6" ht="14.25">
      <c r="B21" s="475" t="s">
        <v>966</v>
      </c>
      <c r="C21" s="410">
        <v>307850</v>
      </c>
      <c r="D21" s="645">
        <v>254860</v>
      </c>
      <c r="E21" s="410">
        <v>238860</v>
      </c>
      <c r="F21" s="410">
        <v>186000</v>
      </c>
    </row>
    <row r="22" spans="2:6" ht="14.25">
      <c r="B22" s="475" t="s">
        <v>47</v>
      </c>
      <c r="C22" s="410">
        <v>0</v>
      </c>
      <c r="D22" s="645">
        <v>0</v>
      </c>
      <c r="E22" s="410">
        <v>0</v>
      </c>
      <c r="F22" s="410">
        <v>0</v>
      </c>
    </row>
    <row r="23" spans="2:6" ht="14.25">
      <c r="B23" s="464" t="s">
        <v>16</v>
      </c>
      <c r="C23" s="410">
        <v>0</v>
      </c>
      <c r="D23" s="645">
        <v>0</v>
      </c>
      <c r="E23" s="459">
        <v>0</v>
      </c>
      <c r="F23" s="459">
        <v>0</v>
      </c>
    </row>
    <row r="24" spans="2:6" ht="14.25">
      <c r="B24" s="464" t="s">
        <v>805</v>
      </c>
      <c r="C24" s="413">
        <f>IF(C25*0.1&lt;C23,"Exceed 10% Rule","")</f>
      </c>
      <c r="D24" s="647">
        <f>IF(D25*0.1&lt;D23,"Exceed 10% Rule","")</f>
      </c>
      <c r="E24" s="460">
        <f>IF(E25*0.1&lt;E23,"Exceed 10% Rule","")</f>
      </c>
      <c r="F24" s="460">
        <f>IF(F25*0.1&lt;F23,"Exceed 10% Rule","")</f>
      </c>
    </row>
    <row r="25" spans="2:6" ht="15">
      <c r="B25" s="461" t="s">
        <v>117</v>
      </c>
      <c r="C25" s="462">
        <f>SUM(C16:C23)</f>
        <v>484075</v>
      </c>
      <c r="D25" s="646">
        <f>SUM(D16:D23)</f>
        <v>535596</v>
      </c>
      <c r="E25" s="462">
        <f>SUM(E16:E23)</f>
        <v>524244</v>
      </c>
      <c r="F25" s="462">
        <f>SUM(F16:F23)</f>
        <v>471384</v>
      </c>
    </row>
    <row r="26" spans="2:6" ht="14.25">
      <c r="B26" s="463" t="s">
        <v>224</v>
      </c>
      <c r="C26" s="455">
        <f>C14-C25</f>
        <v>173147</v>
      </c>
      <c r="D26" s="645">
        <f>D14-D25</f>
        <v>7476</v>
      </c>
      <c r="E26" s="455">
        <f>E14-E25</f>
        <v>64903</v>
      </c>
      <c r="F26" s="455">
        <f>F14-F25</f>
        <v>29519</v>
      </c>
    </row>
    <row r="27" spans="2:6" ht="15">
      <c r="B27" s="465" t="str">
        <f>CONCATENATE("",F1-2,"/",F1-1," Budget Authority Amount:")</f>
        <v>2010/2011 Budget Authority Amount:</v>
      </c>
      <c r="C27" s="466">
        <f>inputOth!B56</f>
        <v>551131</v>
      </c>
      <c r="D27" s="466"/>
      <c r="E27" s="466">
        <f>inputPrYr!D27</f>
        <v>524244</v>
      </c>
      <c r="F27" s="467">
        <f>IF(F26&lt;0,"See Tab E","")</f>
      </c>
    </row>
    <row r="28" spans="2:6" ht="15">
      <c r="B28" s="465"/>
      <c r="C28" s="468">
        <f>IF(C25&gt;C27,"See Tab A","")</f>
      </c>
      <c r="D28" s="468"/>
      <c r="E28" s="468">
        <f>IF(E25&gt;E27,"See Tab C","")</f>
      </c>
      <c r="F28" s="469"/>
    </row>
    <row r="29" spans="2:6" ht="15">
      <c r="B29" s="465"/>
      <c r="C29" s="468">
        <f>IF(C26&lt;0,"See Tab B","")</f>
      </c>
      <c r="D29" s="468"/>
      <c r="E29" s="468">
        <f>IF(E26&lt;0,"See Tab D","")</f>
      </c>
      <c r="F29" s="469"/>
    </row>
    <row r="30" spans="2:6" ht="14.25">
      <c r="B30" s="448"/>
      <c r="C30" s="469"/>
      <c r="D30" s="469"/>
      <c r="E30" s="469"/>
      <c r="F30" s="469"/>
    </row>
    <row r="31" spans="2:6" ht="14.25">
      <c r="B31" s="453" t="s">
        <v>106</v>
      </c>
      <c r="C31" s="470"/>
      <c r="D31" s="470"/>
      <c r="E31" s="470"/>
      <c r="F31" s="470"/>
    </row>
    <row r="32" spans="2:6" ht="14.25">
      <c r="B32" s="448"/>
      <c r="C32" s="354" t="s">
        <v>857</v>
      </c>
      <c r="D32" s="355">
        <v>2011</v>
      </c>
      <c r="E32" s="356" t="s">
        <v>858</v>
      </c>
      <c r="F32" s="356" t="s">
        <v>859</v>
      </c>
    </row>
    <row r="33" spans="2:6" ht="14.25">
      <c r="B33" s="477" t="str">
        <f>(inputPrYr!B28)</f>
        <v>Special Alcohol</v>
      </c>
      <c r="C33" s="357" t="s">
        <v>861</v>
      </c>
      <c r="D33" s="358" t="s">
        <v>860</v>
      </c>
      <c r="E33" s="359" t="s">
        <v>862</v>
      </c>
      <c r="F33" s="357">
        <v>2012</v>
      </c>
    </row>
    <row r="34" spans="2:6" ht="14.25">
      <c r="B34" s="454" t="s">
        <v>223</v>
      </c>
      <c r="C34" s="410">
        <v>306333</v>
      </c>
      <c r="D34" s="410">
        <v>254526</v>
      </c>
      <c r="E34" s="455">
        <f>C55</f>
        <v>297174</v>
      </c>
      <c r="F34" s="455">
        <f>E55</f>
        <v>262448</v>
      </c>
    </row>
    <row r="35" spans="2:6" ht="14.25">
      <c r="B35" s="456" t="s">
        <v>225</v>
      </c>
      <c r="C35" s="457"/>
      <c r="D35" s="457"/>
      <c r="E35" s="457"/>
      <c r="F35" s="457"/>
    </row>
    <row r="36" spans="2:6" ht="14.25">
      <c r="B36" s="475" t="s">
        <v>1021</v>
      </c>
      <c r="C36" s="410">
        <v>66755</v>
      </c>
      <c r="D36" s="645">
        <v>65000</v>
      </c>
      <c r="E36" s="410">
        <v>65000</v>
      </c>
      <c r="F36" s="410">
        <v>65000</v>
      </c>
    </row>
    <row r="37" spans="2:6" ht="14.25">
      <c r="B37" s="475" t="s">
        <v>880</v>
      </c>
      <c r="C37" s="410">
        <f>391219+8603</f>
        <v>399822</v>
      </c>
      <c r="D37" s="645">
        <v>423200</v>
      </c>
      <c r="E37" s="410">
        <v>418000</v>
      </c>
      <c r="F37" s="410">
        <v>438000</v>
      </c>
    </row>
    <row r="38" spans="2:6" ht="14.25">
      <c r="B38" s="475" t="s">
        <v>1022</v>
      </c>
      <c r="C38" s="410"/>
      <c r="D38" s="645">
        <v>0</v>
      </c>
      <c r="E38" s="645">
        <v>0</v>
      </c>
      <c r="F38" s="645">
        <v>0</v>
      </c>
    </row>
    <row r="39" spans="2:6" ht="14.25">
      <c r="B39" s="458" t="s">
        <v>16</v>
      </c>
      <c r="C39" s="410"/>
      <c r="D39" s="645">
        <v>0</v>
      </c>
      <c r="E39" s="645">
        <v>0</v>
      </c>
      <c r="F39" s="645">
        <v>0</v>
      </c>
    </row>
    <row r="40" spans="2:6" ht="15.75">
      <c r="B40" s="454" t="s">
        <v>804</v>
      </c>
      <c r="C40" s="413">
        <f>IF(C41*0.1&lt;C39,"Exceed 10% Rule","")</f>
      </c>
      <c r="D40" s="94">
        <f>IF(D41*0.1&lt;D39,"Exceed 10% Rule","")</f>
      </c>
      <c r="E40" s="460">
        <f>IF(E41*0.1&lt;E39,"Exceed 10% Rule","")</f>
      </c>
      <c r="F40" s="460">
        <f>IF(F41*0.1&lt;F39,"Exceed 10% Rule","")</f>
      </c>
    </row>
    <row r="41" spans="2:6" ht="15">
      <c r="B41" s="461" t="s">
        <v>111</v>
      </c>
      <c r="C41" s="462">
        <f>SUM(C36:C39)</f>
        <v>466577</v>
      </c>
      <c r="D41" s="646">
        <f>SUM(D36:D39)</f>
        <v>488200</v>
      </c>
      <c r="E41" s="462">
        <f>SUM(E36:E39)</f>
        <v>483000</v>
      </c>
      <c r="F41" s="462">
        <f>SUM(F36:F39)</f>
        <v>503000</v>
      </c>
    </row>
    <row r="42" spans="2:6" ht="15">
      <c r="B42" s="461" t="s">
        <v>112</v>
      </c>
      <c r="C42" s="462">
        <f>C34+C41</f>
        <v>772910</v>
      </c>
      <c r="D42" s="646">
        <f>D34+D41</f>
        <v>742726</v>
      </c>
      <c r="E42" s="462">
        <f>E34+E41</f>
        <v>780174</v>
      </c>
      <c r="F42" s="462">
        <f>F34+F41</f>
        <v>765448</v>
      </c>
    </row>
    <row r="43" spans="2:6" ht="15.75">
      <c r="B43" s="463" t="s">
        <v>113</v>
      </c>
      <c r="C43" s="455"/>
      <c r="D43" s="90"/>
      <c r="E43" s="455"/>
      <c r="F43" s="455"/>
    </row>
    <row r="44" spans="2:6" ht="14.25">
      <c r="B44" s="475" t="s">
        <v>962</v>
      </c>
      <c r="C44" s="410">
        <v>77651</v>
      </c>
      <c r="D44" s="645">
        <v>208432</v>
      </c>
      <c r="E44" s="410">
        <v>180941</v>
      </c>
      <c r="F44" s="410">
        <v>204431</v>
      </c>
    </row>
    <row r="45" spans="2:6" ht="14.25">
      <c r="B45" s="475" t="s">
        <v>963</v>
      </c>
      <c r="C45" s="410">
        <v>137976</v>
      </c>
      <c r="D45" s="645">
        <v>122450</v>
      </c>
      <c r="E45" s="645">
        <v>122450</v>
      </c>
      <c r="F45" s="645">
        <v>122450</v>
      </c>
    </row>
    <row r="46" spans="2:6" ht="14.25">
      <c r="B46" s="475" t="s">
        <v>964</v>
      </c>
      <c r="C46" s="410">
        <v>7359</v>
      </c>
      <c r="D46" s="645">
        <v>14335</v>
      </c>
      <c r="E46" s="645">
        <v>14335</v>
      </c>
      <c r="F46" s="645">
        <v>14335</v>
      </c>
    </row>
    <row r="47" spans="2:6" ht="14.25">
      <c r="B47" s="475" t="s">
        <v>965</v>
      </c>
      <c r="C47" s="410">
        <v>252750</v>
      </c>
      <c r="D47" s="645">
        <v>200000</v>
      </c>
      <c r="E47" s="645">
        <v>200000</v>
      </c>
      <c r="F47" s="410">
        <v>250000</v>
      </c>
    </row>
    <row r="48" spans="2:6" ht="14.25">
      <c r="B48" s="475" t="s">
        <v>967</v>
      </c>
      <c r="C48" s="410">
        <v>0</v>
      </c>
      <c r="D48" s="645">
        <v>0</v>
      </c>
      <c r="E48" s="645">
        <v>0</v>
      </c>
      <c r="F48" s="645">
        <v>0</v>
      </c>
    </row>
    <row r="49" spans="2:6" ht="14.25">
      <c r="B49" s="475" t="s">
        <v>966</v>
      </c>
      <c r="C49" s="410">
        <v>0</v>
      </c>
      <c r="D49" s="645">
        <v>0</v>
      </c>
      <c r="E49" s="645">
        <v>0</v>
      </c>
      <c r="F49" s="645">
        <v>0</v>
      </c>
    </row>
    <row r="50" spans="2:6" ht="14.25">
      <c r="B50" s="475" t="s">
        <v>47</v>
      </c>
      <c r="C50" s="410">
        <v>0</v>
      </c>
      <c r="D50" s="645">
        <v>0</v>
      </c>
      <c r="E50" s="645">
        <v>0</v>
      </c>
      <c r="F50" s="645">
        <v>0</v>
      </c>
    </row>
    <row r="51" spans="2:6" ht="14.25">
      <c r="B51" s="475" t="s">
        <v>992</v>
      </c>
      <c r="C51" s="410">
        <v>0</v>
      </c>
      <c r="D51" s="645">
        <v>0</v>
      </c>
      <c r="E51" s="645">
        <v>0</v>
      </c>
      <c r="F51" s="645">
        <v>0</v>
      </c>
    </row>
    <row r="52" spans="2:6" ht="14.25">
      <c r="B52" s="464" t="s">
        <v>16</v>
      </c>
      <c r="C52" s="410">
        <v>0</v>
      </c>
      <c r="D52" s="645">
        <v>0</v>
      </c>
      <c r="E52" s="645">
        <v>0</v>
      </c>
      <c r="F52" s="645">
        <v>0</v>
      </c>
    </row>
    <row r="53" spans="2:6" ht="14.25">
      <c r="B53" s="476" t="s">
        <v>805</v>
      </c>
      <c r="C53" s="413">
        <f>IF(C54*0.1&lt;C52,"Exceed 10% Rule","")</f>
      </c>
      <c r="D53" s="460"/>
      <c r="E53" s="460">
        <f>IF(E54*0.1&lt;E52,"Exceed 10% Rule","")</f>
      </c>
      <c r="F53" s="460">
        <f>IF(F54*0.1&lt;F52,"Exceed 10% Rule","")</f>
      </c>
    </row>
    <row r="54" spans="2:6" ht="15">
      <c r="B54" s="461" t="s">
        <v>117</v>
      </c>
      <c r="C54" s="646">
        <f>SUM(C44:C52)</f>
        <v>475736</v>
      </c>
      <c r="D54" s="646">
        <f>SUM(D44:D52)</f>
        <v>545217</v>
      </c>
      <c r="E54" s="462">
        <f>SUM(E44:E52)</f>
        <v>517726</v>
      </c>
      <c r="F54" s="462">
        <f>SUM(F44:F52)</f>
        <v>591216</v>
      </c>
    </row>
    <row r="55" spans="2:6" ht="14.25">
      <c r="B55" s="463" t="s">
        <v>224</v>
      </c>
      <c r="C55" s="455">
        <f>C42-C54</f>
        <v>297174</v>
      </c>
      <c r="D55" s="645">
        <f>D42-D54</f>
        <v>197509</v>
      </c>
      <c r="E55" s="455">
        <f>E42-E54</f>
        <v>262448</v>
      </c>
      <c r="F55" s="455">
        <f>F42-F54</f>
        <v>174232</v>
      </c>
    </row>
    <row r="56" spans="2:6" ht="15">
      <c r="B56" s="465" t="str">
        <f>CONCATENATE("",F1-2,"/",F1-1," Budget Authority Amount:")</f>
        <v>2010/2011 Budget Authority Amount:</v>
      </c>
      <c r="C56" s="466">
        <f>inputOth!B57</f>
        <v>531807</v>
      </c>
      <c r="D56" s="466"/>
      <c r="E56" s="466">
        <f>inputPrYr!D28</f>
        <v>517726</v>
      </c>
      <c r="F56" s="467">
        <f>IF(F55&lt;0,"See Tab E","")</f>
      </c>
    </row>
    <row r="57" spans="2:6" ht="15">
      <c r="B57" s="465"/>
      <c r="C57" s="468">
        <f>IF(C54&gt;C56,"See Tab A","")</f>
      </c>
      <c r="D57" s="468"/>
      <c r="E57" s="468">
        <f>IF(E54&gt;E56,"See Tab C","")</f>
      </c>
      <c r="F57" s="448"/>
    </row>
    <row r="58" spans="2:6" ht="15">
      <c r="B58" s="465"/>
      <c r="C58" s="468">
        <f>IF(C55&lt;0,"See Tab B","")</f>
      </c>
      <c r="D58" s="468"/>
      <c r="E58" s="468">
        <f>IF(E55&lt;0,"See Tab D","")</f>
      </c>
      <c r="F58" s="448"/>
    </row>
    <row r="59" spans="2:6" ht="14.25">
      <c r="B59" s="448"/>
      <c r="C59" s="448"/>
      <c r="D59" s="448"/>
      <c r="E59" s="448"/>
      <c r="F59" s="448"/>
    </row>
    <row r="60" spans="2:6" ht="14.25">
      <c r="B60" s="397"/>
      <c r="C60" s="471"/>
      <c r="D60" s="471"/>
      <c r="E60" s="448"/>
      <c r="F60" s="448"/>
    </row>
  </sheetData>
  <sheetProtection/>
  <conditionalFormatting sqref="C11:D11">
    <cfRule type="cellIs" priority="3" dxfId="114" operator="greaterThan" stopIfTrue="1">
      <formula>$C$13*0.1</formula>
    </cfRule>
  </conditionalFormatting>
  <conditionalFormatting sqref="E11">
    <cfRule type="cellIs" priority="4" dxfId="114" operator="greaterThan" stopIfTrue="1">
      <formula>$E$13*0.1</formula>
    </cfRule>
  </conditionalFormatting>
  <conditionalFormatting sqref="F11">
    <cfRule type="cellIs" priority="5" dxfId="114" operator="greaterThan" stopIfTrue="1">
      <formula>$F$13*0.1</formula>
    </cfRule>
  </conditionalFormatting>
  <conditionalFormatting sqref="C23:D23">
    <cfRule type="cellIs" priority="6" dxfId="114" operator="greaterThan" stopIfTrue="1">
      <formula>$C$25*0.1</formula>
    </cfRule>
  </conditionalFormatting>
  <conditionalFormatting sqref="E23">
    <cfRule type="cellIs" priority="7" dxfId="114" operator="greaterThan" stopIfTrue="1">
      <formula>$E$25*0.1</formula>
    </cfRule>
  </conditionalFormatting>
  <conditionalFormatting sqref="F23">
    <cfRule type="cellIs" priority="8" dxfId="114" operator="greaterThan" stopIfTrue="1">
      <formula>$F$25*0.1</formula>
    </cfRule>
  </conditionalFormatting>
  <conditionalFormatting sqref="C39:D39">
    <cfRule type="cellIs" priority="9" dxfId="114" operator="greaterThan" stopIfTrue="1">
      <formula>$C$41*0.1</formula>
    </cfRule>
  </conditionalFormatting>
  <conditionalFormatting sqref="C52:D52">
    <cfRule type="cellIs" priority="12" dxfId="114" operator="greaterThan" stopIfTrue="1">
      <formula>$C$54*0.1</formula>
    </cfRule>
  </conditionalFormatting>
  <conditionalFormatting sqref="E54">
    <cfRule type="cellIs" priority="15" dxfId="1" operator="greaterThan" stopIfTrue="1">
      <formula>$E$56</formula>
    </cfRule>
  </conditionalFormatting>
  <conditionalFormatting sqref="F55 F26 C26:D26 C55">
    <cfRule type="cellIs" priority="17" dxfId="1" operator="lessThan" stopIfTrue="1">
      <formula>0</formula>
    </cfRule>
  </conditionalFormatting>
  <conditionalFormatting sqref="E25">
    <cfRule type="cellIs" priority="18" dxfId="1" operator="greaterThan" stopIfTrue="1">
      <formula>$E$27</formula>
    </cfRule>
  </conditionalFormatting>
  <conditionalFormatting sqref="C25:D25">
    <cfRule type="cellIs" priority="19" dxfId="1" operator="greaterThan" stopIfTrue="1">
      <formula>$C$27</formula>
    </cfRule>
  </conditionalFormatting>
  <conditionalFormatting sqref="E55 E2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82" r:id="rId1"/>
  <headerFooter alignWithMargins="0">
    <oddHeader>&amp;RState of Kansas
City</oddHeader>
    <oddFooter>&amp;C&amp;"Arial,Regular"&amp;10KC - &amp;P</oddFooter>
  </headerFooter>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B1:F57"/>
  <sheetViews>
    <sheetView zoomScale="80" zoomScaleNormal="80" zoomScalePageLayoutView="0" workbookViewId="0" topLeftCell="A1">
      <selection activeCell="E21" sqref="E21"/>
    </sheetView>
  </sheetViews>
  <sheetFormatPr defaultColWidth="8.796875" defaultRowHeight="15"/>
  <cols>
    <col min="1" max="1" width="2.3984375" style="396" customWidth="1"/>
    <col min="2" max="2" width="31.09765625" style="396" customWidth="1"/>
    <col min="3" max="5" width="15.796875" style="396" customWidth="1"/>
    <col min="6" max="6" width="16.19921875" style="396" customWidth="1"/>
    <col min="7" max="16384" width="8.8984375" style="396" customWidth="1"/>
  </cols>
  <sheetData>
    <row r="1" spans="2:6" ht="14.25">
      <c r="B1" s="447" t="str">
        <f>(inputPrYr!D2)</f>
        <v>Kansas City</v>
      </c>
      <c r="C1" s="448"/>
      <c r="D1" s="448"/>
      <c r="E1" s="448"/>
      <c r="F1" s="449">
        <f>inputPrYr!C5</f>
        <v>2012</v>
      </c>
    </row>
    <row r="2" spans="2:6" ht="14.25">
      <c r="B2" s="448"/>
      <c r="C2" s="448"/>
      <c r="D2" s="448"/>
      <c r="E2" s="448"/>
      <c r="F2" s="450"/>
    </row>
    <row r="3" spans="2:6" ht="15">
      <c r="B3" s="451" t="s">
        <v>171</v>
      </c>
      <c r="C3" s="452"/>
      <c r="D3" s="452"/>
      <c r="E3" s="452"/>
      <c r="F3" s="452"/>
    </row>
    <row r="4" spans="2:6" ht="14.25">
      <c r="B4" s="453" t="s">
        <v>106</v>
      </c>
      <c r="C4" s="354" t="s">
        <v>857</v>
      </c>
      <c r="D4" s="355">
        <v>2011</v>
      </c>
      <c r="E4" s="356" t="s">
        <v>858</v>
      </c>
      <c r="F4" s="356" t="s">
        <v>859</v>
      </c>
    </row>
    <row r="5" spans="2:6" ht="14.25">
      <c r="B5" s="477" t="str">
        <f>inputPrYr!B29</f>
        <v>Tourism</v>
      </c>
      <c r="C5" s="357" t="s">
        <v>861</v>
      </c>
      <c r="D5" s="358" t="s">
        <v>860</v>
      </c>
      <c r="E5" s="359" t="s">
        <v>862</v>
      </c>
      <c r="F5" s="357">
        <v>2012</v>
      </c>
    </row>
    <row r="6" spans="2:6" ht="14.25">
      <c r="B6" s="454" t="s">
        <v>223</v>
      </c>
      <c r="C6" s="410">
        <v>20848</v>
      </c>
      <c r="D6" s="410">
        <v>5848</v>
      </c>
      <c r="E6" s="455">
        <f>C26</f>
        <v>6053</v>
      </c>
      <c r="F6" s="455">
        <f>E26</f>
        <v>4453</v>
      </c>
    </row>
    <row r="7" spans="2:6" ht="14.25">
      <c r="B7" s="456" t="s">
        <v>225</v>
      </c>
      <c r="C7" s="457"/>
      <c r="D7" s="457"/>
      <c r="E7" s="457"/>
      <c r="F7" s="457"/>
    </row>
    <row r="8" spans="2:6" ht="14.25">
      <c r="B8" s="367" t="s">
        <v>1023</v>
      </c>
      <c r="C8" s="410">
        <v>650205</v>
      </c>
      <c r="D8" s="645">
        <v>673200</v>
      </c>
      <c r="E8" s="410">
        <v>635900</v>
      </c>
      <c r="F8" s="410">
        <v>648500</v>
      </c>
    </row>
    <row r="9" spans="2:6" ht="14.25">
      <c r="B9" s="367" t="s">
        <v>1012</v>
      </c>
      <c r="C9" s="410">
        <v>0</v>
      </c>
      <c r="D9" s="645">
        <v>0</v>
      </c>
      <c r="E9" s="645">
        <v>0</v>
      </c>
      <c r="F9" s="645">
        <v>0</v>
      </c>
    </row>
    <row r="10" spans="2:6" ht="14.25">
      <c r="B10" s="458" t="s">
        <v>16</v>
      </c>
      <c r="C10" s="410">
        <v>0</v>
      </c>
      <c r="D10" s="645">
        <v>0</v>
      </c>
      <c r="E10" s="645">
        <v>0</v>
      </c>
      <c r="F10" s="645">
        <v>0</v>
      </c>
    </row>
    <row r="11" spans="2:6" ht="15.75">
      <c r="B11" s="454" t="s">
        <v>804</v>
      </c>
      <c r="C11" s="413">
        <f>IF(C12*0.1&lt;C10,"Exceed 10% Rule","")</f>
      </c>
      <c r="D11" s="94">
        <f>IF(D12*0.1&lt;D10,"Exceed 10% Rule","")</f>
      </c>
      <c r="E11" s="460">
        <f>IF(E12*0.1&lt;E10,"Exceed 10% Rule","")</f>
      </c>
      <c r="F11" s="460">
        <f>IF(F12*0.1&lt;F10,"Exceed 10% Rule","")</f>
      </c>
    </row>
    <row r="12" spans="2:6" ht="15">
      <c r="B12" s="461" t="s">
        <v>111</v>
      </c>
      <c r="C12" s="462">
        <f>SUM(C8:C10)</f>
        <v>650205</v>
      </c>
      <c r="D12" s="646">
        <f>SUM(D8:D10)</f>
        <v>673200</v>
      </c>
      <c r="E12" s="462">
        <f>SUM(E8:E10)</f>
        <v>635900</v>
      </c>
      <c r="F12" s="462">
        <f>SUM(F8:F10)</f>
        <v>648500</v>
      </c>
    </row>
    <row r="13" spans="2:6" ht="15">
      <c r="B13" s="461" t="s">
        <v>112</v>
      </c>
      <c r="C13" s="462">
        <f>C6+C12</f>
        <v>671053</v>
      </c>
      <c r="D13" s="646">
        <f>D6+D12</f>
        <v>679048</v>
      </c>
      <c r="E13" s="462">
        <f>E6+E12</f>
        <v>641953</v>
      </c>
      <c r="F13" s="462">
        <f>F6+F12</f>
        <v>652953</v>
      </c>
    </row>
    <row r="14" spans="2:6" ht="15.75">
      <c r="B14" s="463" t="s">
        <v>113</v>
      </c>
      <c r="C14" s="455"/>
      <c r="D14" s="90"/>
      <c r="E14" s="455"/>
      <c r="F14" s="455"/>
    </row>
    <row r="15" spans="2:6" ht="14.25">
      <c r="B15" s="652" t="s">
        <v>962</v>
      </c>
      <c r="C15" s="645">
        <v>0</v>
      </c>
      <c r="D15" s="645">
        <v>0</v>
      </c>
      <c r="E15" s="645">
        <v>0</v>
      </c>
      <c r="F15" s="645">
        <v>0</v>
      </c>
    </row>
    <row r="16" spans="2:6" ht="14.25">
      <c r="B16" s="652" t="s">
        <v>963</v>
      </c>
      <c r="C16" s="645">
        <v>0</v>
      </c>
      <c r="D16" s="645">
        <v>0</v>
      </c>
      <c r="E16" s="645">
        <v>0</v>
      </c>
      <c r="F16" s="645">
        <v>0</v>
      </c>
    </row>
    <row r="17" spans="2:6" ht="14.25">
      <c r="B17" s="652" t="s">
        <v>964</v>
      </c>
      <c r="C17" s="645">
        <v>0</v>
      </c>
      <c r="D17" s="645">
        <v>0</v>
      </c>
      <c r="E17" s="645">
        <v>0</v>
      </c>
      <c r="F17" s="645">
        <v>0</v>
      </c>
    </row>
    <row r="18" spans="2:6" ht="14.25">
      <c r="B18" s="652" t="s">
        <v>965</v>
      </c>
      <c r="C18" s="459">
        <v>665000</v>
      </c>
      <c r="D18" s="645">
        <v>607500</v>
      </c>
      <c r="E18" s="645">
        <v>607500</v>
      </c>
      <c r="F18" s="645">
        <v>607500</v>
      </c>
    </row>
    <row r="19" spans="2:6" ht="14.25">
      <c r="B19" s="652" t="s">
        <v>967</v>
      </c>
      <c r="C19" s="645">
        <v>0</v>
      </c>
      <c r="D19" s="645">
        <v>0</v>
      </c>
      <c r="E19" s="645">
        <v>0</v>
      </c>
      <c r="F19" s="645">
        <v>0</v>
      </c>
    </row>
    <row r="20" spans="2:6" ht="14.25">
      <c r="B20" s="652" t="s">
        <v>966</v>
      </c>
      <c r="C20" s="645">
        <v>0</v>
      </c>
      <c r="D20" s="645">
        <v>0</v>
      </c>
      <c r="E20" s="645">
        <v>0</v>
      </c>
      <c r="F20" s="645">
        <v>0</v>
      </c>
    </row>
    <row r="21" spans="2:6" ht="14.25">
      <c r="B21" s="652" t="s">
        <v>47</v>
      </c>
      <c r="C21" s="645">
        <v>0</v>
      </c>
      <c r="D21" s="645">
        <v>67500</v>
      </c>
      <c r="E21" s="410">
        <v>30000</v>
      </c>
      <c r="F21" s="410">
        <v>40000</v>
      </c>
    </row>
    <row r="22" spans="2:6" ht="14.25">
      <c r="B22" s="652" t="s">
        <v>992</v>
      </c>
      <c r="C22" s="645">
        <v>0</v>
      </c>
      <c r="D22" s="645">
        <v>0</v>
      </c>
      <c r="E22" s="645">
        <v>0</v>
      </c>
      <c r="F22" s="645">
        <v>0</v>
      </c>
    </row>
    <row r="23" spans="2:6" ht="14.25">
      <c r="B23" s="518" t="s">
        <v>16</v>
      </c>
      <c r="C23" s="645">
        <v>0</v>
      </c>
      <c r="D23" s="645">
        <v>0</v>
      </c>
      <c r="E23" s="645">
        <v>0</v>
      </c>
      <c r="F23" s="645">
        <v>0</v>
      </c>
    </row>
    <row r="24" spans="2:6" ht="14.25">
      <c r="B24" s="464" t="s">
        <v>805</v>
      </c>
      <c r="C24" s="413">
        <f>IF(C25*0.1&lt;C23,"Exceed 10% Rule","")</f>
      </c>
      <c r="D24" s="460"/>
      <c r="E24" s="460">
        <f>IF(E25*0.1&lt;E23,"Exceed 10% Rule","")</f>
      </c>
      <c r="F24" s="460">
        <f>IF(F25*0.1&lt;F23,"Exceed 10% Rule","")</f>
      </c>
    </row>
    <row r="25" spans="2:6" ht="15">
      <c r="B25" s="461" t="s">
        <v>117</v>
      </c>
      <c r="C25" s="462">
        <f>SUM(C15:C23)</f>
        <v>665000</v>
      </c>
      <c r="D25" s="462">
        <f>SUM(D15:D23)</f>
        <v>675000</v>
      </c>
      <c r="E25" s="462">
        <f>SUM(E15:E23)</f>
        <v>637500</v>
      </c>
      <c r="F25" s="462">
        <f>SUM(F15:F23)</f>
        <v>647500</v>
      </c>
    </row>
    <row r="26" spans="2:6" ht="14.25">
      <c r="B26" s="609" t="s">
        <v>224</v>
      </c>
      <c r="C26" s="645">
        <f>C13-C25</f>
        <v>6053</v>
      </c>
      <c r="D26" s="455">
        <f>D13-D25</f>
        <v>4048</v>
      </c>
      <c r="E26" s="645">
        <f>E13-E25</f>
        <v>4453</v>
      </c>
      <c r="F26" s="645">
        <f>F13-F25</f>
        <v>5453</v>
      </c>
    </row>
    <row r="27" spans="2:6" ht="15">
      <c r="B27" s="465" t="str">
        <f>CONCATENATE("",F1-2,"/",F1-1," Budget Authority Amount:")</f>
        <v>2010/2011 Budget Authority Amount:</v>
      </c>
      <c r="C27" s="466">
        <f>inputOth!B58</f>
        <v>675000</v>
      </c>
      <c r="D27" s="466"/>
      <c r="E27" s="466">
        <f>inputPrYr!D29</f>
        <v>637500</v>
      </c>
      <c r="F27" s="467">
        <f>IF(F26&lt;0,"See Tab E","")</f>
      </c>
    </row>
    <row r="28" spans="2:6" ht="15">
      <c r="B28" s="465"/>
      <c r="C28" s="468">
        <f>IF(C25&gt;C27,"See Tab A","")</f>
      </c>
      <c r="D28" s="468"/>
      <c r="E28" s="468">
        <f>IF(E25&gt;E27,"See Tab C","")</f>
      </c>
      <c r="F28" s="469"/>
    </row>
    <row r="29" spans="2:6" ht="15">
      <c r="B29" s="465"/>
      <c r="C29" s="468">
        <f>IF(C26&lt;0,"See Tab B","")</f>
      </c>
      <c r="D29" s="468"/>
      <c r="E29" s="468">
        <f>IF(E26&lt;0,"See Tab D","")</f>
      </c>
      <c r="F29" s="469"/>
    </row>
    <row r="30" spans="2:6" ht="14.25">
      <c r="B30" s="448"/>
      <c r="C30" s="469"/>
      <c r="D30" s="469"/>
      <c r="E30" s="469"/>
      <c r="F30" s="469"/>
    </row>
    <row r="31" spans="2:6" ht="14.25">
      <c r="B31" s="453" t="s">
        <v>106</v>
      </c>
      <c r="C31" s="470"/>
      <c r="D31" s="470"/>
      <c r="E31" s="470"/>
      <c r="F31" s="470"/>
    </row>
    <row r="32" spans="2:6" ht="14.25">
      <c r="B32" s="448"/>
      <c r="C32" s="354" t="s">
        <v>857</v>
      </c>
      <c r="D32" s="355">
        <v>2011</v>
      </c>
      <c r="E32" s="356" t="s">
        <v>858</v>
      </c>
      <c r="F32" s="356" t="s">
        <v>859</v>
      </c>
    </row>
    <row r="33" spans="2:6" ht="14.25">
      <c r="B33" s="477" t="str">
        <f>inputPrYr!B30</f>
        <v>911 Public Safety</v>
      </c>
      <c r="C33" s="357" t="s">
        <v>861</v>
      </c>
      <c r="D33" s="358" t="s">
        <v>860</v>
      </c>
      <c r="E33" s="359" t="s">
        <v>862</v>
      </c>
      <c r="F33" s="357">
        <v>2012</v>
      </c>
    </row>
    <row r="34" spans="2:6" ht="14.25">
      <c r="B34" s="514" t="s">
        <v>223</v>
      </c>
      <c r="C34" s="459">
        <v>919559</v>
      </c>
      <c r="D34" s="410">
        <v>667559</v>
      </c>
      <c r="E34" s="455">
        <f>C52</f>
        <v>780226</v>
      </c>
      <c r="F34" s="455">
        <f>E52</f>
        <v>486969</v>
      </c>
    </row>
    <row r="35" spans="2:6" ht="14.25">
      <c r="B35" s="655" t="s">
        <v>225</v>
      </c>
      <c r="C35" s="459"/>
      <c r="D35" s="457"/>
      <c r="E35" s="457"/>
      <c r="F35" s="457"/>
    </row>
    <row r="36" spans="2:6" ht="14.25">
      <c r="B36" s="652" t="s">
        <v>1024</v>
      </c>
      <c r="C36" s="459">
        <v>372642</v>
      </c>
      <c r="D36" s="648">
        <v>430000</v>
      </c>
      <c r="E36" s="410">
        <v>345000</v>
      </c>
      <c r="F36" s="410">
        <v>327000</v>
      </c>
    </row>
    <row r="37" spans="2:6" ht="14.25">
      <c r="B37" s="652" t="s">
        <v>1025</v>
      </c>
      <c r="C37" s="459">
        <v>341124</v>
      </c>
      <c r="D37" s="648">
        <v>265000</v>
      </c>
      <c r="E37" s="410">
        <v>400000</v>
      </c>
      <c r="F37" s="410">
        <v>372000</v>
      </c>
    </row>
    <row r="38" spans="2:6" ht="14.25">
      <c r="B38" s="457" t="s">
        <v>16</v>
      </c>
      <c r="C38" s="459">
        <v>0</v>
      </c>
      <c r="D38" s="648">
        <v>0</v>
      </c>
      <c r="E38" s="459"/>
      <c r="F38" s="459"/>
    </row>
    <row r="39" spans="2:6" ht="14.25">
      <c r="B39" s="454" t="s">
        <v>804</v>
      </c>
      <c r="C39" s="413">
        <f>IF(C40*0.1&lt;C38,"Exceed 10% Rule","")</f>
      </c>
      <c r="D39" s="648">
        <v>0</v>
      </c>
      <c r="E39" s="460">
        <f>IF(E40*0.1&lt;E38,"Exceed 10% Rule","")</f>
      </c>
      <c r="F39" s="460">
        <f>IF(F40*0.1&lt;F38,"Exceed 10% Rule","")</f>
      </c>
    </row>
    <row r="40" spans="2:6" ht="15">
      <c r="B40" s="461" t="s">
        <v>111</v>
      </c>
      <c r="C40" s="462">
        <f>SUM(C36:C38)</f>
        <v>713766</v>
      </c>
      <c r="D40" s="649">
        <f>SUM(D36:D38)</f>
        <v>695000</v>
      </c>
      <c r="E40" s="462">
        <f>SUM(E36:E38)</f>
        <v>745000</v>
      </c>
      <c r="F40" s="462">
        <f>SUM(F36:F38)</f>
        <v>699000</v>
      </c>
    </row>
    <row r="41" spans="2:6" ht="15">
      <c r="B41" s="461" t="s">
        <v>112</v>
      </c>
      <c r="C41" s="462">
        <f>C34+C40</f>
        <v>1633325</v>
      </c>
      <c r="D41" s="649">
        <f>D34+D40</f>
        <v>1362559</v>
      </c>
      <c r="E41" s="462">
        <f>E34+E40</f>
        <v>1525226</v>
      </c>
      <c r="F41" s="462">
        <f>F34+F40</f>
        <v>1185969</v>
      </c>
    </row>
    <row r="42" spans="2:6" ht="15.75">
      <c r="B42" s="463" t="s">
        <v>113</v>
      </c>
      <c r="C42" s="455"/>
      <c r="D42" s="90"/>
      <c r="E42" s="455"/>
      <c r="F42" s="455"/>
    </row>
    <row r="43" spans="2:6" ht="14.25">
      <c r="B43" s="475" t="s">
        <v>962</v>
      </c>
      <c r="C43" s="410">
        <v>0</v>
      </c>
      <c r="D43" s="648">
        <v>0</v>
      </c>
      <c r="E43" s="410">
        <v>0</v>
      </c>
      <c r="F43" s="410">
        <v>0</v>
      </c>
    </row>
    <row r="44" spans="2:6" ht="14.25">
      <c r="B44" s="475" t="s">
        <v>963</v>
      </c>
      <c r="C44" s="410">
        <v>501793</v>
      </c>
      <c r="D44" s="648">
        <v>520000</v>
      </c>
      <c r="E44" s="410">
        <v>593448</v>
      </c>
      <c r="F44" s="410">
        <v>520000</v>
      </c>
    </row>
    <row r="45" spans="2:6" ht="14.25">
      <c r="B45" s="475" t="s">
        <v>964</v>
      </c>
      <c r="C45" s="410">
        <v>0</v>
      </c>
      <c r="D45" s="648">
        <v>0</v>
      </c>
      <c r="E45" s="410">
        <v>0</v>
      </c>
      <c r="F45" s="410">
        <v>0</v>
      </c>
    </row>
    <row r="46" spans="2:6" ht="14.25">
      <c r="B46" s="475" t="s">
        <v>965</v>
      </c>
      <c r="C46" s="410">
        <v>0</v>
      </c>
      <c r="D46" s="648">
        <v>0</v>
      </c>
      <c r="E46" s="410">
        <v>0</v>
      </c>
      <c r="F46" s="410">
        <v>0</v>
      </c>
    </row>
    <row r="47" spans="2:6" ht="14.25">
      <c r="B47" s="475" t="s">
        <v>991</v>
      </c>
      <c r="C47" s="410">
        <v>291000</v>
      </c>
      <c r="D47" s="648">
        <v>291000</v>
      </c>
      <c r="E47" s="410">
        <v>291000</v>
      </c>
      <c r="F47" s="410">
        <v>291000</v>
      </c>
    </row>
    <row r="48" spans="2:6" ht="14.25">
      <c r="B48" s="475" t="s">
        <v>966</v>
      </c>
      <c r="C48" s="410">
        <v>60306</v>
      </c>
      <c r="D48" s="648">
        <v>111000</v>
      </c>
      <c r="E48" s="410">
        <v>103809</v>
      </c>
      <c r="F48" s="410">
        <v>111000</v>
      </c>
    </row>
    <row r="49" spans="2:6" ht="14.25">
      <c r="B49" s="464" t="s">
        <v>16</v>
      </c>
      <c r="C49" s="410">
        <v>0</v>
      </c>
      <c r="D49" s="648">
        <v>50000</v>
      </c>
      <c r="E49" s="459">
        <v>50000</v>
      </c>
      <c r="F49" s="459">
        <v>50000</v>
      </c>
    </row>
    <row r="50" spans="2:6" ht="14.25">
      <c r="B50" s="464" t="s">
        <v>805</v>
      </c>
      <c r="C50" s="413">
        <f>IF(C51*0.1&lt;C49,"Exceed 10% Rule","")</f>
      </c>
      <c r="D50" s="460"/>
      <c r="E50" s="460">
        <f>IF(E51*0.1&lt;E49,"Exceed 10% Rule","")</f>
      </c>
      <c r="F50" s="460">
        <f>IF(F51*0.1&lt;F49,"Exceed 10% Rule","")</f>
      </c>
    </row>
    <row r="51" spans="2:6" ht="15">
      <c r="B51" s="461" t="s">
        <v>117</v>
      </c>
      <c r="C51" s="462">
        <f>SUM(C43:C49)</f>
        <v>853099</v>
      </c>
      <c r="D51" s="462">
        <f>SUM(D43:D49)</f>
        <v>972000</v>
      </c>
      <c r="E51" s="462">
        <f>SUM(E43:E49)</f>
        <v>1038257</v>
      </c>
      <c r="F51" s="462">
        <f>SUM(F43:F49)</f>
        <v>972000</v>
      </c>
    </row>
    <row r="52" spans="2:6" ht="14.25">
      <c r="B52" s="463" t="s">
        <v>224</v>
      </c>
      <c r="C52" s="455">
        <f>C41-C51</f>
        <v>780226</v>
      </c>
      <c r="D52" s="455">
        <f>D41-D51</f>
        <v>390559</v>
      </c>
      <c r="E52" s="455">
        <f>E41-E51</f>
        <v>486969</v>
      </c>
      <c r="F52" s="455">
        <f>F41-F51</f>
        <v>213969</v>
      </c>
    </row>
    <row r="53" spans="2:6" ht="15">
      <c r="B53" s="465" t="str">
        <f>CONCATENATE("",F1-2,"/",F1-1," Budget Authority Amount:")</f>
        <v>2010/2011 Budget Authority Amount:</v>
      </c>
      <c r="C53" s="466">
        <f>inputOth!B59</f>
        <v>972000</v>
      </c>
      <c r="D53" s="466"/>
      <c r="E53" s="466">
        <f>inputPrYr!D30</f>
        <v>1038257</v>
      </c>
      <c r="F53" s="467">
        <f>IF(F52&lt;0,"See Tab E","")</f>
      </c>
    </row>
    <row r="54" spans="2:6" ht="15">
      <c r="B54" s="465"/>
      <c r="C54" s="468">
        <f>IF(C51&gt;C53,"See Tab A","")</f>
      </c>
      <c r="D54" s="468"/>
      <c r="E54" s="468">
        <f>IF(E51&gt;E53,"See Tab C","")</f>
      </c>
      <c r="F54" s="448"/>
    </row>
    <row r="55" spans="2:6" ht="15">
      <c r="B55" s="465"/>
      <c r="C55" s="468">
        <f>IF(C52&lt;0,"See Tab B","")</f>
      </c>
      <c r="D55" s="468"/>
      <c r="E55" s="468">
        <f>IF(E52&lt;0,"See Tab D","")</f>
      </c>
      <c r="F55" s="448"/>
    </row>
    <row r="56" spans="2:6" ht="14.25">
      <c r="B56" s="448"/>
      <c r="C56" s="448"/>
      <c r="D56" s="448"/>
      <c r="E56" s="448"/>
      <c r="F56" s="448"/>
    </row>
    <row r="57" spans="2:6" ht="14.25">
      <c r="B57" s="397"/>
      <c r="C57" s="471"/>
      <c r="D57" s="471"/>
      <c r="E57" s="448"/>
      <c r="F57" s="448"/>
    </row>
  </sheetData>
  <sheetProtection/>
  <conditionalFormatting sqref="C10">
    <cfRule type="cellIs" priority="3" dxfId="114" operator="greaterThan" stopIfTrue="1">
      <formula>$C$12*0.1</formula>
    </cfRule>
  </conditionalFormatting>
  <conditionalFormatting sqref="E38">
    <cfRule type="cellIs" priority="10" dxfId="114" operator="greaterThan" stopIfTrue="1">
      <formula>$E$40*0.1</formula>
    </cfRule>
  </conditionalFormatting>
  <conditionalFormatting sqref="F38">
    <cfRule type="cellIs" priority="11" dxfId="114" operator="greaterThan" stopIfTrue="1">
      <formula>$F$40*0.1</formula>
    </cfRule>
  </conditionalFormatting>
  <conditionalFormatting sqref="C49">
    <cfRule type="cellIs" priority="12" dxfId="114" operator="greaterThan" stopIfTrue="1">
      <formula>$C$51*0.1</formula>
    </cfRule>
  </conditionalFormatting>
  <conditionalFormatting sqref="E49">
    <cfRule type="cellIs" priority="13" dxfId="114" operator="greaterThan" stopIfTrue="1">
      <formula>$E$51*0.1</formula>
    </cfRule>
  </conditionalFormatting>
  <conditionalFormatting sqref="F49">
    <cfRule type="cellIs" priority="14" dxfId="114" operator="greaterThan" stopIfTrue="1">
      <formula>$F$51*0.1</formula>
    </cfRule>
  </conditionalFormatting>
  <conditionalFormatting sqref="E51">
    <cfRule type="cellIs" priority="15" dxfId="1" operator="greaterThan" stopIfTrue="1">
      <formula>$E$53</formula>
    </cfRule>
  </conditionalFormatting>
  <conditionalFormatting sqref="C51:D51">
    <cfRule type="cellIs" priority="16" dxfId="1" operator="greaterThan" stopIfTrue="1">
      <formula>$C$53</formula>
    </cfRule>
  </conditionalFormatting>
  <conditionalFormatting sqref="F52 D26 C52:D52">
    <cfRule type="cellIs" priority="17" dxfId="1" operator="lessThan" stopIfTrue="1">
      <formula>0</formula>
    </cfRule>
  </conditionalFormatting>
  <conditionalFormatting sqref="E25">
    <cfRule type="cellIs" priority="18" dxfId="1" operator="greaterThan" stopIfTrue="1">
      <formula>$E$27</formula>
    </cfRule>
  </conditionalFormatting>
  <conditionalFormatting sqref="C25:D25">
    <cfRule type="cellIs" priority="19" dxfId="1" operator="greaterThan" stopIfTrue="1">
      <formula>$C$27</formula>
    </cfRule>
  </conditionalFormatting>
  <conditionalFormatting sqref="E5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82" r:id="rId1"/>
  <headerFooter alignWithMargins="0">
    <oddHeader>&amp;RState of Kansas
City</oddHeader>
    <oddFooter>&amp;C&amp;"Arial,Regular"&amp;10KC - &amp;P</oddFooter>
  </headerFooter>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B1:F70"/>
  <sheetViews>
    <sheetView zoomScale="80" zoomScaleNormal="80" zoomScalePageLayoutView="0" workbookViewId="0" topLeftCell="A16">
      <selection activeCell="E45" sqref="E45"/>
    </sheetView>
  </sheetViews>
  <sheetFormatPr defaultColWidth="8.796875" defaultRowHeight="15"/>
  <cols>
    <col min="1" max="1" width="2.3984375" style="396" customWidth="1"/>
    <col min="2" max="2" width="31.09765625" style="396" customWidth="1"/>
    <col min="3" max="5" width="15.796875" style="396" customWidth="1"/>
    <col min="6" max="6" width="16.09765625" style="396" customWidth="1"/>
    <col min="7" max="16384" width="8.8984375" style="396" customWidth="1"/>
  </cols>
  <sheetData>
    <row r="1" spans="2:6" ht="14.25">
      <c r="B1" s="447" t="str">
        <f>(inputPrYr!D2)</f>
        <v>Kansas City</v>
      </c>
      <c r="C1" s="448"/>
      <c r="D1" s="448"/>
      <c r="E1" s="448"/>
      <c r="F1" s="449">
        <f>inputPrYr!C5</f>
        <v>2012</v>
      </c>
    </row>
    <row r="2" spans="2:6" ht="14.25">
      <c r="B2" s="448"/>
      <c r="C2" s="448"/>
      <c r="D2" s="448"/>
      <c r="E2" s="448"/>
      <c r="F2" s="450"/>
    </row>
    <row r="3" spans="2:6" ht="15">
      <c r="B3" s="451" t="s">
        <v>171</v>
      </c>
      <c r="C3" s="452"/>
      <c r="D3" s="452"/>
      <c r="E3" s="452"/>
      <c r="F3" s="452"/>
    </row>
    <row r="4" spans="2:6" ht="14.25">
      <c r="B4" s="453" t="s">
        <v>106</v>
      </c>
      <c r="C4" s="354" t="s">
        <v>857</v>
      </c>
      <c r="D4" s="355">
        <v>2011</v>
      </c>
      <c r="E4" s="356" t="s">
        <v>858</v>
      </c>
      <c r="F4" s="356" t="s">
        <v>859</v>
      </c>
    </row>
    <row r="5" spans="2:6" ht="14.25">
      <c r="B5" s="477" t="str">
        <f>inputPrYr!B31</f>
        <v>Environmental Trust</v>
      </c>
      <c r="C5" s="357" t="s">
        <v>861</v>
      </c>
      <c r="D5" s="358" t="s">
        <v>860</v>
      </c>
      <c r="E5" s="359" t="s">
        <v>862</v>
      </c>
      <c r="F5" s="357">
        <v>2012</v>
      </c>
    </row>
    <row r="6" spans="2:6" ht="14.25">
      <c r="B6" s="454" t="s">
        <v>223</v>
      </c>
      <c r="C6" s="410">
        <v>593858</v>
      </c>
      <c r="D6" s="410">
        <v>46458</v>
      </c>
      <c r="E6" s="455">
        <f>C29</f>
        <v>41417</v>
      </c>
      <c r="F6" s="455">
        <f>E29</f>
        <v>17817</v>
      </c>
    </row>
    <row r="7" spans="2:6" ht="14.25">
      <c r="B7" s="456" t="s">
        <v>225</v>
      </c>
      <c r="C7" s="457"/>
      <c r="D7" s="457"/>
      <c r="E7" s="457"/>
      <c r="F7" s="457"/>
    </row>
    <row r="8" spans="2:6" ht="14.25">
      <c r="B8" s="456" t="s">
        <v>1123</v>
      </c>
      <c r="C8" s="457">
        <v>15000</v>
      </c>
      <c r="D8" s="457">
        <v>0</v>
      </c>
      <c r="E8" s="457">
        <v>0</v>
      </c>
      <c r="F8" s="457">
        <v>0</v>
      </c>
    </row>
    <row r="9" spans="2:6" ht="14.25">
      <c r="B9" s="342" t="s">
        <v>1120</v>
      </c>
      <c r="C9" s="410">
        <v>876082</v>
      </c>
      <c r="D9" s="648">
        <v>930000</v>
      </c>
      <c r="E9" s="410">
        <v>930000</v>
      </c>
      <c r="F9" s="410">
        <v>930000</v>
      </c>
    </row>
    <row r="10" spans="2:6" ht="14.25">
      <c r="B10" s="342" t="s">
        <v>975</v>
      </c>
      <c r="C10" s="410">
        <v>9767</v>
      </c>
      <c r="D10" s="648">
        <v>43200</v>
      </c>
      <c r="E10" s="410">
        <v>6400</v>
      </c>
      <c r="F10" s="410">
        <v>6400</v>
      </c>
    </row>
    <row r="11" spans="2:6" ht="14.25">
      <c r="B11" s="342" t="s">
        <v>1121</v>
      </c>
      <c r="C11" s="410">
        <v>0</v>
      </c>
      <c r="D11" s="648">
        <v>400000</v>
      </c>
      <c r="E11" s="410">
        <v>0</v>
      </c>
      <c r="F11" s="410">
        <v>0</v>
      </c>
    </row>
    <row r="12" spans="2:6" ht="14.25">
      <c r="B12" s="474" t="s">
        <v>1012</v>
      </c>
      <c r="C12" s="410">
        <v>16692</v>
      </c>
      <c r="D12" s="648"/>
      <c r="E12" s="410">
        <v>0</v>
      </c>
      <c r="F12" s="410">
        <v>0</v>
      </c>
    </row>
    <row r="13" spans="2:6" ht="14.25">
      <c r="B13" s="342" t="s">
        <v>1122</v>
      </c>
      <c r="C13" s="410">
        <v>0</v>
      </c>
      <c r="D13" s="648">
        <v>0</v>
      </c>
      <c r="E13" s="410">
        <v>0</v>
      </c>
      <c r="F13" s="410">
        <v>0</v>
      </c>
    </row>
    <row r="14" spans="2:6" ht="14.25">
      <c r="B14" s="343" t="s">
        <v>16</v>
      </c>
      <c r="C14" s="410">
        <v>0</v>
      </c>
      <c r="D14" s="648">
        <v>0</v>
      </c>
      <c r="E14" s="410">
        <v>0</v>
      </c>
      <c r="F14" s="410">
        <v>0</v>
      </c>
    </row>
    <row r="15" spans="2:6" ht="14.25">
      <c r="B15" s="454" t="s">
        <v>804</v>
      </c>
      <c r="C15" s="460">
        <f>IF(C16*0.1&lt;C14,"Exceed 10% Rule","")</f>
      </c>
      <c r="D15" s="460">
        <f>IF(D16*0.1&lt;D14,"Exceed 10% Rule","")</f>
      </c>
      <c r="E15" s="460">
        <f>IF(E16*0.1&lt;E14,"Exceed 10% Rule","")</f>
      </c>
      <c r="F15" s="460">
        <f>IF(F16*0.1&lt;F14,"Exceed 10% Rule","")</f>
      </c>
    </row>
    <row r="16" spans="2:6" ht="15">
      <c r="B16" s="461" t="s">
        <v>111</v>
      </c>
      <c r="C16" s="462">
        <f>SUM(C8:C14)</f>
        <v>917541</v>
      </c>
      <c r="D16" s="649">
        <f>SUM(D9:D14)</f>
        <v>1373200</v>
      </c>
      <c r="E16" s="649">
        <f>SUM(E9:E14)</f>
        <v>936400</v>
      </c>
      <c r="F16" s="649">
        <f>SUM(F9:F14)</f>
        <v>936400</v>
      </c>
    </row>
    <row r="17" spans="2:6" ht="15">
      <c r="B17" s="461" t="s">
        <v>112</v>
      </c>
      <c r="C17" s="462">
        <f>C6+C16</f>
        <v>1511399</v>
      </c>
      <c r="D17" s="649">
        <f>D6+D16</f>
        <v>1419658</v>
      </c>
      <c r="E17" s="462">
        <f>E6+E16</f>
        <v>977817</v>
      </c>
      <c r="F17" s="462">
        <f>F6+F16</f>
        <v>954217</v>
      </c>
    </row>
    <row r="18" spans="2:6" ht="15.75">
      <c r="B18" s="463" t="s">
        <v>113</v>
      </c>
      <c r="C18" s="455"/>
      <c r="D18" s="90"/>
      <c r="E18" s="455"/>
      <c r="F18" s="455"/>
    </row>
    <row r="19" spans="2:6" ht="14.25">
      <c r="B19" s="475" t="s">
        <v>962</v>
      </c>
      <c r="C19" s="410"/>
      <c r="D19" s="648">
        <v>0</v>
      </c>
      <c r="E19" s="410">
        <v>0</v>
      </c>
      <c r="F19" s="410">
        <v>0</v>
      </c>
    </row>
    <row r="20" spans="2:6" ht="14.25">
      <c r="B20" s="475" t="s">
        <v>963</v>
      </c>
      <c r="C20" s="410">
        <v>958999</v>
      </c>
      <c r="D20" s="648">
        <v>520000</v>
      </c>
      <c r="E20" s="410">
        <v>770000</v>
      </c>
      <c r="F20" s="410">
        <v>770000</v>
      </c>
    </row>
    <row r="21" spans="2:6" ht="14.25">
      <c r="B21" s="475" t="s">
        <v>964</v>
      </c>
      <c r="C21" s="410">
        <v>0</v>
      </c>
      <c r="D21" s="648">
        <v>0</v>
      </c>
      <c r="E21" s="410">
        <v>0</v>
      </c>
      <c r="F21" s="410">
        <v>0</v>
      </c>
    </row>
    <row r="22" spans="2:6" ht="14.25">
      <c r="B22" s="475" t="s">
        <v>965</v>
      </c>
      <c r="C22" s="410">
        <v>0</v>
      </c>
      <c r="D22" s="648">
        <v>0</v>
      </c>
      <c r="E22" s="410">
        <v>0</v>
      </c>
      <c r="F22" s="410">
        <v>0</v>
      </c>
    </row>
    <row r="23" spans="2:6" ht="14.25">
      <c r="B23" s="475" t="s">
        <v>1013</v>
      </c>
      <c r="C23" s="410">
        <v>0</v>
      </c>
      <c r="D23" s="648">
        <v>0</v>
      </c>
      <c r="E23" s="410">
        <v>0</v>
      </c>
      <c r="F23" s="410">
        <v>0</v>
      </c>
    </row>
    <row r="24" spans="2:6" ht="14.25">
      <c r="B24" s="475" t="s">
        <v>966</v>
      </c>
      <c r="C24" s="410">
        <v>510983</v>
      </c>
      <c r="D24" s="648">
        <v>100000</v>
      </c>
      <c r="E24" s="410">
        <v>100000</v>
      </c>
      <c r="F24" s="410">
        <v>100000</v>
      </c>
    </row>
    <row r="25" spans="2:6" ht="14.25">
      <c r="B25" s="475" t="s">
        <v>47</v>
      </c>
      <c r="C25" s="410">
        <v>0</v>
      </c>
      <c r="D25" s="648">
        <v>0</v>
      </c>
      <c r="E25" s="410">
        <v>0</v>
      </c>
      <c r="F25" s="410">
        <v>0</v>
      </c>
    </row>
    <row r="26" spans="2:6" ht="14.25">
      <c r="B26" s="464" t="s">
        <v>16</v>
      </c>
      <c r="C26" s="410">
        <v>0</v>
      </c>
      <c r="D26" s="648">
        <v>0</v>
      </c>
      <c r="E26" s="459">
        <v>90000</v>
      </c>
      <c r="F26" s="459">
        <v>50000</v>
      </c>
    </row>
    <row r="27" spans="2:6" ht="14.25">
      <c r="B27" s="464" t="s">
        <v>805</v>
      </c>
      <c r="C27" s="413">
        <f>IF(C28*0.1&lt;C26,"Exceed 10% Rule","")</f>
      </c>
      <c r="D27" s="460"/>
      <c r="E27" s="460">
        <f>IF(E28*0.1&lt;E26,"Exceed 10% Rule","")</f>
      </c>
      <c r="F27" s="460">
        <f>IF(F28*0.1&lt;F26,"Exceed 10% Rule","")</f>
      </c>
    </row>
    <row r="28" spans="2:6" ht="15">
      <c r="B28" s="461" t="s">
        <v>117</v>
      </c>
      <c r="C28" s="462">
        <f>SUM(C19:C26)</f>
        <v>1469982</v>
      </c>
      <c r="D28" s="462">
        <f>SUM(D19:D26)</f>
        <v>620000</v>
      </c>
      <c r="E28" s="462">
        <f>SUM(E19:E26)</f>
        <v>960000</v>
      </c>
      <c r="F28" s="462">
        <f>SUM(F19:F26)</f>
        <v>920000</v>
      </c>
    </row>
    <row r="29" spans="2:6" ht="14.25">
      <c r="B29" s="463" t="s">
        <v>224</v>
      </c>
      <c r="C29" s="455">
        <f>C17-C28</f>
        <v>41417</v>
      </c>
      <c r="D29" s="455">
        <f>D17-D28</f>
        <v>799658</v>
      </c>
      <c r="E29" s="455">
        <f>E17-E28</f>
        <v>17817</v>
      </c>
      <c r="F29" s="455">
        <f>F17-F28</f>
        <v>34217</v>
      </c>
    </row>
    <row r="30" spans="2:6" ht="15">
      <c r="B30" s="465" t="str">
        <f>CONCATENATE("",F1-2,"/",F1-1," Budget Authority Amount:")</f>
        <v>2010/2011 Budget Authority Amount:</v>
      </c>
      <c r="C30" s="466">
        <f>inputOth!B60</f>
        <v>1470000</v>
      </c>
      <c r="D30" s="466"/>
      <c r="E30" s="466">
        <f>inputPrYr!D31</f>
        <v>960000</v>
      </c>
      <c r="F30" s="467">
        <f>IF(F29&lt;0,"See Tab E","")</f>
      </c>
    </row>
    <row r="31" spans="2:6" ht="15">
      <c r="B31" s="465"/>
      <c r="C31" s="468">
        <f>IF(C28&gt;C30,"See Tab A","")</f>
      </c>
      <c r="D31" s="468"/>
      <c r="E31" s="468">
        <f>IF(E28&gt;E30,"See Tab C","")</f>
      </c>
      <c r="F31" s="469"/>
    </row>
    <row r="32" spans="2:6" ht="15">
      <c r="B32" s="465"/>
      <c r="C32" s="468">
        <f>IF(C29&lt;0,"See Tab B","")</f>
      </c>
      <c r="D32" s="468"/>
      <c r="E32" s="468">
        <f>IF(E29&lt;0,"See Tab D","")</f>
      </c>
      <c r="F32" s="469"/>
    </row>
    <row r="33" spans="2:6" ht="14.25">
      <c r="B33" s="448"/>
      <c r="C33" s="469"/>
      <c r="D33" s="469"/>
      <c r="E33" s="469"/>
      <c r="F33" s="469"/>
    </row>
    <row r="34" spans="2:6" ht="14.25">
      <c r="B34" s="453" t="s">
        <v>106</v>
      </c>
      <c r="C34" s="470"/>
      <c r="D34" s="470"/>
      <c r="E34" s="470"/>
      <c r="F34" s="470"/>
    </row>
    <row r="35" spans="2:6" ht="14.25">
      <c r="B35" s="448"/>
      <c r="C35" s="354" t="s">
        <v>857</v>
      </c>
      <c r="D35" s="355">
        <v>2011</v>
      </c>
      <c r="E35" s="356" t="s">
        <v>858</v>
      </c>
      <c r="F35" s="356" t="s">
        <v>859</v>
      </c>
    </row>
    <row r="36" spans="2:6" ht="14.25">
      <c r="B36" s="477" t="str">
        <f>inputPrYr!B32</f>
        <v>EMS Enterprise Fund</v>
      </c>
      <c r="C36" s="357" t="s">
        <v>861</v>
      </c>
      <c r="D36" s="358" t="s">
        <v>860</v>
      </c>
      <c r="E36" s="359" t="s">
        <v>862</v>
      </c>
      <c r="F36" s="357">
        <v>2012</v>
      </c>
    </row>
    <row r="37" spans="2:6" ht="15">
      <c r="B37" s="454" t="s">
        <v>223</v>
      </c>
      <c r="C37" s="653">
        <v>436229</v>
      </c>
      <c r="D37" s="649">
        <v>31913</v>
      </c>
      <c r="E37" s="462">
        <f>C65</f>
        <v>39063</v>
      </c>
      <c r="F37" s="462">
        <f>E65</f>
        <v>3158</v>
      </c>
    </row>
    <row r="38" spans="2:6" ht="14.25">
      <c r="B38" s="456" t="s">
        <v>225</v>
      </c>
      <c r="C38" s="457"/>
      <c r="D38" s="648">
        <v>0</v>
      </c>
      <c r="E38" s="457"/>
      <c r="F38" s="457"/>
    </row>
    <row r="39" spans="2:6" ht="14.25">
      <c r="B39" s="367" t="s">
        <v>1026</v>
      </c>
      <c r="C39" s="410">
        <v>3004797</v>
      </c>
      <c r="D39" s="648">
        <v>3025000</v>
      </c>
      <c r="E39" s="410">
        <v>3050000</v>
      </c>
      <c r="F39" s="410">
        <v>3050000</v>
      </c>
    </row>
    <row r="40" spans="2:6" ht="14.25">
      <c r="B40" s="367" t="s">
        <v>1027</v>
      </c>
      <c r="C40" s="410">
        <v>664278</v>
      </c>
      <c r="D40" s="648">
        <v>600000</v>
      </c>
      <c r="E40" s="410">
        <v>620000</v>
      </c>
      <c r="F40" s="410">
        <v>620000</v>
      </c>
    </row>
    <row r="41" spans="2:6" ht="14.25">
      <c r="B41" s="367" t="s">
        <v>1028</v>
      </c>
      <c r="C41" s="410">
        <v>25068</v>
      </c>
      <c r="D41" s="648">
        <v>10000</v>
      </c>
      <c r="E41" s="410">
        <v>10000</v>
      </c>
      <c r="F41" s="410">
        <v>10000</v>
      </c>
    </row>
    <row r="42" spans="2:6" ht="14.25">
      <c r="B42" s="367" t="s">
        <v>1029</v>
      </c>
      <c r="C42" s="410">
        <v>22817</v>
      </c>
      <c r="D42" s="648">
        <v>25000</v>
      </c>
      <c r="E42" s="410">
        <v>25000</v>
      </c>
      <c r="F42" s="410">
        <v>25000</v>
      </c>
    </row>
    <row r="43" spans="2:6" ht="14.25">
      <c r="B43" s="367" t="s">
        <v>1030</v>
      </c>
      <c r="C43" s="410">
        <v>4274176</v>
      </c>
      <c r="D43" s="648">
        <v>4291000</v>
      </c>
      <c r="E43" s="410">
        <v>4291000</v>
      </c>
      <c r="F43" s="410">
        <v>4291000</v>
      </c>
    </row>
    <row r="44" spans="2:6" ht="14.25">
      <c r="B44" s="367" t="s">
        <v>1031</v>
      </c>
      <c r="C44" s="410">
        <v>56320</v>
      </c>
      <c r="D44" s="648">
        <v>67000</v>
      </c>
      <c r="E44" s="410">
        <v>67000</v>
      </c>
      <c r="F44" s="410">
        <v>150000</v>
      </c>
    </row>
    <row r="45" spans="2:6" ht="14.25">
      <c r="B45" s="367" t="s">
        <v>1032</v>
      </c>
      <c r="C45" s="410">
        <v>14543</v>
      </c>
      <c r="D45" s="648">
        <v>15000</v>
      </c>
      <c r="E45" s="410">
        <v>15000</v>
      </c>
      <c r="F45" s="410">
        <v>15000</v>
      </c>
    </row>
    <row r="46" spans="2:6" ht="14.25">
      <c r="B46" s="367" t="s">
        <v>1033</v>
      </c>
      <c r="C46" s="410">
        <v>3543</v>
      </c>
      <c r="D46" s="648">
        <v>11300</v>
      </c>
      <c r="E46" s="410">
        <v>3600</v>
      </c>
      <c r="F46" s="410">
        <v>3600</v>
      </c>
    </row>
    <row r="47" spans="2:6" ht="14.25">
      <c r="B47" s="367" t="s">
        <v>1034</v>
      </c>
      <c r="C47" s="410">
        <v>475000</v>
      </c>
      <c r="D47" s="648">
        <v>950000</v>
      </c>
      <c r="E47" s="410">
        <v>950000</v>
      </c>
      <c r="F47" s="410">
        <v>500000</v>
      </c>
    </row>
    <row r="48" spans="2:6" ht="14.25">
      <c r="B48" s="367" t="s">
        <v>951</v>
      </c>
      <c r="C48" s="410">
        <v>0</v>
      </c>
      <c r="D48" s="648">
        <v>4000</v>
      </c>
      <c r="E48" s="410">
        <v>4000</v>
      </c>
      <c r="F48" s="410">
        <v>4000</v>
      </c>
    </row>
    <row r="49" spans="2:6" ht="14.25">
      <c r="B49" s="475" t="s">
        <v>1035</v>
      </c>
      <c r="C49" s="410">
        <v>4395</v>
      </c>
      <c r="D49" s="648">
        <v>0</v>
      </c>
      <c r="E49" s="410">
        <v>0</v>
      </c>
      <c r="F49" s="410">
        <v>0</v>
      </c>
    </row>
    <row r="50" spans="2:6" ht="14.25">
      <c r="B50" s="458" t="s">
        <v>16</v>
      </c>
      <c r="C50" s="410">
        <v>21742</v>
      </c>
      <c r="D50" s="648">
        <v>0</v>
      </c>
      <c r="E50" s="459">
        <v>0</v>
      </c>
      <c r="F50" s="459">
        <v>0</v>
      </c>
    </row>
    <row r="51" spans="2:6" ht="15.75">
      <c r="B51" s="454" t="s">
        <v>804</v>
      </c>
      <c r="C51" s="413">
        <f>IF(C52*0.1&lt;C50,"Exceed 10% Rule","")</f>
      </c>
      <c r="D51" s="94">
        <f>IF(D52*0.1&lt;D50,"Exceed 10% Rule","")</f>
      </c>
      <c r="E51" s="460">
        <f>IF(E52*0.1&lt;E50,"Exceed 10% Rule","")</f>
      </c>
      <c r="F51" s="460">
        <f>IF(F52*0.1&lt;F50,"Exceed 10% Rule","")</f>
      </c>
    </row>
    <row r="52" spans="2:6" ht="15">
      <c r="B52" s="461" t="s">
        <v>111</v>
      </c>
      <c r="C52" s="462">
        <f>SUM(C39:C50)</f>
        <v>8566679</v>
      </c>
      <c r="D52" s="649">
        <f>SUM(D39:D50)</f>
        <v>8998300</v>
      </c>
      <c r="E52" s="462">
        <f>SUM(E39:E50)</f>
        <v>9035600</v>
      </c>
      <c r="F52" s="462">
        <f>SUM(F39:F50)</f>
        <v>8668600</v>
      </c>
    </row>
    <row r="53" spans="2:6" ht="15">
      <c r="B53" s="461" t="s">
        <v>112</v>
      </c>
      <c r="C53" s="462">
        <f>C37+C52</f>
        <v>9002908</v>
      </c>
      <c r="D53" s="648">
        <f>D37+D52</f>
        <v>9030213</v>
      </c>
      <c r="E53" s="462">
        <f>E37+E52</f>
        <v>9074663</v>
      </c>
      <c r="F53" s="462">
        <f>F37+F52</f>
        <v>8671758</v>
      </c>
    </row>
    <row r="54" spans="2:6" ht="15.75">
      <c r="B54" s="463" t="s">
        <v>113</v>
      </c>
      <c r="C54" s="455"/>
      <c r="D54" s="90"/>
      <c r="E54" s="455"/>
      <c r="F54" s="455"/>
    </row>
    <row r="55" spans="2:6" ht="14.25">
      <c r="B55" s="479" t="s">
        <v>962</v>
      </c>
      <c r="C55" s="410">
        <v>4875144</v>
      </c>
      <c r="D55" s="648">
        <v>4533128</v>
      </c>
      <c r="E55" s="410">
        <v>4527544</v>
      </c>
      <c r="F55" s="410">
        <v>4572544</v>
      </c>
    </row>
    <row r="56" spans="2:6" ht="14.25">
      <c r="B56" s="479" t="s">
        <v>963</v>
      </c>
      <c r="C56" s="410">
        <v>456076</v>
      </c>
      <c r="D56" s="648">
        <f>522449-4000</f>
        <v>518449</v>
      </c>
      <c r="E56" s="410">
        <v>518449</v>
      </c>
      <c r="F56" s="410">
        <v>518449</v>
      </c>
    </row>
    <row r="57" spans="2:6" ht="14.25">
      <c r="B57" s="479" t="s">
        <v>964</v>
      </c>
      <c r="C57" s="410">
        <v>594049</v>
      </c>
      <c r="D57" s="648">
        <f>688268-87200</f>
        <v>601068</v>
      </c>
      <c r="E57" s="410">
        <v>659571</v>
      </c>
      <c r="F57" s="410">
        <v>659571</v>
      </c>
    </row>
    <row r="58" spans="2:6" ht="14.25">
      <c r="B58" s="479" t="s">
        <v>965</v>
      </c>
      <c r="C58" s="410">
        <v>0</v>
      </c>
      <c r="D58" s="648">
        <v>222913</v>
      </c>
      <c r="E58" s="410">
        <v>234413</v>
      </c>
      <c r="F58" s="410">
        <v>234413</v>
      </c>
    </row>
    <row r="59" spans="2:6" ht="14.25">
      <c r="B59" s="479" t="s">
        <v>1013</v>
      </c>
      <c r="C59" s="410">
        <v>2606000</v>
      </c>
      <c r="D59" s="648">
        <v>2606000</v>
      </c>
      <c r="E59" s="410">
        <v>2606000</v>
      </c>
      <c r="F59" s="410">
        <v>2256000</v>
      </c>
    </row>
    <row r="60" spans="2:6" ht="14.25">
      <c r="B60" s="479" t="s">
        <v>966</v>
      </c>
      <c r="C60" s="410">
        <v>432576</v>
      </c>
      <c r="D60" s="648">
        <v>274128</v>
      </c>
      <c r="E60" s="410">
        <v>275528</v>
      </c>
      <c r="F60" s="410">
        <v>327303</v>
      </c>
    </row>
    <row r="61" spans="2:6" ht="14.25">
      <c r="B61" s="479" t="s">
        <v>47</v>
      </c>
      <c r="C61" s="410">
        <v>0</v>
      </c>
      <c r="D61" s="648">
        <v>0</v>
      </c>
      <c r="E61" s="410">
        <v>0</v>
      </c>
      <c r="F61" s="410">
        <v>0</v>
      </c>
    </row>
    <row r="62" spans="2:6" ht="14.25">
      <c r="B62" s="464" t="s">
        <v>16</v>
      </c>
      <c r="C62" s="410">
        <v>0</v>
      </c>
      <c r="D62" s="648">
        <v>0</v>
      </c>
      <c r="E62" s="459">
        <v>250000</v>
      </c>
      <c r="F62" s="459">
        <v>50000</v>
      </c>
    </row>
    <row r="63" spans="2:6" ht="14.25">
      <c r="B63" s="464" t="s">
        <v>805</v>
      </c>
      <c r="C63" s="413">
        <f>IF(C64*0.1&lt;C62,"Exceed 10% Rule","")</f>
      </c>
      <c r="D63" s="460"/>
      <c r="E63" s="460">
        <f>IF(E64*0.1&lt;E62,"Exceed 10% Rule","")</f>
      </c>
      <c r="F63" s="460">
        <f>IF(F64*0.1&lt;F62,"Exceed 10% Rule","")</f>
      </c>
    </row>
    <row r="64" spans="2:6" ht="15">
      <c r="B64" s="461" t="s">
        <v>117</v>
      </c>
      <c r="C64" s="462">
        <f>SUM(C55:C62)</f>
        <v>8963845</v>
      </c>
      <c r="D64" s="462">
        <f>SUM(D55:D62)</f>
        <v>8755686</v>
      </c>
      <c r="E64" s="462">
        <f>SUM(E55:E62)</f>
        <v>9071505</v>
      </c>
      <c r="F64" s="462">
        <f>SUM(F55:F62)</f>
        <v>8618280</v>
      </c>
    </row>
    <row r="65" spans="2:6" ht="14.25">
      <c r="B65" s="463" t="s">
        <v>224</v>
      </c>
      <c r="C65" s="455">
        <f>C53-C64</f>
        <v>39063</v>
      </c>
      <c r="D65" s="455">
        <f>D53-D64</f>
        <v>274527</v>
      </c>
      <c r="E65" s="455">
        <f>E53-E64</f>
        <v>3158</v>
      </c>
      <c r="F65" s="455">
        <f>F53-F64</f>
        <v>53478</v>
      </c>
    </row>
    <row r="66" spans="2:6" ht="15">
      <c r="B66" s="465" t="str">
        <f>CONCATENATE("",F1-2,"/",F1-1," Budget Authority Amount:")</f>
        <v>2010/2011 Budget Authority Amount:</v>
      </c>
      <c r="C66" s="466">
        <f>inputOth!B61</f>
        <v>9196416</v>
      </c>
      <c r="D66" s="466"/>
      <c r="E66" s="466">
        <f>inputPrYr!D32</f>
        <v>9071505</v>
      </c>
      <c r="F66" s="467">
        <f>IF(F65&lt;0,"See Tab E","")</f>
      </c>
    </row>
    <row r="67" spans="2:6" ht="15">
      <c r="B67" s="465"/>
      <c r="C67" s="468">
        <f>IF(C64&gt;C66,"See Tab A","")</f>
      </c>
      <c r="D67" s="468"/>
      <c r="E67" s="468">
        <f>IF(E64&gt;E66,"See Tab C","")</f>
      </c>
      <c r="F67" s="448"/>
    </row>
    <row r="68" spans="2:6" ht="15">
      <c r="B68" s="465"/>
      <c r="C68" s="468">
        <f>IF(C65&lt;0,"See Tab B","")</f>
      </c>
      <c r="D68" s="468"/>
      <c r="E68" s="468">
        <f>IF(E65&lt;0,"See Tab D","")</f>
      </c>
      <c r="F68" s="448"/>
    </row>
    <row r="69" spans="2:6" ht="14.25">
      <c r="B69" s="448"/>
      <c r="C69" s="448"/>
      <c r="D69" s="448"/>
      <c r="E69" s="448"/>
      <c r="F69" s="448"/>
    </row>
    <row r="70" spans="2:6" ht="14.25">
      <c r="B70" s="397"/>
      <c r="C70" s="471"/>
      <c r="D70" s="471"/>
      <c r="E70" s="448"/>
      <c r="F70" s="448"/>
    </row>
  </sheetData>
  <sheetProtection/>
  <conditionalFormatting sqref="C26:D26">
    <cfRule type="cellIs" priority="7" dxfId="114" operator="greaterThan" stopIfTrue="1">
      <formula>$C$28*0.1</formula>
    </cfRule>
  </conditionalFormatting>
  <conditionalFormatting sqref="E26">
    <cfRule type="cellIs" priority="8" dxfId="114" operator="greaterThan" stopIfTrue="1">
      <formula>$E$28*0.1</formula>
    </cfRule>
  </conditionalFormatting>
  <conditionalFormatting sqref="F26">
    <cfRule type="cellIs" priority="9" dxfId="114" operator="greaterThan" stopIfTrue="1">
      <formula>$F$28*0.1</formula>
    </cfRule>
  </conditionalFormatting>
  <conditionalFormatting sqref="C50:D50">
    <cfRule type="cellIs" priority="10" dxfId="114" operator="greaterThan" stopIfTrue="1">
      <formula>$C$52*0.1</formula>
    </cfRule>
  </conditionalFormatting>
  <conditionalFormatting sqref="E50">
    <cfRule type="cellIs" priority="11" dxfId="114" operator="greaterThan" stopIfTrue="1">
      <formula>$E$52*0.1</formula>
    </cfRule>
  </conditionalFormatting>
  <conditionalFormatting sqref="F50">
    <cfRule type="cellIs" priority="12" dxfId="114" operator="greaterThan" stopIfTrue="1">
      <formula>$F$52*0.1</formula>
    </cfRule>
  </conditionalFormatting>
  <conditionalFormatting sqref="C62:D62">
    <cfRule type="cellIs" priority="13" dxfId="114" operator="greaterThan" stopIfTrue="1">
      <formula>$C$64*0.1</formula>
    </cfRule>
  </conditionalFormatting>
  <conditionalFormatting sqref="E62">
    <cfRule type="cellIs" priority="14" dxfId="114" operator="greaterThan" stopIfTrue="1">
      <formula>$E$64*0.1</formula>
    </cfRule>
  </conditionalFormatting>
  <conditionalFormatting sqref="F62">
    <cfRule type="cellIs" priority="15" dxfId="114" operator="greaterThan" stopIfTrue="1">
      <formula>$F$64*0.1</formula>
    </cfRule>
  </conditionalFormatting>
  <conditionalFormatting sqref="E64">
    <cfRule type="cellIs" priority="16" dxfId="1" operator="greaterThan" stopIfTrue="1">
      <formula>$E$66</formula>
    </cfRule>
  </conditionalFormatting>
  <conditionalFormatting sqref="C64:D64">
    <cfRule type="cellIs" priority="17" dxfId="1" operator="greaterThan" stopIfTrue="1">
      <formula>$C$66</formula>
    </cfRule>
  </conditionalFormatting>
  <conditionalFormatting sqref="F65 F29 C29:D29 C65:D65">
    <cfRule type="cellIs" priority="18" dxfId="1" operator="lessThan" stopIfTrue="1">
      <formula>0</formula>
    </cfRule>
  </conditionalFormatting>
  <conditionalFormatting sqref="C28:D28">
    <cfRule type="cellIs" priority="20" dxfId="1" operator="greaterThan" stopIfTrue="1">
      <formula>$C$30</formula>
    </cfRule>
  </conditionalFormatting>
  <conditionalFormatting sqref="E65 E29">
    <cfRule type="cellIs" priority="3" dxfId="0" operator="lessThan" stopIfTrue="1">
      <formula>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oddHeader>
    <oddFooter>&amp;C&amp;"Arial,Regular"&amp;10KC - &amp;P</oddFooter>
  </headerFooter>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B1:F29"/>
  <sheetViews>
    <sheetView zoomScale="80" zoomScaleNormal="80" zoomScalePageLayoutView="0" workbookViewId="0" topLeftCell="A1">
      <selection activeCell="F29" sqref="F29"/>
    </sheetView>
  </sheetViews>
  <sheetFormatPr defaultColWidth="8.796875" defaultRowHeight="15"/>
  <cols>
    <col min="1" max="1" width="2.3984375" style="480" customWidth="1"/>
    <col min="2" max="2" width="31.09765625" style="480" customWidth="1"/>
    <col min="3" max="5" width="15.796875" style="480" customWidth="1"/>
    <col min="6" max="6" width="16.09765625" style="480" customWidth="1"/>
    <col min="7" max="16384" width="8.8984375" style="480" customWidth="1"/>
  </cols>
  <sheetData>
    <row r="1" spans="2:6" ht="14.25">
      <c r="B1" s="447" t="str">
        <f>(inputPrYr!D2)</f>
        <v>Kansas City</v>
      </c>
      <c r="C1" s="448"/>
      <c r="D1" s="448"/>
      <c r="E1" s="448"/>
      <c r="F1" s="449">
        <f>inputPrYr!C5</f>
        <v>2012</v>
      </c>
    </row>
    <row r="2" spans="2:6" ht="14.25">
      <c r="B2" s="448"/>
      <c r="C2" s="448"/>
      <c r="D2" s="448"/>
      <c r="E2" s="448"/>
      <c r="F2" s="450"/>
    </row>
    <row r="3" spans="2:6" ht="15">
      <c r="B3" s="451" t="s">
        <v>171</v>
      </c>
      <c r="C3" s="452"/>
      <c r="D3" s="452"/>
      <c r="E3" s="452"/>
      <c r="F3" s="452"/>
    </row>
    <row r="4" spans="2:6" ht="14.25">
      <c r="B4" s="453" t="s">
        <v>106</v>
      </c>
      <c r="C4" s="354" t="s">
        <v>857</v>
      </c>
      <c r="D4" s="355">
        <v>2011</v>
      </c>
      <c r="E4" s="356" t="s">
        <v>858</v>
      </c>
      <c r="F4" s="356" t="s">
        <v>859</v>
      </c>
    </row>
    <row r="5" spans="2:6" ht="14.25">
      <c r="B5" s="477" t="str">
        <f>inputPrYr!B33</f>
        <v>Stormwater Enterprise</v>
      </c>
      <c r="C5" s="357" t="s">
        <v>861</v>
      </c>
      <c r="D5" s="358" t="s">
        <v>860</v>
      </c>
      <c r="E5" s="359" t="s">
        <v>862</v>
      </c>
      <c r="F5" s="357">
        <v>2012</v>
      </c>
    </row>
    <row r="6" spans="2:6" ht="15">
      <c r="B6" s="454" t="s">
        <v>223</v>
      </c>
      <c r="C6" s="653">
        <v>202368</v>
      </c>
      <c r="D6" s="654">
        <v>189852</v>
      </c>
      <c r="E6" s="462">
        <f>C25</f>
        <v>986736</v>
      </c>
      <c r="F6" s="462">
        <f>E25</f>
        <v>832714</v>
      </c>
    </row>
    <row r="7" spans="2:6" s="396" customFormat="1" ht="15.75">
      <c r="B7" s="456" t="s">
        <v>225</v>
      </c>
      <c r="C7" s="457"/>
      <c r="D7" s="38"/>
      <c r="E7" s="457"/>
      <c r="F7" s="457"/>
    </row>
    <row r="8" spans="2:6" ht="14.25">
      <c r="B8" s="367" t="s">
        <v>1036</v>
      </c>
      <c r="C8" s="410">
        <v>2213075</v>
      </c>
      <c r="D8" s="648">
        <v>2900000</v>
      </c>
      <c r="E8" s="410">
        <v>2900000</v>
      </c>
      <c r="F8" s="410">
        <v>3300000</v>
      </c>
    </row>
    <row r="9" spans="2:6" ht="14.25">
      <c r="B9" s="367" t="s">
        <v>975</v>
      </c>
      <c r="C9" s="410">
        <v>11049</v>
      </c>
      <c r="D9" s="648">
        <v>5000</v>
      </c>
      <c r="E9" s="410">
        <v>13700</v>
      </c>
      <c r="F9" s="410">
        <v>13700</v>
      </c>
    </row>
    <row r="10" spans="2:6" ht="14.25">
      <c r="B10" s="458" t="s">
        <v>16</v>
      </c>
      <c r="C10" s="410">
        <v>0</v>
      </c>
      <c r="D10" s="648">
        <v>0</v>
      </c>
      <c r="E10" s="459">
        <v>0</v>
      </c>
      <c r="F10" s="459">
        <v>0</v>
      </c>
    </row>
    <row r="11" spans="2:6" ht="15.75">
      <c r="B11" s="454" t="s">
        <v>804</v>
      </c>
      <c r="C11" s="413">
        <f>IF(C12*0.1&lt;C10,"Exceed 10% Rule","")</f>
      </c>
      <c r="D11" s="94">
        <f>IF(D12*0.1&lt;D10,"Exceed 10% Rule","")</f>
      </c>
      <c r="E11" s="460">
        <f>IF(E12*0.1&lt;E10,"Exceed 10% Rule","")</f>
      </c>
      <c r="F11" s="460">
        <f>IF(F12*0.1&lt;F10,"Exceed 10% Rule","")</f>
      </c>
    </row>
    <row r="12" spans="2:6" ht="15">
      <c r="B12" s="461" t="s">
        <v>111</v>
      </c>
      <c r="C12" s="462">
        <f>SUM(C8:C10)</f>
        <v>2224124</v>
      </c>
      <c r="D12" s="649">
        <f>SUM(D8:D10)</f>
        <v>2905000</v>
      </c>
      <c r="E12" s="462">
        <f>SUM(E8:E10)</f>
        <v>2913700</v>
      </c>
      <c r="F12" s="462">
        <f>SUM(F8:F10)</f>
        <v>3313700</v>
      </c>
    </row>
    <row r="13" spans="2:6" ht="15">
      <c r="B13" s="461" t="s">
        <v>112</v>
      </c>
      <c r="C13" s="462">
        <f>C6+C12</f>
        <v>2426492</v>
      </c>
      <c r="D13" s="649">
        <f>D6+D12</f>
        <v>3094852</v>
      </c>
      <c r="E13" s="462">
        <f>E6+E12</f>
        <v>3900436</v>
      </c>
      <c r="F13" s="462">
        <f>F6+F12</f>
        <v>4146414</v>
      </c>
    </row>
    <row r="14" spans="2:6" ht="15.75">
      <c r="B14" s="463" t="s">
        <v>113</v>
      </c>
      <c r="C14" s="455"/>
      <c r="D14" s="90"/>
      <c r="E14" s="455"/>
      <c r="F14" s="455"/>
    </row>
    <row r="15" spans="2:6" ht="14.25">
      <c r="B15" s="475" t="s">
        <v>962</v>
      </c>
      <c r="C15" s="410">
        <v>600000</v>
      </c>
      <c r="D15" s="648">
        <v>600000</v>
      </c>
      <c r="E15" s="410">
        <v>600000</v>
      </c>
      <c r="F15" s="410">
        <v>600000</v>
      </c>
    </row>
    <row r="16" spans="2:6" ht="14.25">
      <c r="B16" s="475" t="s">
        <v>963</v>
      </c>
      <c r="C16" s="410">
        <v>224962</v>
      </c>
      <c r="D16" s="648">
        <v>380000</v>
      </c>
      <c r="E16" s="410">
        <v>380000</v>
      </c>
      <c r="F16" s="410">
        <v>380000</v>
      </c>
    </row>
    <row r="17" spans="2:6" ht="14.25">
      <c r="B17" s="475" t="s">
        <v>964</v>
      </c>
      <c r="C17" s="410">
        <v>0</v>
      </c>
      <c r="D17" s="648">
        <v>0</v>
      </c>
      <c r="E17" s="410">
        <v>0</v>
      </c>
      <c r="F17" s="410">
        <v>0</v>
      </c>
    </row>
    <row r="18" spans="2:6" ht="14.25">
      <c r="B18" s="475" t="s">
        <v>965</v>
      </c>
      <c r="C18" s="410">
        <v>169509</v>
      </c>
      <c r="D18" s="648">
        <v>197516</v>
      </c>
      <c r="E18" s="410">
        <v>197516</v>
      </c>
      <c r="F18" s="410">
        <v>217516</v>
      </c>
    </row>
    <row r="19" spans="2:6" ht="14.25">
      <c r="B19" s="475" t="s">
        <v>1037</v>
      </c>
      <c r="C19" s="410">
        <v>0</v>
      </c>
      <c r="D19" s="648">
        <v>90206</v>
      </c>
      <c r="E19" s="410">
        <f>90206-1</f>
        <v>90205</v>
      </c>
      <c r="F19" s="410">
        <f>180548-1</f>
        <v>180547</v>
      </c>
    </row>
    <row r="20" spans="2:6" ht="14.25">
      <c r="B20" s="475" t="s">
        <v>966</v>
      </c>
      <c r="C20" s="410">
        <v>445285</v>
      </c>
      <c r="D20" s="648">
        <v>1100000</v>
      </c>
      <c r="E20" s="410">
        <v>1500000</v>
      </c>
      <c r="F20" s="410">
        <v>1800000</v>
      </c>
    </row>
    <row r="21" spans="2:6" ht="14.25">
      <c r="B21" s="475" t="s">
        <v>47</v>
      </c>
      <c r="C21" s="410">
        <v>0</v>
      </c>
      <c r="D21" s="648">
        <v>0</v>
      </c>
      <c r="E21" s="410">
        <v>0</v>
      </c>
      <c r="F21" s="410">
        <v>0</v>
      </c>
    </row>
    <row r="22" spans="2:6" ht="14.25">
      <c r="B22" s="464" t="s">
        <v>16</v>
      </c>
      <c r="C22" s="410">
        <v>0</v>
      </c>
      <c r="D22" s="648">
        <v>175000</v>
      </c>
      <c r="E22" s="459">
        <f>300000+1</f>
        <v>300001</v>
      </c>
      <c r="F22" s="459">
        <f>300000+1</f>
        <v>300001</v>
      </c>
    </row>
    <row r="23" spans="2:6" ht="14.25">
      <c r="B23" s="464" t="s">
        <v>805</v>
      </c>
      <c r="C23" s="413">
        <f>IF(C24*0.1&lt;C22,"Exceed 10% Rule","")</f>
      </c>
      <c r="D23" s="460"/>
      <c r="E23" s="460">
        <f>IF(E24*0.1&lt;E22,"Exceed 10% Rule","")</f>
      </c>
      <c r="F23" s="460">
        <f>IF(F24*0.1&lt;F22,"Exceed 10% Rule","")</f>
      </c>
    </row>
    <row r="24" spans="2:6" ht="15">
      <c r="B24" s="461" t="s">
        <v>117</v>
      </c>
      <c r="C24" s="462">
        <f>SUM(C15:C22)</f>
        <v>1439756</v>
      </c>
      <c r="D24" s="649">
        <f>SUM(D15:D22)</f>
        <v>2542722</v>
      </c>
      <c r="E24" s="462">
        <f>SUM(E15:E22)</f>
        <v>3067722</v>
      </c>
      <c r="F24" s="462">
        <f>SUM(F15:F22)</f>
        <v>3478064</v>
      </c>
    </row>
    <row r="25" spans="2:6" ht="14.25">
      <c r="B25" s="463" t="s">
        <v>224</v>
      </c>
      <c r="C25" s="455">
        <f>C13-C24</f>
        <v>986736</v>
      </c>
      <c r="D25" s="455">
        <f>D13-D24</f>
        <v>552130</v>
      </c>
      <c r="E25" s="455">
        <f>E13-E24</f>
        <v>832714</v>
      </c>
      <c r="F25" s="455">
        <f>F13-F24</f>
        <v>668350</v>
      </c>
    </row>
    <row r="26" spans="2:6" ht="15">
      <c r="B26" s="465" t="str">
        <f>CONCATENATE("",F1-2,"/",F1-1," Budget Authority Amount:")</f>
        <v>2010/2011 Budget Authority Amount:</v>
      </c>
      <c r="C26" s="466">
        <f>inputOth!B62</f>
        <v>2217516</v>
      </c>
      <c r="D26" s="466"/>
      <c r="E26" s="466">
        <f>inputPrYr!D33</f>
        <v>3067722</v>
      </c>
      <c r="F26" s="467">
        <f>IF(F25&lt;0,"See Tab E","")</f>
      </c>
    </row>
    <row r="27" spans="2:6" ht="15">
      <c r="B27" s="465"/>
      <c r="C27" s="468">
        <f>IF(C24&gt;C26,"See Tab A","")</f>
      </c>
      <c r="D27" s="468"/>
      <c r="E27" s="468">
        <f>IF(E24&gt;E26,"See Tab C","")</f>
      </c>
      <c r="F27" s="469"/>
    </row>
    <row r="28" spans="2:6" ht="15">
      <c r="B28" s="465"/>
      <c r="C28" s="468">
        <f>IF(C25&lt;0,"See Tab B","")</f>
      </c>
      <c r="D28" s="468"/>
      <c r="E28" s="468">
        <f>IF(E25&lt;0,"See Tab D","")</f>
      </c>
      <c r="F28" s="469"/>
    </row>
    <row r="29" spans="2:6" ht="14.25">
      <c r="B29" s="448"/>
      <c r="C29" s="469"/>
      <c r="D29" s="469"/>
      <c r="E29" s="469"/>
      <c r="F29" s="469"/>
    </row>
  </sheetData>
  <sheetProtection/>
  <conditionalFormatting sqref="C10:D10">
    <cfRule type="cellIs" priority="3" dxfId="114" operator="greaterThan" stopIfTrue="1">
      <formula>$C$12*0.1</formula>
    </cfRule>
  </conditionalFormatting>
  <conditionalFormatting sqref="E10">
    <cfRule type="cellIs" priority="4" dxfId="114" operator="greaterThan" stopIfTrue="1">
      <formula>$E$12*0.1</formula>
    </cfRule>
  </conditionalFormatting>
  <conditionalFormatting sqref="F10">
    <cfRule type="cellIs" priority="5" dxfId="114" operator="greaterThan" stopIfTrue="1">
      <formula>$F$12*0.1</formula>
    </cfRule>
  </conditionalFormatting>
  <conditionalFormatting sqref="C22">
    <cfRule type="cellIs" priority="6" dxfId="114" operator="greaterThan" stopIfTrue="1">
      <formula>$C$24*0.1</formula>
    </cfRule>
  </conditionalFormatting>
  <conditionalFormatting sqref="E22">
    <cfRule type="cellIs" priority="7" dxfId="114" operator="greaterThan" stopIfTrue="1">
      <formula>$E$24*0.1</formula>
    </cfRule>
  </conditionalFormatting>
  <conditionalFormatting sqref="F22">
    <cfRule type="cellIs" priority="8" dxfId="114" operator="greaterThan" stopIfTrue="1">
      <formula>$F$24*0.1</formula>
    </cfRule>
  </conditionalFormatting>
  <conditionalFormatting sqref="F25 C25:D25">
    <cfRule type="cellIs" priority="16" dxfId="1" operator="lessThan" stopIfTrue="1">
      <formula>0</formula>
    </cfRule>
  </conditionalFormatting>
  <conditionalFormatting sqref="E24">
    <cfRule type="cellIs" priority="17" dxfId="1" operator="greaterThan" stopIfTrue="1">
      <formula>$E$26</formula>
    </cfRule>
  </conditionalFormatting>
  <conditionalFormatting sqref="C24">
    <cfRule type="cellIs" priority="18" dxfId="1" operator="greaterThan" stopIfTrue="1">
      <formula>$C$26</formula>
    </cfRule>
  </conditionalFormatting>
  <conditionalFormatting sqref="E25">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82" r:id="rId1"/>
  <headerFooter alignWithMargins="0">
    <oddHeader>&amp;RState of Kansas
City</oddHeader>
    <oddFooter>&amp;C&amp;"Arial,Regular"&amp;10KC - &amp;P</oddFooter>
  </headerFooter>
</worksheet>
</file>

<file path=xl/worksheets/sheet15.xml><?xml version="1.0" encoding="utf-8"?>
<worksheet xmlns="http://schemas.openxmlformats.org/spreadsheetml/2006/main" xmlns:r="http://schemas.openxmlformats.org/officeDocument/2006/relationships">
  <sheetPr>
    <tabColor theme="9" tint="-0.24997000396251678"/>
    <pageSetUpPr fitToPage="1"/>
  </sheetPr>
  <dimension ref="B1:F30"/>
  <sheetViews>
    <sheetView zoomScale="80" zoomScaleNormal="80" zoomScalePageLayoutView="0" workbookViewId="0" topLeftCell="A1">
      <selection activeCell="E28" sqref="E28"/>
    </sheetView>
  </sheetViews>
  <sheetFormatPr defaultColWidth="8.796875" defaultRowHeight="15"/>
  <cols>
    <col min="1" max="1" width="2.3984375" style="480" customWidth="1"/>
    <col min="2" max="2" width="31.09765625" style="480" customWidth="1"/>
    <col min="3" max="5" width="15.796875" style="480" customWidth="1"/>
    <col min="6" max="6" width="16.09765625" style="480" customWidth="1"/>
    <col min="7" max="16384" width="8.8984375" style="480" customWidth="1"/>
  </cols>
  <sheetData>
    <row r="1" spans="2:6" ht="14.25">
      <c r="B1" s="447" t="str">
        <f>(inputPrYr!D2)</f>
        <v>Kansas City</v>
      </c>
      <c r="C1" s="448"/>
      <c r="D1" s="448"/>
      <c r="E1" s="448"/>
      <c r="F1" s="449">
        <f>inputPrYr!C5</f>
        <v>2012</v>
      </c>
    </row>
    <row r="2" spans="2:6" ht="14.25">
      <c r="B2" s="448"/>
      <c r="C2" s="448"/>
      <c r="D2" s="448"/>
      <c r="E2" s="448"/>
      <c r="F2" s="450"/>
    </row>
    <row r="3" spans="2:6" ht="15">
      <c r="B3" s="451" t="s">
        <v>171</v>
      </c>
      <c r="C3" s="452"/>
      <c r="D3" s="452"/>
      <c r="E3" s="452"/>
      <c r="F3" s="452"/>
    </row>
    <row r="4" spans="2:6" ht="14.25">
      <c r="B4" s="453" t="s">
        <v>106</v>
      </c>
      <c r="C4" s="354" t="s">
        <v>857</v>
      </c>
      <c r="D4" s="355">
        <v>2011</v>
      </c>
      <c r="E4" s="356" t="s">
        <v>858</v>
      </c>
      <c r="F4" s="356" t="s">
        <v>859</v>
      </c>
    </row>
    <row r="5" spans="2:6" ht="14.25">
      <c r="B5" s="477" t="str">
        <f>inputPrYr!B34</f>
        <v>Dedicated Sales Tax</v>
      </c>
      <c r="C5" s="357" t="s">
        <v>861</v>
      </c>
      <c r="D5" s="358" t="s">
        <v>860</v>
      </c>
      <c r="E5" s="359" t="s">
        <v>862</v>
      </c>
      <c r="F5" s="357">
        <v>2012</v>
      </c>
    </row>
    <row r="6" spans="2:6" ht="15">
      <c r="B6" s="454" t="s">
        <v>223</v>
      </c>
      <c r="C6" s="653">
        <v>0</v>
      </c>
      <c r="D6" s="653">
        <v>20200</v>
      </c>
      <c r="E6" s="462">
        <f>C26</f>
        <v>289801</v>
      </c>
      <c r="F6" s="462">
        <f>E26</f>
        <v>93367</v>
      </c>
    </row>
    <row r="7" spans="2:6" s="396" customFormat="1" ht="14.25">
      <c r="B7" s="456" t="s">
        <v>225</v>
      </c>
      <c r="C7" s="457"/>
      <c r="D7" s="457"/>
      <c r="E7" s="457"/>
      <c r="F7" s="457"/>
    </row>
    <row r="8" spans="2:6" ht="14.25">
      <c r="B8" s="367" t="s">
        <v>1026</v>
      </c>
      <c r="C8" s="410">
        <v>1525050</v>
      </c>
      <c r="D8" s="648">
        <v>4500000</v>
      </c>
      <c r="E8" s="410">
        <v>4600000</v>
      </c>
      <c r="F8" s="410">
        <v>4600000</v>
      </c>
    </row>
    <row r="9" spans="2:6" ht="14.25">
      <c r="B9" s="367" t="s">
        <v>1027</v>
      </c>
      <c r="C9" s="410">
        <v>355509</v>
      </c>
      <c r="D9" s="648">
        <v>899000</v>
      </c>
      <c r="E9" s="410">
        <v>1000000</v>
      </c>
      <c r="F9" s="410">
        <v>1000000</v>
      </c>
    </row>
    <row r="10" spans="2:6" ht="14.25">
      <c r="B10" s="367" t="s">
        <v>975</v>
      </c>
      <c r="C10" s="410">
        <v>0</v>
      </c>
      <c r="D10" s="648">
        <v>1000</v>
      </c>
      <c r="E10" s="410">
        <v>0</v>
      </c>
      <c r="F10" s="410">
        <v>0</v>
      </c>
    </row>
    <row r="11" spans="2:6" ht="14.25">
      <c r="B11" s="458" t="s">
        <v>16</v>
      </c>
      <c r="C11" s="410">
        <v>0</v>
      </c>
      <c r="D11" s="648">
        <v>0</v>
      </c>
      <c r="E11" s="459">
        <v>0</v>
      </c>
      <c r="F11" s="459">
        <v>0</v>
      </c>
    </row>
    <row r="12" spans="2:6" ht="15.75">
      <c r="B12" s="454" t="s">
        <v>804</v>
      </c>
      <c r="C12" s="413">
        <f>IF(C13*0.1&lt;C11,"Exceed 10% Rule","")</f>
      </c>
      <c r="D12" s="94">
        <f>IF(D13*0.1&lt;D11,"Exceed 10% Rule","")</f>
      </c>
      <c r="E12" s="460">
        <f>IF(E13*0.1&lt;E11,"Exceed 10% Rule","")</f>
      </c>
      <c r="F12" s="460">
        <f>IF(F13*0.1&lt;F11,"Exceed 10% Rule","")</f>
      </c>
    </row>
    <row r="13" spans="2:6" ht="15">
      <c r="B13" s="461" t="s">
        <v>111</v>
      </c>
      <c r="C13" s="462">
        <f>SUM(C8:C11)</f>
        <v>1880559</v>
      </c>
      <c r="D13" s="649">
        <f>SUM(D8:D11)</f>
        <v>5400000</v>
      </c>
      <c r="E13" s="462">
        <f>SUM(E8:E11)</f>
        <v>5600000</v>
      </c>
      <c r="F13" s="462">
        <f>SUM(F8:F11)</f>
        <v>5600000</v>
      </c>
    </row>
    <row r="14" spans="2:6" ht="15">
      <c r="B14" s="461" t="s">
        <v>112</v>
      </c>
      <c r="C14" s="462">
        <f>C6+C13</f>
        <v>1880559</v>
      </c>
      <c r="D14" s="649">
        <f>D6+D13</f>
        <v>5420200</v>
      </c>
      <c r="E14" s="462">
        <f>E6+E13</f>
        <v>5889801</v>
      </c>
      <c r="F14" s="462">
        <f>F6+F13</f>
        <v>5693367</v>
      </c>
    </row>
    <row r="15" spans="2:6" ht="15.75">
      <c r="B15" s="463" t="s">
        <v>113</v>
      </c>
      <c r="C15" s="455"/>
      <c r="D15" s="90"/>
      <c r="E15" s="455"/>
      <c r="F15" s="455"/>
    </row>
    <row r="16" spans="2:6" ht="14.25">
      <c r="B16" s="475" t="s">
        <v>962</v>
      </c>
      <c r="C16" s="410">
        <v>220075</v>
      </c>
      <c r="D16" s="648">
        <v>1171321</v>
      </c>
      <c r="E16" s="410">
        <v>1084592</v>
      </c>
      <c r="F16" s="410">
        <v>2727837</v>
      </c>
    </row>
    <row r="17" spans="2:6" ht="14.25">
      <c r="B17" s="475" t="s">
        <v>963</v>
      </c>
      <c r="C17" s="410">
        <v>303330</v>
      </c>
      <c r="D17" s="648">
        <v>1027805</v>
      </c>
      <c r="E17" s="410">
        <v>1027805</v>
      </c>
      <c r="F17" s="410">
        <v>1027805</v>
      </c>
    </row>
    <row r="18" spans="2:6" ht="14.25">
      <c r="B18" s="475" t="s">
        <v>964</v>
      </c>
      <c r="C18" s="410">
        <v>9299</v>
      </c>
      <c r="D18" s="648">
        <v>0</v>
      </c>
      <c r="E18" s="410">
        <v>438185</v>
      </c>
      <c r="F18" s="410">
        <v>13185</v>
      </c>
    </row>
    <row r="19" spans="2:6" ht="14.25">
      <c r="B19" s="475" t="s">
        <v>965</v>
      </c>
      <c r="C19" s="410">
        <v>0</v>
      </c>
      <c r="D19" s="648">
        <v>0</v>
      </c>
      <c r="E19" s="410">
        <v>0</v>
      </c>
      <c r="F19" s="410">
        <v>0</v>
      </c>
    </row>
    <row r="20" spans="2:6" ht="14.25">
      <c r="B20" s="475" t="s">
        <v>1038</v>
      </c>
      <c r="C20" s="410">
        <v>475000</v>
      </c>
      <c r="D20" s="648">
        <v>950000</v>
      </c>
      <c r="E20" s="410">
        <v>950000</v>
      </c>
      <c r="F20" s="410">
        <v>500000</v>
      </c>
    </row>
    <row r="21" spans="2:6" ht="14.25">
      <c r="B21" s="475" t="s">
        <v>966</v>
      </c>
      <c r="C21" s="410">
        <v>583054</v>
      </c>
      <c r="D21" s="648">
        <v>2008265</v>
      </c>
      <c r="E21" s="410">
        <v>2020852</v>
      </c>
      <c r="F21" s="410">
        <v>1417800</v>
      </c>
    </row>
    <row r="22" spans="2:6" ht="14.25">
      <c r="B22" s="475" t="s">
        <v>47</v>
      </c>
      <c r="C22" s="410">
        <v>0</v>
      </c>
      <c r="D22" s="648">
        <v>0</v>
      </c>
      <c r="E22" s="410">
        <v>0</v>
      </c>
      <c r="F22" s="410"/>
    </row>
    <row r="23" spans="2:6" ht="14.25">
      <c r="B23" s="464" t="s">
        <v>16</v>
      </c>
      <c r="C23" s="410">
        <v>0</v>
      </c>
      <c r="D23" s="648">
        <v>0</v>
      </c>
      <c r="E23" s="459">
        <v>275000</v>
      </c>
      <c r="F23" s="459"/>
    </row>
    <row r="24" spans="2:6" ht="14.25">
      <c r="B24" s="464" t="s">
        <v>805</v>
      </c>
      <c r="C24" s="413">
        <f>IF(C25*0.1&lt;C23,"Exceed 10% Rule","")</f>
      </c>
      <c r="D24" s="460"/>
      <c r="E24" s="460">
        <f>IF(E25*0.1&lt;E23,"Exceed 10% Rule","")</f>
      </c>
      <c r="F24" s="460">
        <f>IF(F25*0.1&lt;F23,"Exceed 10% Rule","")</f>
      </c>
    </row>
    <row r="25" spans="2:6" ht="15">
      <c r="B25" s="461" t="s">
        <v>117</v>
      </c>
      <c r="C25" s="462">
        <f>SUM(C16:C23)</f>
        <v>1590758</v>
      </c>
      <c r="D25" s="649">
        <f>SUM(D16:D23)</f>
        <v>5157391</v>
      </c>
      <c r="E25" s="649">
        <f>SUM(E16:E23)</f>
        <v>5796434</v>
      </c>
      <c r="F25" s="462">
        <f>SUM(F16:F23)</f>
        <v>5686627</v>
      </c>
    </row>
    <row r="26" spans="2:6" ht="14.25">
      <c r="B26" s="463" t="s">
        <v>224</v>
      </c>
      <c r="C26" s="455">
        <f>C14-C25</f>
        <v>289801</v>
      </c>
      <c r="D26" s="455">
        <f>D14-D25</f>
        <v>262809</v>
      </c>
      <c r="E26" s="455">
        <f>E14-E25</f>
        <v>93367</v>
      </c>
      <c r="F26" s="455">
        <f>F14-F25</f>
        <v>6740</v>
      </c>
    </row>
    <row r="27" spans="2:6" ht="15">
      <c r="B27" s="465" t="str">
        <f>CONCATENATE("",F1-2,"/",F1-1," Budget Authority Amount:")</f>
        <v>2010/2011 Budget Authority Amount:</v>
      </c>
      <c r="C27" s="466">
        <f>inputOth!B62</f>
        <v>2217516</v>
      </c>
      <c r="D27" s="466"/>
      <c r="E27" s="466">
        <f>inputPrYr!D34</f>
        <v>5796434</v>
      </c>
      <c r="F27" s="467">
        <f>IF(F26&lt;0,"See Tab E","")</f>
      </c>
    </row>
    <row r="28" spans="2:6" ht="15">
      <c r="B28" s="465"/>
      <c r="C28" s="468">
        <f>IF(C25&gt;C27,"See Tab A","")</f>
      </c>
      <c r="D28" s="468"/>
      <c r="E28" s="468">
        <f>IF(E25&gt;E27,"See Tab C","")</f>
      </c>
      <c r="F28" s="469"/>
    </row>
    <row r="29" spans="2:6" ht="15">
      <c r="B29" s="465"/>
      <c r="C29" s="468">
        <f>IF(C26&lt;0,"See Tab B","")</f>
      </c>
      <c r="D29" s="468"/>
      <c r="E29" s="468">
        <f>IF(E26&lt;0,"See Tab D","")</f>
      </c>
      <c r="F29" s="469"/>
    </row>
    <row r="30" spans="2:6" ht="14.25">
      <c r="B30" s="448"/>
      <c r="C30" s="469"/>
      <c r="D30" s="469"/>
      <c r="E30" s="469"/>
      <c r="F30" s="469"/>
    </row>
  </sheetData>
  <sheetProtection/>
  <conditionalFormatting sqref="C11:D11">
    <cfRule type="cellIs" priority="18" dxfId="114" operator="greaterThan" stopIfTrue="1">
      <formula>$C$13*0.1</formula>
    </cfRule>
  </conditionalFormatting>
  <conditionalFormatting sqref="E11">
    <cfRule type="cellIs" priority="17" dxfId="114" operator="greaterThan" stopIfTrue="1">
      <formula>$E$13*0.1</formula>
    </cfRule>
  </conditionalFormatting>
  <conditionalFormatting sqref="F11">
    <cfRule type="cellIs" priority="16" dxfId="114" operator="greaterThan" stopIfTrue="1">
      <formula>$F$13*0.1</formula>
    </cfRule>
  </conditionalFormatting>
  <conditionalFormatting sqref="C23:D23">
    <cfRule type="cellIs" priority="15" dxfId="114" operator="greaterThan" stopIfTrue="1">
      <formula>$C$25*0.1</formula>
    </cfRule>
  </conditionalFormatting>
  <conditionalFormatting sqref="E23">
    <cfRule type="cellIs" priority="14" dxfId="114" operator="greaterThan" stopIfTrue="1">
      <formula>$E$25*0.1</formula>
    </cfRule>
  </conditionalFormatting>
  <conditionalFormatting sqref="F23">
    <cfRule type="cellIs" priority="13" dxfId="114" operator="greaterThan" stopIfTrue="1">
      <formula>$F$25*0.1</formula>
    </cfRule>
  </conditionalFormatting>
  <conditionalFormatting sqref="F26 C26:D26">
    <cfRule type="cellIs" priority="5" dxfId="1" operator="lessThan" stopIfTrue="1">
      <formula>0</formula>
    </cfRule>
  </conditionalFormatting>
  <conditionalFormatting sqref="C25">
    <cfRule type="cellIs" priority="3" dxfId="1" operator="greaterThan" stopIfTrue="1">
      <formula>$C$27</formula>
    </cfRule>
  </conditionalFormatting>
  <conditionalFormatting sqref="E26">
    <cfRule type="cellIs" priority="2" dxfId="0" operator="lessThan" stopIfTrue="1">
      <formula>0</formula>
    </cfRule>
  </conditionalFormatting>
  <printOptions/>
  <pageMargins left="0.7" right="0.7" top="0.75" bottom="0.75" header="0.3" footer="0.3"/>
  <pageSetup blackAndWhite="1" fitToHeight="1" fitToWidth="1" horizontalDpi="600" verticalDpi="600" orientation="portrait" scale="78" r:id="rId1"/>
  <headerFooter>
    <oddHeader>&amp;RState of Kansas
City</oddHeader>
    <oddFooter>&amp;C&amp;"Arial,Regular"&amp;10KC - &amp;P</oddFooter>
  </headerFooter>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L41"/>
  <sheetViews>
    <sheetView zoomScale="80" zoomScaleNormal="80" zoomScalePageLayoutView="0" workbookViewId="0" topLeftCell="A1">
      <selection activeCell="E30" sqref="E30"/>
    </sheetView>
  </sheetViews>
  <sheetFormatPr defaultColWidth="8.796875" defaultRowHeight="15"/>
  <cols>
    <col min="1" max="1" width="17.3984375" style="481" customWidth="1"/>
    <col min="2" max="2" width="13.59765625" style="481" customWidth="1"/>
    <col min="3" max="3" width="16.3984375" style="481" customWidth="1"/>
    <col min="4" max="4" width="11.796875" style="481" customWidth="1"/>
    <col min="5" max="5" width="13.69921875" style="481" customWidth="1"/>
    <col min="6" max="6" width="7.3984375" style="481" customWidth="1"/>
    <col min="7" max="7" width="16.19921875" style="481" customWidth="1"/>
    <col min="8" max="8" width="14" style="481" customWidth="1"/>
    <col min="9" max="9" width="16.09765625" style="481" customWidth="1"/>
    <col min="10" max="10" width="10" style="481" customWidth="1"/>
    <col min="11" max="16384" width="8.8984375" style="481" customWidth="1"/>
  </cols>
  <sheetData>
    <row r="1" spans="1:11" ht="12.75">
      <c r="A1" s="483" t="str">
        <f>inputPrYr!$D$2</f>
        <v>Kansas City</v>
      </c>
      <c r="B1" s="484"/>
      <c r="C1" s="485"/>
      <c r="D1" s="485"/>
      <c r="E1" s="485"/>
      <c r="F1" s="486" t="s">
        <v>250</v>
      </c>
      <c r="G1" s="485"/>
      <c r="H1" s="485"/>
      <c r="I1" s="485"/>
      <c r="J1" s="485"/>
      <c r="K1" s="485">
        <f>inputPrYr!$C$5</f>
        <v>2012</v>
      </c>
    </row>
    <row r="2" spans="1:11" ht="12.75">
      <c r="A2" s="485"/>
      <c r="B2" s="485"/>
      <c r="C2" s="485"/>
      <c r="D2" s="485"/>
      <c r="E2" s="485"/>
      <c r="F2" s="487" t="str">
        <f>CONCATENATE("(Only the actual budget year for ",K1-2," is to be shown)")</f>
        <v>(Only the actual budget year for 2010 is to be shown)</v>
      </c>
      <c r="G2" s="485"/>
      <c r="H2" s="485"/>
      <c r="I2" s="485"/>
      <c r="J2" s="485"/>
      <c r="K2" s="485"/>
    </row>
    <row r="3" spans="1:11" ht="12.75">
      <c r="A3" s="485" t="s">
        <v>292</v>
      </c>
      <c r="B3" s="485"/>
      <c r="C3" s="485"/>
      <c r="D3" s="485"/>
      <c r="E3" s="485"/>
      <c r="F3" s="488"/>
      <c r="G3" s="485"/>
      <c r="H3" s="485"/>
      <c r="I3" s="485"/>
      <c r="J3" s="485"/>
      <c r="K3" s="485"/>
    </row>
    <row r="4" spans="1:11" ht="12.75">
      <c r="A4" s="485" t="s">
        <v>251</v>
      </c>
      <c r="B4" s="485"/>
      <c r="C4" s="485" t="s">
        <v>252</v>
      </c>
      <c r="D4" s="485"/>
      <c r="E4" s="485" t="s">
        <v>253</v>
      </c>
      <c r="F4" s="484"/>
      <c r="G4" s="485" t="s">
        <v>254</v>
      </c>
      <c r="H4" s="485"/>
      <c r="I4" s="485" t="s">
        <v>255</v>
      </c>
      <c r="J4" s="485"/>
      <c r="K4" s="485"/>
    </row>
    <row r="5" spans="1:11" ht="12.75">
      <c r="A5" s="730" t="str">
        <f>IF(inputPrYr!B37&gt;" ",(inputPrYr!B37)," ")</f>
        <v>Community Development</v>
      </c>
      <c r="B5" s="731"/>
      <c r="C5" s="730" t="str">
        <f>IF(inputPrYr!B38&gt;" ",(inputPrYr!B38)," ")</f>
        <v>Supportive Housing Grants</v>
      </c>
      <c r="D5" s="731"/>
      <c r="E5" s="730" t="str">
        <f>IF(inputPrYr!B39&gt;" ",(inputPrYr!B39)," ")</f>
        <v>Justice Asst. Grant (JAG)</v>
      </c>
      <c r="F5" s="731"/>
      <c r="G5" s="730" t="str">
        <f>IF(inputPrYr!B40&gt;" ",(inputPrYr!B40)," ")</f>
        <v>Special Law Enforcement Trust</v>
      </c>
      <c r="H5" s="731"/>
      <c r="I5" s="730" t="str">
        <f>IF(inputPrYr!B41&gt;" ",(inputPrYr!B41)," ")</f>
        <v>American Recovery &amp; Reinvestment Act</v>
      </c>
      <c r="J5" s="731"/>
      <c r="K5" s="489"/>
    </row>
    <row r="6" spans="1:11" ht="12.75">
      <c r="A6" s="490" t="s">
        <v>256</v>
      </c>
      <c r="B6" s="695"/>
      <c r="C6" s="492" t="s">
        <v>256</v>
      </c>
      <c r="D6" s="493"/>
      <c r="E6" s="492" t="s">
        <v>256</v>
      </c>
      <c r="F6" s="491"/>
      <c r="G6" s="492" t="s">
        <v>256</v>
      </c>
      <c r="H6" s="494"/>
      <c r="I6" s="492" t="s">
        <v>256</v>
      </c>
      <c r="J6" s="485"/>
      <c r="K6" s="493" t="s">
        <v>78</v>
      </c>
    </row>
    <row r="7" spans="1:11" ht="12.75">
      <c r="A7" s="495" t="s">
        <v>23</v>
      </c>
      <c r="B7" s="691">
        <v>-2951418</v>
      </c>
      <c r="C7" s="489" t="s">
        <v>23</v>
      </c>
      <c r="D7" s="691">
        <v>-194188</v>
      </c>
      <c r="E7" s="489" t="s">
        <v>23</v>
      </c>
      <c r="F7" s="691">
        <v>-52142</v>
      </c>
      <c r="G7" s="489" t="s">
        <v>23</v>
      </c>
      <c r="H7" s="691">
        <v>1586571</v>
      </c>
      <c r="I7" s="489" t="s">
        <v>23</v>
      </c>
      <c r="J7" s="691">
        <v>-545559</v>
      </c>
      <c r="K7" s="496">
        <f>SUM(B7+D7+F7+H7+J7)</f>
        <v>-2156736</v>
      </c>
    </row>
    <row r="8" spans="1:11" ht="12.75">
      <c r="A8" s="485" t="s">
        <v>225</v>
      </c>
      <c r="B8" s="693"/>
      <c r="C8" s="485" t="s">
        <v>225</v>
      </c>
      <c r="D8" s="693"/>
      <c r="E8" s="485" t="s">
        <v>225</v>
      </c>
      <c r="F8" s="693"/>
      <c r="G8" s="485" t="s">
        <v>225</v>
      </c>
      <c r="H8" s="694"/>
      <c r="I8" s="485" t="s">
        <v>225</v>
      </c>
      <c r="J8" s="694"/>
      <c r="K8" s="484"/>
    </row>
    <row r="9" spans="1:11" ht="12.75">
      <c r="A9" s="503" t="s">
        <v>1043</v>
      </c>
      <c r="B9" s="691">
        <v>18343</v>
      </c>
      <c r="C9" s="503" t="s">
        <v>1043</v>
      </c>
      <c r="D9" s="691">
        <v>0</v>
      </c>
      <c r="E9" s="503" t="s">
        <v>1043</v>
      </c>
      <c r="F9" s="691">
        <v>0</v>
      </c>
      <c r="G9" s="503" t="s">
        <v>1043</v>
      </c>
      <c r="H9" s="691">
        <v>106323</v>
      </c>
      <c r="I9" s="503" t="s">
        <v>1043</v>
      </c>
      <c r="J9" s="691">
        <v>0</v>
      </c>
      <c r="K9" s="484"/>
    </row>
    <row r="10" spans="1:11" ht="12.75">
      <c r="A10" s="504" t="s">
        <v>1039</v>
      </c>
      <c r="B10" s="691">
        <v>3364350</v>
      </c>
      <c r="C10" s="504" t="s">
        <v>1039</v>
      </c>
      <c r="D10" s="691">
        <v>-197270</v>
      </c>
      <c r="E10" s="504" t="s">
        <v>1039</v>
      </c>
      <c r="F10" s="691">
        <v>0</v>
      </c>
      <c r="G10" s="504" t="s">
        <v>1039</v>
      </c>
      <c r="H10" s="691">
        <v>0</v>
      </c>
      <c r="I10" s="504" t="s">
        <v>1039</v>
      </c>
      <c r="J10" s="691">
        <v>5119091</v>
      </c>
      <c r="K10" s="484"/>
    </row>
    <row r="11" spans="1:11" ht="12.75">
      <c r="A11" s="504" t="s">
        <v>1040</v>
      </c>
      <c r="B11" s="691">
        <v>0</v>
      </c>
      <c r="C11" s="504" t="s">
        <v>1040</v>
      </c>
      <c r="D11" s="691">
        <v>0</v>
      </c>
      <c r="E11" s="504" t="s">
        <v>1040</v>
      </c>
      <c r="F11" s="691">
        <v>0</v>
      </c>
      <c r="G11" s="504" t="s">
        <v>1040</v>
      </c>
      <c r="H11" s="691">
        <v>0</v>
      </c>
      <c r="I11" s="504" t="s">
        <v>1040</v>
      </c>
      <c r="J11" s="691">
        <v>8058</v>
      </c>
      <c r="K11" s="484"/>
    </row>
    <row r="12" spans="1:11" ht="12.75">
      <c r="A12" s="504" t="s">
        <v>1033</v>
      </c>
      <c r="B12" s="691">
        <v>-7926</v>
      </c>
      <c r="C12" s="504" t="s">
        <v>1033</v>
      </c>
      <c r="D12" s="691">
        <v>0</v>
      </c>
      <c r="E12" s="504" t="s">
        <v>1033</v>
      </c>
      <c r="F12" s="691">
        <v>-390</v>
      </c>
      <c r="G12" s="504" t="s">
        <v>1033</v>
      </c>
      <c r="H12" s="691">
        <v>0</v>
      </c>
      <c r="I12" s="504" t="s">
        <v>1033</v>
      </c>
      <c r="J12" s="691">
        <v>0</v>
      </c>
      <c r="K12" s="484"/>
    </row>
    <row r="13" spans="1:11" ht="12.75">
      <c r="A13" s="504" t="s">
        <v>1022</v>
      </c>
      <c r="B13" s="691">
        <v>0</v>
      </c>
      <c r="C13" s="504" t="s">
        <v>1022</v>
      </c>
      <c r="D13" s="691">
        <v>0</v>
      </c>
      <c r="E13" s="504" t="s">
        <v>1022</v>
      </c>
      <c r="F13" s="691">
        <v>0</v>
      </c>
      <c r="G13" s="504" t="s">
        <v>1022</v>
      </c>
      <c r="H13" s="691">
        <v>0</v>
      </c>
      <c r="I13" s="504" t="s">
        <v>1022</v>
      </c>
      <c r="J13" s="691">
        <v>1958</v>
      </c>
      <c r="K13" s="484"/>
    </row>
    <row r="14" spans="1:11" ht="12.75">
      <c r="A14" s="504" t="s">
        <v>1041</v>
      </c>
      <c r="B14" s="691">
        <v>0</v>
      </c>
      <c r="C14" s="504" t="s">
        <v>1041</v>
      </c>
      <c r="D14" s="691">
        <v>0</v>
      </c>
      <c r="E14" s="504" t="s">
        <v>1041</v>
      </c>
      <c r="F14" s="691">
        <v>0</v>
      </c>
      <c r="G14" s="504" t="s">
        <v>1041</v>
      </c>
      <c r="H14" s="691">
        <v>746010</v>
      </c>
      <c r="I14" s="504" t="s">
        <v>1041</v>
      </c>
      <c r="J14" s="691">
        <v>0</v>
      </c>
      <c r="K14" s="484"/>
    </row>
    <row r="15" spans="1:11" ht="12.75">
      <c r="A15" s="504" t="s">
        <v>16</v>
      </c>
      <c r="B15" s="691">
        <v>64686</v>
      </c>
      <c r="C15" s="504" t="s">
        <v>16</v>
      </c>
      <c r="D15" s="691">
        <v>0</v>
      </c>
      <c r="E15" s="504" t="s">
        <v>16</v>
      </c>
      <c r="F15" s="691">
        <v>0</v>
      </c>
      <c r="G15" s="504" t="s">
        <v>16</v>
      </c>
      <c r="H15" s="691">
        <v>0</v>
      </c>
      <c r="I15" s="504" t="s">
        <v>16</v>
      </c>
      <c r="J15" s="691">
        <v>0</v>
      </c>
      <c r="K15" s="484"/>
    </row>
    <row r="16" spans="1:11" ht="12.75">
      <c r="A16" s="504" t="s">
        <v>1042</v>
      </c>
      <c r="B16" s="691">
        <v>0</v>
      </c>
      <c r="C16" s="504" t="s">
        <v>1042</v>
      </c>
      <c r="D16" s="691">
        <v>0</v>
      </c>
      <c r="E16" s="504" t="s">
        <v>1042</v>
      </c>
      <c r="F16" s="691">
        <v>0</v>
      </c>
      <c r="G16" s="504" t="s">
        <v>1042</v>
      </c>
      <c r="H16" s="691">
        <v>0</v>
      </c>
      <c r="I16" s="504" t="s">
        <v>1042</v>
      </c>
      <c r="J16" s="691">
        <v>0</v>
      </c>
      <c r="K16" s="484"/>
    </row>
    <row r="17" spans="1:11" ht="12.75">
      <c r="A17" s="485" t="s">
        <v>111</v>
      </c>
      <c r="B17" s="690">
        <f>SUM(B9:B16)</f>
        <v>3439453</v>
      </c>
      <c r="C17" s="485" t="s">
        <v>111</v>
      </c>
      <c r="D17" s="690">
        <f>SUM(D9:D16)</f>
        <v>-197270</v>
      </c>
      <c r="E17" s="485" t="s">
        <v>111</v>
      </c>
      <c r="F17" s="692">
        <f>SUM(F9:F16)</f>
        <v>-390</v>
      </c>
      <c r="G17" s="485" t="s">
        <v>111</v>
      </c>
      <c r="H17" s="690">
        <f>SUM(H9:H16)</f>
        <v>852333</v>
      </c>
      <c r="I17" s="485" t="s">
        <v>111</v>
      </c>
      <c r="J17" s="690">
        <f>SUM(J9:J16)</f>
        <v>5129107</v>
      </c>
      <c r="K17" s="496">
        <f>SUM(B17+D17+F17+H17+J17)</f>
        <v>9223233</v>
      </c>
    </row>
    <row r="18" spans="1:11" ht="12.75">
      <c r="A18" s="485" t="s">
        <v>112</v>
      </c>
      <c r="B18" s="690">
        <f>SUM(B7+B17)</f>
        <v>488035</v>
      </c>
      <c r="C18" s="485" t="s">
        <v>112</v>
      </c>
      <c r="D18" s="690">
        <f>SUM(D7+D17)</f>
        <v>-391458</v>
      </c>
      <c r="E18" s="485" t="s">
        <v>112</v>
      </c>
      <c r="F18" s="690">
        <f>SUM(F7+F17)</f>
        <v>-52532</v>
      </c>
      <c r="G18" s="485" t="s">
        <v>112</v>
      </c>
      <c r="H18" s="690">
        <f>SUM(H7+H17)</f>
        <v>2438904</v>
      </c>
      <c r="I18" s="485" t="s">
        <v>112</v>
      </c>
      <c r="J18" s="690">
        <f>SUM(J7+J17)</f>
        <v>4583548</v>
      </c>
      <c r="K18" s="496">
        <f>SUM(B18+D18+F18+H18+J18)</f>
        <v>7066497</v>
      </c>
    </row>
    <row r="19" spans="1:11" ht="12.75">
      <c r="A19" s="485" t="s">
        <v>113</v>
      </c>
      <c r="B19" s="693"/>
      <c r="C19" s="485" t="s">
        <v>113</v>
      </c>
      <c r="D19" s="693"/>
      <c r="E19" s="485" t="s">
        <v>113</v>
      </c>
      <c r="F19" s="693"/>
      <c r="G19" s="485" t="s">
        <v>113</v>
      </c>
      <c r="H19" s="694"/>
      <c r="I19" s="485" t="s">
        <v>113</v>
      </c>
      <c r="J19" s="694"/>
      <c r="K19" s="484"/>
    </row>
    <row r="20" spans="1:11" ht="12.75">
      <c r="A20" s="504" t="s">
        <v>1044</v>
      </c>
      <c r="B20" s="691">
        <v>932094</v>
      </c>
      <c r="C20" s="504" t="s">
        <v>1044</v>
      </c>
      <c r="D20" s="691">
        <v>0</v>
      </c>
      <c r="E20" s="504" t="s">
        <v>1044</v>
      </c>
      <c r="F20" s="691">
        <v>0</v>
      </c>
      <c r="G20" s="504" t="s">
        <v>1044</v>
      </c>
      <c r="H20" s="691">
        <v>89</v>
      </c>
      <c r="I20" s="504" t="s">
        <v>1044</v>
      </c>
      <c r="J20" s="691">
        <v>157792</v>
      </c>
      <c r="K20" s="484"/>
    </row>
    <row r="21" spans="1:11" ht="12.75">
      <c r="A21" s="504" t="s">
        <v>1045</v>
      </c>
      <c r="B21" s="691">
        <v>12295</v>
      </c>
      <c r="C21" s="504" t="s">
        <v>1045</v>
      </c>
      <c r="D21" s="691">
        <v>0</v>
      </c>
      <c r="E21" s="504" t="s">
        <v>1045</v>
      </c>
      <c r="F21" s="691">
        <v>0</v>
      </c>
      <c r="G21" s="504" t="s">
        <v>1045</v>
      </c>
      <c r="H21" s="691">
        <v>0</v>
      </c>
      <c r="I21" s="504" t="s">
        <v>1045</v>
      </c>
      <c r="J21" s="691">
        <v>82243</v>
      </c>
      <c r="K21" s="484"/>
    </row>
    <row r="22" spans="1:11" ht="12.75">
      <c r="A22" s="504" t="s">
        <v>966</v>
      </c>
      <c r="B22" s="691">
        <v>348</v>
      </c>
      <c r="C22" s="504" t="s">
        <v>966</v>
      </c>
      <c r="D22" s="691">
        <v>0</v>
      </c>
      <c r="E22" s="504" t="s">
        <v>966</v>
      </c>
      <c r="F22" s="691">
        <v>27500</v>
      </c>
      <c r="G22" s="504" t="s">
        <v>966</v>
      </c>
      <c r="H22" s="691">
        <v>446795</v>
      </c>
      <c r="I22" s="504" t="s">
        <v>966</v>
      </c>
      <c r="J22" s="691">
        <v>390101</v>
      </c>
      <c r="K22" s="484"/>
    </row>
    <row r="23" spans="1:11" ht="12.75">
      <c r="A23" s="504" t="s">
        <v>1046</v>
      </c>
      <c r="B23" s="691">
        <v>1660786</v>
      </c>
      <c r="C23" s="504" t="s">
        <v>1046</v>
      </c>
      <c r="D23" s="691">
        <v>1121711</v>
      </c>
      <c r="E23" s="504" t="s">
        <v>1046</v>
      </c>
      <c r="F23" s="691">
        <v>0</v>
      </c>
      <c r="G23" s="504" t="s">
        <v>1046</v>
      </c>
      <c r="H23" s="691">
        <v>60000</v>
      </c>
      <c r="I23" s="504" t="s">
        <v>1046</v>
      </c>
      <c r="J23" s="691">
        <v>3174037</v>
      </c>
      <c r="K23" s="484"/>
    </row>
    <row r="24" spans="1:11" ht="12.75">
      <c r="A24" s="504" t="s">
        <v>1047</v>
      </c>
      <c r="B24" s="691">
        <v>0</v>
      </c>
      <c r="C24" s="504" t="s">
        <v>1047</v>
      </c>
      <c r="D24" s="691"/>
      <c r="E24" s="504" t="s">
        <v>1047</v>
      </c>
      <c r="F24" s="691">
        <v>0</v>
      </c>
      <c r="G24" s="504" t="s">
        <v>1047</v>
      </c>
      <c r="H24" s="691">
        <v>0</v>
      </c>
      <c r="I24" s="504" t="s">
        <v>1047</v>
      </c>
      <c r="J24" s="691">
        <v>0</v>
      </c>
      <c r="K24" s="484"/>
    </row>
    <row r="25" spans="1:11" ht="12.75">
      <c r="A25" s="497" t="s">
        <v>962</v>
      </c>
      <c r="B25" s="691">
        <v>964752</v>
      </c>
      <c r="C25" s="498"/>
      <c r="D25" s="691"/>
      <c r="E25" s="498" t="s">
        <v>962</v>
      </c>
      <c r="F25" s="691">
        <v>19</v>
      </c>
      <c r="G25" s="498" t="s">
        <v>155</v>
      </c>
      <c r="H25" s="691">
        <v>6651</v>
      </c>
      <c r="I25" s="498" t="s">
        <v>962</v>
      </c>
      <c r="J25" s="691">
        <v>1158731</v>
      </c>
      <c r="K25" s="484"/>
    </row>
    <row r="26" spans="1:11" ht="12.75">
      <c r="A26" s="497" t="s">
        <v>47</v>
      </c>
      <c r="B26" s="691">
        <v>425926</v>
      </c>
      <c r="C26" s="498"/>
      <c r="D26" s="691"/>
      <c r="E26" s="498"/>
      <c r="F26" s="691"/>
      <c r="G26" s="498"/>
      <c r="H26" s="691"/>
      <c r="I26" s="498"/>
      <c r="J26" s="691"/>
      <c r="K26" s="484"/>
    </row>
    <row r="27" spans="1:11" ht="12.75">
      <c r="A27" s="497"/>
      <c r="B27" s="691"/>
      <c r="C27" s="497"/>
      <c r="D27" s="691"/>
      <c r="E27" s="497"/>
      <c r="F27" s="691"/>
      <c r="G27" s="498"/>
      <c r="H27" s="691"/>
      <c r="I27" s="498"/>
      <c r="J27" s="691"/>
      <c r="K27" s="484"/>
    </row>
    <row r="28" spans="1:11" ht="12.75">
      <c r="A28" s="485" t="s">
        <v>117</v>
      </c>
      <c r="B28" s="690">
        <f>SUM(B20:B27)</f>
        <v>3996201</v>
      </c>
      <c r="C28" s="485" t="s">
        <v>117</v>
      </c>
      <c r="D28" s="690">
        <f>SUM(D20:D27)</f>
        <v>1121711</v>
      </c>
      <c r="E28" s="485" t="s">
        <v>117</v>
      </c>
      <c r="F28" s="692">
        <f>SUM(F20:F27)</f>
        <v>27519</v>
      </c>
      <c r="G28" s="485" t="s">
        <v>117</v>
      </c>
      <c r="H28" s="692">
        <f>SUM(H20:H27)</f>
        <v>513535</v>
      </c>
      <c r="I28" s="485" t="s">
        <v>117</v>
      </c>
      <c r="J28" s="690">
        <f>SUM(J20:J27)</f>
        <v>4962904</v>
      </c>
      <c r="K28" s="496">
        <f>SUM(B28+D28+F28+H28+J28)</f>
        <v>10621870</v>
      </c>
    </row>
    <row r="29" spans="1:12" ht="12.75">
      <c r="A29" s="485" t="s">
        <v>257</v>
      </c>
      <c r="B29" s="690">
        <f>SUM(B18-B28)</f>
        <v>-3508166</v>
      </c>
      <c r="C29" s="485" t="s">
        <v>257</v>
      </c>
      <c r="D29" s="690">
        <f>SUM(D18-D28)</f>
        <v>-1513169</v>
      </c>
      <c r="E29" s="485" t="s">
        <v>257</v>
      </c>
      <c r="F29" s="690">
        <f>SUM(F18-F28)</f>
        <v>-80051</v>
      </c>
      <c r="G29" s="485" t="s">
        <v>257</v>
      </c>
      <c r="H29" s="690">
        <f>SUM(H18-H28)</f>
        <v>1925369</v>
      </c>
      <c r="I29" s="485" t="s">
        <v>257</v>
      </c>
      <c r="J29" s="690">
        <f>SUM(J18-J28)</f>
        <v>-379356</v>
      </c>
      <c r="K29" s="499">
        <f>SUM(B29+D29+F29+H29+J29)</f>
        <v>-3555373</v>
      </c>
      <c r="L29" s="481" t="s">
        <v>325</v>
      </c>
    </row>
    <row r="30" spans="1:12" ht="12.75">
      <c r="A30" s="485"/>
      <c r="B30" s="500" t="str">
        <f>IF(B29&lt;0,"See Tab B","")</f>
        <v>See Tab B</v>
      </c>
      <c r="C30" s="485"/>
      <c r="D30" s="500" t="str">
        <f>IF(D29&lt;0,"See Tab B","")</f>
        <v>See Tab B</v>
      </c>
      <c r="E30" s="485"/>
      <c r="F30" s="500" t="str">
        <f>IF(F29&lt;0,"See Tab B","")</f>
        <v>See Tab B</v>
      </c>
      <c r="G30" s="485"/>
      <c r="H30" s="500">
        <f>IF(H29&lt;0,"See Tab B","")</f>
      </c>
      <c r="I30" s="485"/>
      <c r="J30" s="500" t="str">
        <f>IF(J29&lt;0,"See Tab B","")</f>
        <v>See Tab B</v>
      </c>
      <c r="K30" s="499">
        <f>SUM(K7+K17-K28)</f>
        <v>-3555373</v>
      </c>
      <c r="L30" s="481" t="s">
        <v>325</v>
      </c>
    </row>
    <row r="31" spans="1:11" ht="12.75">
      <c r="A31" s="485"/>
      <c r="B31" s="501"/>
      <c r="C31" s="485"/>
      <c r="D31" s="484"/>
      <c r="E31" s="485"/>
      <c r="F31" s="485"/>
      <c r="G31" s="485" t="s">
        <v>326</v>
      </c>
      <c r="H31" s="485"/>
      <c r="I31" s="485"/>
      <c r="J31" s="485"/>
      <c r="K31" s="485"/>
    </row>
    <row r="32" spans="1:11" ht="12.75">
      <c r="A32" s="485"/>
      <c r="B32" s="501"/>
      <c r="C32" s="485"/>
      <c r="D32" s="485"/>
      <c r="E32" s="485"/>
      <c r="F32" s="485"/>
      <c r="G32" s="485"/>
      <c r="H32" s="485"/>
      <c r="I32" s="485"/>
      <c r="J32" s="485"/>
      <c r="K32" s="485"/>
    </row>
    <row r="33" spans="1:11" ht="12.75">
      <c r="A33" s="485"/>
      <c r="B33" s="501"/>
      <c r="C33" s="485"/>
      <c r="D33" s="485"/>
      <c r="E33" s="502"/>
      <c r="F33" s="446"/>
      <c r="G33" s="485"/>
      <c r="H33" s="485"/>
      <c r="I33" s="485"/>
      <c r="J33" s="485"/>
      <c r="K33" s="485"/>
    </row>
    <row r="34" ht="12.75">
      <c r="B34" s="482"/>
    </row>
    <row r="35" ht="12.75">
      <c r="B35" s="482"/>
    </row>
    <row r="36" ht="12.75">
      <c r="B36" s="482"/>
    </row>
    <row r="37" ht="12.75">
      <c r="B37" s="482"/>
    </row>
    <row r="38" ht="12.75">
      <c r="B38" s="482"/>
    </row>
    <row r="39" ht="12.75">
      <c r="B39" s="482"/>
    </row>
    <row r="40" ht="12.75">
      <c r="B40" s="482"/>
    </row>
    <row r="41" ht="12.75">
      <c r="B41" s="482"/>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65" r:id="rId1"/>
  <headerFooter alignWithMargins="0">
    <oddHeader>&amp;RState of Kansas
City</oddHeader>
    <oddFooter>&amp;CKC - &amp;P</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M49"/>
  <sheetViews>
    <sheetView zoomScale="91" zoomScaleNormal="91" zoomScalePageLayoutView="0" workbookViewId="0" topLeftCell="A13">
      <selection activeCell="D23" sqref="D23"/>
    </sheetView>
  </sheetViews>
  <sheetFormatPr defaultColWidth="8.796875" defaultRowHeight="15"/>
  <cols>
    <col min="1" max="1" width="23.59765625" style="480" customWidth="1"/>
    <col min="2" max="2" width="15.796875" style="480" customWidth="1"/>
    <col min="3" max="3" width="10.796875" style="480" customWidth="1"/>
    <col min="4" max="4" width="15.796875" style="480" customWidth="1"/>
    <col min="5" max="5" width="10.796875" style="480" customWidth="1"/>
    <col min="6" max="6" width="15.796875" style="480" customWidth="1"/>
    <col min="7" max="7" width="12.796875" style="480" customWidth="1"/>
    <col min="8" max="8" width="10.796875" style="480" customWidth="1"/>
    <col min="9" max="9" width="8.8984375" style="480" customWidth="1"/>
    <col min="10" max="10" width="12.3984375" style="480" customWidth="1"/>
    <col min="11" max="11" width="12.296875" style="480" customWidth="1"/>
    <col min="12" max="12" width="10.59765625" style="480" customWidth="1"/>
    <col min="13" max="13" width="12.09765625" style="480" customWidth="1"/>
    <col min="14" max="16384" width="8.8984375" style="480" customWidth="1"/>
  </cols>
  <sheetData>
    <row r="1" spans="1:9" ht="18" customHeight="1">
      <c r="A1" s="753" t="s">
        <v>168</v>
      </c>
      <c r="B1" s="753"/>
      <c r="C1" s="753"/>
      <c r="D1" s="753"/>
      <c r="E1" s="753"/>
      <c r="F1" s="753"/>
      <c r="G1" s="753"/>
      <c r="H1" s="753"/>
      <c r="I1" s="599"/>
    </row>
    <row r="2" spans="1:8" ht="18" customHeight="1">
      <c r="A2" s="448"/>
      <c r="B2" s="448"/>
      <c r="C2" s="448"/>
      <c r="D2" s="448"/>
      <c r="E2" s="448"/>
      <c r="F2" s="448"/>
      <c r="G2" s="448"/>
      <c r="H2" s="448">
        <f>inputPrYr!$C$5</f>
        <v>2012</v>
      </c>
    </row>
    <row r="3" spans="1:8" ht="18" customHeight="1">
      <c r="A3" s="755" t="s">
        <v>122</v>
      </c>
      <c r="B3" s="755"/>
      <c r="C3" s="755"/>
      <c r="D3" s="755"/>
      <c r="E3" s="755"/>
      <c r="F3" s="755"/>
      <c r="G3" s="755"/>
      <c r="H3" s="755"/>
    </row>
    <row r="4" spans="1:8" ht="18" customHeight="1">
      <c r="A4" s="754" t="str">
        <f>inputPrYr!D2</f>
        <v>Kansas City</v>
      </c>
      <c r="B4" s="754"/>
      <c r="C4" s="754"/>
      <c r="D4" s="754"/>
      <c r="E4" s="754"/>
      <c r="F4" s="754"/>
      <c r="G4" s="754"/>
      <c r="H4" s="754"/>
    </row>
    <row r="5" spans="1:8" ht="18" customHeight="1">
      <c r="A5" s="756" t="s">
        <v>1163</v>
      </c>
      <c r="B5" s="756"/>
      <c r="C5" s="756"/>
      <c r="D5" s="756"/>
      <c r="E5" s="756"/>
      <c r="F5" s="756"/>
      <c r="G5" s="756"/>
      <c r="H5" s="756"/>
    </row>
    <row r="6" spans="1:8" ht="18" customHeight="1">
      <c r="A6" s="755" t="s">
        <v>645</v>
      </c>
      <c r="B6" s="755"/>
      <c r="C6" s="755"/>
      <c r="D6" s="755"/>
      <c r="E6" s="755"/>
      <c r="F6" s="755"/>
      <c r="G6" s="755"/>
      <c r="H6" s="755"/>
    </row>
    <row r="7" spans="1:8" ht="18" customHeight="1">
      <c r="A7" s="755" t="str">
        <f>CONCATENATE("Detailed budget information is available at at the Unified Government Budget Office, 701 N. 7th Street, Room 510 and will be available at this hearing.")</f>
        <v>Detailed budget information is available at at the Unified Government Budget Office, 701 N. 7th Street, Room 510 and will be available at this hearing.</v>
      </c>
      <c r="B7" s="755"/>
      <c r="C7" s="755"/>
      <c r="D7" s="755"/>
      <c r="E7" s="755"/>
      <c r="F7" s="755"/>
      <c r="G7" s="755"/>
      <c r="H7" s="755"/>
    </row>
    <row r="8" spans="1:8" ht="18" customHeight="1">
      <c r="A8" s="600" t="s">
        <v>169</v>
      </c>
      <c r="B8" s="508"/>
      <c r="C8" s="508"/>
      <c r="D8" s="508"/>
      <c r="E8" s="508"/>
      <c r="F8" s="508"/>
      <c r="G8" s="508"/>
      <c r="H8" s="508"/>
    </row>
    <row r="9" spans="1:8" ht="18" customHeight="1">
      <c r="A9" s="601" t="str">
        <f>CONCATENATE("Proposed Budget ",H2," Expenditures and Amount of ",H2-1," Ad Valorem Tax establish the maximum limits of the ",H2," budget.")</f>
        <v>Proposed Budget 2012 Expenditures and Amount of 2011 Ad Valorem Tax establish the maximum limits of the 2012 budget.</v>
      </c>
      <c r="B9" s="508"/>
      <c r="C9" s="508"/>
      <c r="D9" s="508"/>
      <c r="E9" s="508"/>
      <c r="F9" s="508"/>
      <c r="G9" s="508"/>
      <c r="H9" s="508"/>
    </row>
    <row r="10" spans="1:8" ht="18" customHeight="1">
      <c r="A10" s="601" t="s">
        <v>230</v>
      </c>
      <c r="B10" s="508"/>
      <c r="C10" s="508"/>
      <c r="D10" s="508"/>
      <c r="E10" s="508"/>
      <c r="F10" s="508"/>
      <c r="G10" s="508"/>
      <c r="H10" s="508"/>
    </row>
    <row r="11" spans="1:8" ht="18" customHeight="1">
      <c r="A11" s="448"/>
      <c r="B11" s="452"/>
      <c r="C11" s="452"/>
      <c r="D11" s="452"/>
      <c r="E11" s="452"/>
      <c r="F11" s="452"/>
      <c r="G11" s="452"/>
      <c r="H11" s="452"/>
    </row>
    <row r="12" spans="1:8" ht="18" customHeight="1">
      <c r="A12" s="448"/>
      <c r="B12" s="602" t="str">
        <f>CONCATENATE("Prior Year Actual for ",H2-2,"")</f>
        <v>Prior Year Actual for 2010</v>
      </c>
      <c r="C12" s="603"/>
      <c r="D12" s="602" t="str">
        <f>CONCATENATE("Current Year Estimate for ",H2-1,"")</f>
        <v>Current Year Estimate for 2011</v>
      </c>
      <c r="E12" s="603"/>
      <c r="F12" s="604" t="str">
        <f>CONCATENATE("Proposed Budget for ",H2,"")</f>
        <v>Proposed Budget for 2012</v>
      </c>
      <c r="G12" s="605"/>
      <c r="H12" s="603"/>
    </row>
    <row r="13" spans="1:8" ht="18" customHeight="1">
      <c r="A13" s="448"/>
      <c r="B13" s="606"/>
      <c r="C13" s="607" t="s">
        <v>124</v>
      </c>
      <c r="D13" s="607"/>
      <c r="E13" s="607" t="s">
        <v>124</v>
      </c>
      <c r="F13" s="608" t="s">
        <v>13</v>
      </c>
      <c r="G13" s="607" t="str">
        <f>CONCATENATE("Amount of ",H2-1,"")</f>
        <v>Amount of 2011</v>
      </c>
      <c r="H13" s="607" t="s">
        <v>293</v>
      </c>
    </row>
    <row r="14" spans="1:8" ht="18" customHeight="1">
      <c r="A14" s="609" t="s">
        <v>125</v>
      </c>
      <c r="B14" s="610" t="s">
        <v>126</v>
      </c>
      <c r="C14" s="610" t="s">
        <v>127</v>
      </c>
      <c r="D14" s="610" t="s">
        <v>126</v>
      </c>
      <c r="E14" s="610" t="s">
        <v>127</v>
      </c>
      <c r="F14" s="611" t="s">
        <v>667</v>
      </c>
      <c r="G14" s="612" t="s">
        <v>107</v>
      </c>
      <c r="H14" s="610" t="s">
        <v>127</v>
      </c>
    </row>
    <row r="15" spans="1:8" ht="18" customHeight="1">
      <c r="A15" s="457" t="str">
        <f>inputPrYr!B17</f>
        <v>General</v>
      </c>
      <c r="B15" s="457">
        <f>IF(general!$C$131&lt;&gt;0,general!$C$131,"  ")</f>
        <v>116350941</v>
      </c>
      <c r="C15" s="613">
        <f>IF(inputPrYr!D46&gt;0,inputPrYr!D46,"  ")</f>
        <v>25.341</v>
      </c>
      <c r="D15" s="457">
        <f>IF(general!$E$131&lt;&gt;0,general!$E$131,"  ")</f>
        <v>114676298</v>
      </c>
      <c r="E15" s="613">
        <f>IF(inputOth!D21&gt;0,inputOth!D21,"  ")</f>
        <v>24.885</v>
      </c>
      <c r="F15" s="457">
        <f>IF(general!$F$131&lt;&gt;0,general!$F$131,"  ")</f>
        <v>117587319</v>
      </c>
      <c r="G15" s="457">
        <f>IF(general!$F$138&lt;&gt;0,general!$F$138,"  ")</f>
        <v>27559284</v>
      </c>
      <c r="H15" s="613">
        <f>IF(general!F138&gt;0,ROUND(G15/$F$35*1000,3),"  ")</f>
        <v>28.385</v>
      </c>
    </row>
    <row r="16" spans="1:8" ht="18" customHeight="1">
      <c r="A16" s="457" t="str">
        <f>inputPrYr!B18</f>
        <v>Debt Service</v>
      </c>
      <c r="B16" s="457">
        <f>IF(DebtService!C52&lt;&gt;0,DebtService!C52,"  ")</f>
        <v>24083962</v>
      </c>
      <c r="C16" s="613">
        <f>IF(inputPrYr!D47&gt;0,inputPrYr!D47,"  ")</f>
        <v>15.467</v>
      </c>
      <c r="D16" s="457">
        <f>IF(DebtService!E52&lt;&gt;0,DebtService!E52,"  ")</f>
        <v>27855055</v>
      </c>
      <c r="E16" s="613">
        <f>IF(inputOth!D22&gt;0,inputOth!D22,"  ")</f>
        <v>15.75</v>
      </c>
      <c r="F16" s="457">
        <f>IF(DebtService!F52&lt;&gt;0,DebtService!F52,"  ")</f>
        <v>26770676</v>
      </c>
      <c r="G16" s="457">
        <f>IF(DebtService!F59&lt;&gt;0,DebtService!F59,"  ")</f>
        <v>16262501.353103448</v>
      </c>
      <c r="H16" s="613">
        <f>IF(DebtService!F59&gt;0,ROUND(G16/$F$35*1000,3),"  ")</f>
        <v>16.75</v>
      </c>
    </row>
    <row r="17" spans="1:8" ht="18" customHeight="1">
      <c r="A17" s="457" t="str">
        <f>IF(inputPrYr!$B23&gt;"  ",(inputPrYr!$B23),"  ")</f>
        <v>Special Highway</v>
      </c>
      <c r="B17" s="457">
        <f>IF('Sp Hiway_Sewer'!$C$32&gt;0,'Sp Hiway_Sewer'!$C$32,"  ")</f>
        <v>6871468</v>
      </c>
      <c r="C17" s="518"/>
      <c r="D17" s="457">
        <f>IF('Sp Hiway_Sewer'!$E$32&gt;0,'Sp Hiway_Sewer'!$E$32,"  ")</f>
        <v>6982614</v>
      </c>
      <c r="E17" s="518"/>
      <c r="F17" s="457">
        <f>IF('Sp Hiway_Sewer'!$F$32&gt;0,'Sp Hiway_Sewer'!$F$32,"  ")</f>
        <v>6720104</v>
      </c>
      <c r="G17" s="457"/>
      <c r="H17" s="613"/>
    </row>
    <row r="18" spans="1:8" ht="18" customHeight="1">
      <c r="A18" s="457" t="str">
        <f>IF(inputPrYr!$B24&gt;"  ",(inputPrYr!$B24),"  ")</f>
        <v>Sewer System Enterprise Fund</v>
      </c>
      <c r="B18" s="457">
        <f>IF('Sp Hiway_Sewer'!$C$79&gt;0,'Sp Hiway_Sewer'!$C$79,"  ")</f>
        <v>20191042</v>
      </c>
      <c r="C18" s="518"/>
      <c r="D18" s="457">
        <f>IF('Sp Hiway_Sewer'!$E$79&gt;0,'Sp Hiway_Sewer'!$E$79,"  ")</f>
        <v>25965403</v>
      </c>
      <c r="E18" s="518"/>
      <c r="F18" s="457">
        <f>IF('Sp Hiway_Sewer'!$F$79&gt;0,'Sp Hiway_Sewer'!$F$79,"  ")</f>
        <v>25216117</v>
      </c>
      <c r="G18" s="457"/>
      <c r="H18" s="613"/>
    </row>
    <row r="19" spans="1:8" ht="18" customHeight="1">
      <c r="A19" s="457" t="str">
        <f>IF(inputPrYr!$B25&gt;"  ",(inputPrYr!$B25),"  ")</f>
        <v>Public Levee Enterprise Fund</v>
      </c>
      <c r="B19" s="457">
        <f>IF(Levee_golf!$C$32&gt;0,Levee_golf!$C$32,"  ")</f>
        <v>1097353</v>
      </c>
      <c r="C19" s="518"/>
      <c r="D19" s="457">
        <f>IF(Levee_golf!$E$32&gt;0,Levee_golf!$E$32,"  ")</f>
        <v>1163348</v>
      </c>
      <c r="E19" s="518"/>
      <c r="F19" s="457">
        <f>IF(Levee_golf!$F$32&gt;0,Levee_golf!$F$32,"  ")</f>
        <v>1166523</v>
      </c>
      <c r="G19" s="457"/>
      <c r="H19" s="613"/>
    </row>
    <row r="20" spans="1:8" ht="18" customHeight="1">
      <c r="A20" s="457" t="str">
        <f>IF(inputPrYr!$B26&gt;"  ",(inputPrYr!$B26),"  ")</f>
        <v>Sunflower Hills Golf Course</v>
      </c>
      <c r="B20" s="457">
        <f>IF(Levee_golf!$C$63&gt;0,Levee_golf!$C$63,"  ")</f>
        <v>721476</v>
      </c>
      <c r="C20" s="518"/>
      <c r="D20" s="457">
        <f>IF(Levee_golf!$E$63&gt;0,Levee_golf!$E$63,"  ")</f>
        <v>828835</v>
      </c>
      <c r="E20" s="518"/>
      <c r="F20" s="457">
        <f>IF(Levee_golf!$F$63&gt;0,Levee_golf!$F$63,"  ")</f>
        <v>811413</v>
      </c>
      <c r="G20" s="457"/>
      <c r="H20" s="613"/>
    </row>
    <row r="21" spans="1:8" ht="18" customHeight="1">
      <c r="A21" s="457" t="str">
        <f>IF(inputPrYr!$B27&gt;"  ",(inputPrYr!$B27),"  ")</f>
        <v>Special Parks and Recreation</v>
      </c>
      <c r="B21" s="457">
        <f>IF(SP_Parks_Alcohol!$C$25&gt;0,SP_Parks_Alcohol!$C$25,"  ")</f>
        <v>484075</v>
      </c>
      <c r="C21" s="518"/>
      <c r="D21" s="457">
        <f>IF(SP_Parks_Alcohol!$E$25&gt;0,SP_Parks_Alcohol!$E$25,"  ")</f>
        <v>524244</v>
      </c>
      <c r="E21" s="518"/>
      <c r="F21" s="457">
        <f>IF(SP_Parks_Alcohol!$F$25&gt;0,SP_Parks_Alcohol!$F$25,"  ")</f>
        <v>471384</v>
      </c>
      <c r="G21" s="518"/>
      <c r="H21" s="518"/>
    </row>
    <row r="22" spans="1:8" ht="18" customHeight="1">
      <c r="A22" s="457" t="str">
        <f>IF(inputPrYr!$B28&gt;"  ",(inputPrYr!$B28),"  ")</f>
        <v>Special Alcohol</v>
      </c>
      <c r="B22" s="457">
        <f>IF(SP_Parks_Alcohol!$C$54&gt;0,SP_Parks_Alcohol!$C$54,"  ")</f>
        <v>475736</v>
      </c>
      <c r="C22" s="518"/>
      <c r="D22" s="457">
        <f>IF(SP_Parks_Alcohol!$E$54&gt;0,SP_Parks_Alcohol!$E$54,"  ")</f>
        <v>517726</v>
      </c>
      <c r="E22" s="518"/>
      <c r="F22" s="457">
        <f>IF(SP_Parks_Alcohol!$F$54&gt;0,SP_Parks_Alcohol!$F$54,"  ")</f>
        <v>591216</v>
      </c>
      <c r="G22" s="518"/>
      <c r="H22" s="518"/>
    </row>
    <row r="23" spans="1:8" ht="18" customHeight="1">
      <c r="A23" s="457" t="str">
        <f>IF(inputPrYr!$B29&gt;"  ",(inputPrYr!$B29),"  ")</f>
        <v>Tourism</v>
      </c>
      <c r="B23" s="457">
        <f>IF(Tourism_911!$C$25&gt;0,Tourism_911!$C$25,"  ")</f>
        <v>665000</v>
      </c>
      <c r="C23" s="518"/>
      <c r="D23" s="457">
        <f>IF(Tourism_911!$E$25&gt;0,Tourism_911!$E$25,"  ")</f>
        <v>637500</v>
      </c>
      <c r="E23" s="518"/>
      <c r="F23" s="457">
        <f>IF(Tourism_911!$F$25&gt;0,Tourism_911!$F$25,"  ")</f>
        <v>647500</v>
      </c>
      <c r="G23" s="518"/>
      <c r="H23" s="518"/>
    </row>
    <row r="24" spans="1:8" ht="18" customHeight="1">
      <c r="A24" s="457" t="str">
        <f>IF(inputPrYr!$B30&gt;"  ",(inputPrYr!$B30),"  ")</f>
        <v>911 Public Safety</v>
      </c>
      <c r="B24" s="457">
        <f>IF(Tourism_911!$C$51&gt;0,Tourism_911!$C$51,"  ")</f>
        <v>853099</v>
      </c>
      <c r="C24" s="518"/>
      <c r="D24" s="457">
        <f>IF(Tourism_911!$E$51&gt;0,Tourism_911!$E$51,"  ")</f>
        <v>1038257</v>
      </c>
      <c r="E24" s="518"/>
      <c r="F24" s="457">
        <f>IF(Tourism_911!$F$51&gt;0,Tourism_911!$F$51,"  ")</f>
        <v>972000</v>
      </c>
      <c r="G24" s="518"/>
      <c r="H24" s="518"/>
    </row>
    <row r="25" spans="1:8" ht="18" customHeight="1">
      <c r="A25" s="457" t="str">
        <f>IF(inputPrYr!$B31&gt;"  ",(inputPrYr!$B31),"  ")</f>
        <v>Environmental Trust</v>
      </c>
      <c r="B25" s="457">
        <f>IF(ETrust_EMS!$C$28&gt;0,ETrust_EMS!$C$28,"  ")</f>
        <v>1469982</v>
      </c>
      <c r="C25" s="518"/>
      <c r="D25" s="457">
        <f>IF(ETrust_EMS!$E$28&gt;0,ETrust_EMS!$E$28,"  ")</f>
        <v>960000</v>
      </c>
      <c r="E25" s="518"/>
      <c r="F25" s="457">
        <f>IF(ETrust_EMS!$F$28&gt;0,ETrust_EMS!$F$28,"  ")</f>
        <v>920000</v>
      </c>
      <c r="G25" s="518"/>
      <c r="H25" s="518"/>
    </row>
    <row r="26" spans="1:8" ht="18" customHeight="1">
      <c r="A26" s="457" t="str">
        <f>IF(inputPrYr!$B32&gt;"  ",(inputPrYr!$B32),"  ")</f>
        <v>EMS Enterprise Fund</v>
      </c>
      <c r="B26" s="457">
        <f>IF(ETrust_EMS!$C$64&gt;0,ETrust_EMS!$C$64,"  ")</f>
        <v>8963845</v>
      </c>
      <c r="C26" s="518"/>
      <c r="D26" s="457">
        <f>IF(ETrust_EMS!$E$64&gt;0,ETrust_EMS!$E$64,"  ")</f>
        <v>9071505</v>
      </c>
      <c r="E26" s="518"/>
      <c r="F26" s="457">
        <f>IF(ETrust_EMS!$F$64&gt;0,ETrust_EMS!$F$64,"  ")</f>
        <v>8618280</v>
      </c>
      <c r="G26" s="518"/>
      <c r="H26" s="518"/>
    </row>
    <row r="27" spans="1:8" ht="18" customHeight="1">
      <c r="A27" s="457" t="str">
        <f>IF(inputPrYr!$B33&gt;"  ",(inputPrYr!$B33),"  ")</f>
        <v>Stormwater Enterprise</v>
      </c>
      <c r="B27" s="457">
        <f>IF(Stormwater!$C$24&gt;0,Stormwater!$C$24,"  ")</f>
        <v>1439756</v>
      </c>
      <c r="C27" s="518"/>
      <c r="D27" s="457">
        <f>IF(Stormwater!$E$24&gt;0,Stormwater!$E$24,"  ")</f>
        <v>3067722</v>
      </c>
      <c r="E27" s="518"/>
      <c r="F27" s="457">
        <f>IF(Stormwater!$F$24&gt;0,Stormwater!$F$24,"  ")</f>
        <v>3478064</v>
      </c>
      <c r="G27" s="518"/>
      <c r="H27" s="518"/>
    </row>
    <row r="28" spans="1:8" ht="18" customHeight="1">
      <c r="A28" s="457" t="str">
        <f>IF(inputPrYr!$B34&gt;"  ",(inputPrYr!$B34),"  ")</f>
        <v>Dedicated Sales Tax</v>
      </c>
      <c r="B28" s="457">
        <f>SalesTax!C25</f>
        <v>1590758</v>
      </c>
      <c r="C28" s="518"/>
      <c r="D28" s="457">
        <f>SalesTax!E25</f>
        <v>5796434</v>
      </c>
      <c r="E28" s="518"/>
      <c r="F28" s="457">
        <f>SalesTax!F25</f>
        <v>5686627</v>
      </c>
      <c r="G28" s="518"/>
      <c r="H28" s="518"/>
    </row>
    <row r="29" spans="1:13" ht="18" customHeight="1" thickBot="1">
      <c r="A29" s="457" t="str">
        <f>IF(inputPrYr!$B37&gt;"  ",(NonBudA!$A3),"  ")</f>
        <v>Non-Budgeted Funds-A</v>
      </c>
      <c r="B29" s="457">
        <f>IF(NonBudA!$K$28&gt;0,NonBudA!$K$28,"  ")</f>
        <v>10621870</v>
      </c>
      <c r="C29" s="518"/>
      <c r="D29" s="457"/>
      <c r="E29" s="518"/>
      <c r="F29" s="457"/>
      <c r="G29" s="518"/>
      <c r="H29" s="518"/>
      <c r="J29" s="614" t="str">
        <f>CONCATENATE("",H2," Tax Levy Fund Expenditures Must Be")</f>
        <v>2012 Tax Levy Fund Expenditures Must Be</v>
      </c>
      <c r="K29" s="615"/>
      <c r="L29" s="615"/>
      <c r="M29" s="616"/>
    </row>
    <row r="30" spans="1:13" ht="18" customHeight="1">
      <c r="A30" s="617" t="s">
        <v>792</v>
      </c>
      <c r="B30" s="618">
        <f>SUM(B15:B29)</f>
        <v>195880363</v>
      </c>
      <c r="C30" s="619">
        <f>SUM(C15:C16)</f>
        <v>40.808</v>
      </c>
      <c r="D30" s="618">
        <f>SUM(D15:D29)</f>
        <v>199084941</v>
      </c>
      <c r="E30" s="619">
        <f>SUM(E15:E16)</f>
        <v>40.635000000000005</v>
      </c>
      <c r="F30" s="618">
        <f>SUM(F15:F29)</f>
        <v>199657223</v>
      </c>
      <c r="G30" s="618">
        <f>SUM(G15:G29)</f>
        <v>43821785.353103444</v>
      </c>
      <c r="H30" s="619">
        <f>SUM(H15:H16)</f>
        <v>45.135000000000005</v>
      </c>
      <c r="J30" s="748" t="str">
        <f>CONCATENATE("Impact On Keeping The Same Mill Rate As For ",H2-1,"")</f>
        <v>Impact On Keeping The Same Mill Rate As For 2011</v>
      </c>
      <c r="K30" s="751"/>
      <c r="L30" s="751"/>
      <c r="M30" s="752"/>
    </row>
    <row r="31" spans="1:13" ht="18" customHeight="1">
      <c r="A31" s="453" t="s">
        <v>128</v>
      </c>
      <c r="B31" s="689">
        <f>transfers!C18</f>
        <v>7304288</v>
      </c>
      <c r="C31" s="621"/>
      <c r="D31" s="689">
        <f>transfers!D18</f>
        <v>7791723</v>
      </c>
      <c r="E31" s="622"/>
      <c r="F31" s="689">
        <f>transfers!E18</f>
        <v>6583584</v>
      </c>
      <c r="G31" s="623"/>
      <c r="H31" s="622"/>
      <c r="I31" s="624"/>
      <c r="J31" s="625"/>
      <c r="K31" s="626"/>
      <c r="L31" s="626"/>
      <c r="M31" s="616"/>
    </row>
    <row r="32" spans="1:13" ht="18" customHeight="1" thickBot="1">
      <c r="A32" s="453" t="s">
        <v>129</v>
      </c>
      <c r="B32" s="627">
        <f>B30-B31</f>
        <v>188576075</v>
      </c>
      <c r="C32" s="448"/>
      <c r="D32" s="627">
        <f>D30-D31</f>
        <v>191293218</v>
      </c>
      <c r="E32" s="448"/>
      <c r="F32" s="627">
        <f>F30-F31</f>
        <v>193073639</v>
      </c>
      <c r="G32" s="448"/>
      <c r="H32" s="448"/>
      <c r="J32" s="625" t="str">
        <f>CONCATENATE("",H2," Ad Valorem Tax Revenue:")</f>
        <v>2012 Ad Valorem Tax Revenue:</v>
      </c>
      <c r="K32" s="626"/>
      <c r="L32" s="626"/>
      <c r="M32" s="628">
        <f>G30</f>
        <v>43821785.353103444</v>
      </c>
    </row>
    <row r="33" spans="1:13" ht="18" customHeight="1" thickTop="1">
      <c r="A33" s="453" t="s">
        <v>130</v>
      </c>
      <c r="B33" s="620">
        <f>inputPrYr!$E$50</f>
        <v>41727597</v>
      </c>
      <c r="C33" s="447"/>
      <c r="D33" s="620">
        <f>inputPrYr!$E$20</f>
        <v>40045771</v>
      </c>
      <c r="E33" s="447"/>
      <c r="F33" s="629" t="s">
        <v>95</v>
      </c>
      <c r="G33" s="448"/>
      <c r="H33" s="448"/>
      <c r="J33" s="625" t="str">
        <f>CONCATENATE("",H2-1," Ad Valorem Tax Revenue:")</f>
        <v>2011 Ad Valorem Tax Revenue:</v>
      </c>
      <c r="K33" s="626"/>
      <c r="L33" s="626"/>
      <c r="M33" s="630" t="e">
        <f>ROUND(F35*#REF!/1000,0)</f>
        <v>#REF!</v>
      </c>
    </row>
    <row r="34" spans="1:13" ht="18" customHeight="1">
      <c r="A34" s="453" t="s">
        <v>131</v>
      </c>
      <c r="B34" s="510"/>
      <c r="C34" s="448"/>
      <c r="D34" s="631"/>
      <c r="E34" s="632"/>
      <c r="F34" s="633"/>
      <c r="G34" s="448"/>
      <c r="H34" s="448"/>
      <c r="J34" s="634" t="s">
        <v>784</v>
      </c>
      <c r="K34" s="635"/>
      <c r="L34" s="635"/>
      <c r="M34" s="636" t="e">
        <f>SUM(M32-M33)</f>
        <v>#REF!</v>
      </c>
    </row>
    <row r="35" spans="1:13" ht="18" customHeight="1">
      <c r="A35" s="453" t="s">
        <v>132</v>
      </c>
      <c r="B35" s="620">
        <f>inputPrYr!$E$51</f>
        <v>1022535148</v>
      </c>
      <c r="C35" s="637"/>
      <c r="D35" s="620">
        <f>inputOth!$E$25</f>
        <v>985486977</v>
      </c>
      <c r="E35" s="637"/>
      <c r="F35" s="620">
        <v>970913188</v>
      </c>
      <c r="G35" s="448"/>
      <c r="H35" s="448"/>
      <c r="J35" s="638"/>
      <c r="K35" s="638"/>
      <c r="L35" s="638"/>
      <c r="M35" s="639"/>
    </row>
    <row r="36" spans="1:13" ht="18" customHeight="1">
      <c r="A36" s="453" t="s">
        <v>133</v>
      </c>
      <c r="B36" s="448"/>
      <c r="C36" s="448"/>
      <c r="D36" s="448"/>
      <c r="E36" s="448"/>
      <c r="F36" s="448"/>
      <c r="G36" s="448"/>
      <c r="H36" s="448"/>
      <c r="J36" s="748" t="s">
        <v>785</v>
      </c>
      <c r="K36" s="749"/>
      <c r="L36" s="749"/>
      <c r="M36" s="750"/>
    </row>
    <row r="37" spans="1:13" ht="18" customHeight="1">
      <c r="A37" s="453" t="s">
        <v>134</v>
      </c>
      <c r="B37" s="640">
        <f>$H$2-3</f>
        <v>2009</v>
      </c>
      <c r="C37" s="448"/>
      <c r="D37" s="640">
        <f>$H$2-2</f>
        <v>2010</v>
      </c>
      <c r="E37" s="448"/>
      <c r="F37" s="640">
        <f>$H$2-1</f>
        <v>2011</v>
      </c>
      <c r="G37" s="448"/>
      <c r="H37" s="448"/>
      <c r="J37" s="625"/>
      <c r="K37" s="626"/>
      <c r="L37" s="626"/>
      <c r="M37" s="616"/>
    </row>
    <row r="38" spans="1:13" ht="18" customHeight="1">
      <c r="A38" s="453" t="s">
        <v>135</v>
      </c>
      <c r="B38" s="466">
        <f>inputPrYr!$D$55</f>
        <v>176725000</v>
      </c>
      <c r="C38" s="641"/>
      <c r="D38" s="466">
        <f>inputPrYr!$E$55</f>
        <v>161065000</v>
      </c>
      <c r="E38" s="641"/>
      <c r="F38" s="466">
        <f>debt!$F$23</f>
        <v>262835000</v>
      </c>
      <c r="G38" s="448"/>
      <c r="H38" s="448"/>
      <c r="J38" s="625" t="str">
        <f>CONCATENATE("Current ",H2," Estimated Mill Rate:")</f>
        <v>Current 2012 Estimated Mill Rate:</v>
      </c>
      <c r="K38" s="626"/>
      <c r="L38" s="626"/>
      <c r="M38" s="642">
        <f>H30</f>
        <v>45.135000000000005</v>
      </c>
    </row>
    <row r="39" spans="1:13" ht="18" customHeight="1">
      <c r="A39" s="453" t="s">
        <v>136</v>
      </c>
      <c r="B39" s="620">
        <f>inputPrYr!$D$56</f>
        <v>20112860</v>
      </c>
      <c r="C39" s="641"/>
      <c r="D39" s="620">
        <f>inputPrYr!$E$56</f>
        <v>13658003</v>
      </c>
      <c r="E39" s="641"/>
      <c r="F39" s="466">
        <f>debt!$F$27</f>
        <v>12574768</v>
      </c>
      <c r="G39" s="448"/>
      <c r="H39" s="448"/>
      <c r="J39" s="625" t="str">
        <f>CONCATENATE("Desired ",H2," Mill Rate:")</f>
        <v>Desired 2012 Mill Rate:</v>
      </c>
      <c r="K39" s="626"/>
      <c r="L39" s="626"/>
      <c r="M39" s="643">
        <v>0</v>
      </c>
    </row>
    <row r="40" spans="1:13" ht="18" customHeight="1">
      <c r="A40" s="453" t="s">
        <v>1165</v>
      </c>
      <c r="B40" s="620">
        <f>inputPrYr!$D$57</f>
        <v>224140000</v>
      </c>
      <c r="C40" s="641"/>
      <c r="D40" s="620">
        <f>inputPrYr!$E$57</f>
        <v>189275000</v>
      </c>
      <c r="E40" s="641"/>
      <c r="F40" s="466">
        <f>debt!F38</f>
        <v>285921488.5</v>
      </c>
      <c r="G40" s="448"/>
      <c r="H40" s="448"/>
      <c r="J40" s="625" t="str">
        <f>CONCATENATE("",H2," Ad Valorem Tax:")</f>
        <v>2012 Ad Valorem Tax:</v>
      </c>
      <c r="K40" s="626"/>
      <c r="L40" s="626"/>
      <c r="M40" s="630">
        <f>ROUND(F35*M39/1000,0)</f>
        <v>0</v>
      </c>
    </row>
    <row r="41" spans="1:13" ht="18" customHeight="1">
      <c r="A41" s="448" t="s">
        <v>1166</v>
      </c>
      <c r="B41" s="620">
        <f>inputPrYr!$D$58</f>
        <v>1167299</v>
      </c>
      <c r="C41" s="641"/>
      <c r="D41" s="620">
        <f>inputPrYr!$E$58</f>
        <v>114057299</v>
      </c>
      <c r="E41" s="641"/>
      <c r="F41" s="466">
        <f>debt!F49</f>
        <v>50755000</v>
      </c>
      <c r="G41" s="448"/>
      <c r="H41" s="448"/>
      <c r="J41" s="634" t="str">
        <f>CONCATENATE("",H2," Tax Levy Fund Exp. Changed By:")</f>
        <v>2012 Tax Levy Fund Exp. Changed By:</v>
      </c>
      <c r="K41" s="635"/>
      <c r="L41" s="635"/>
      <c r="M41" s="636">
        <f>M40-G30</f>
        <v>-43821785.353103444</v>
      </c>
    </row>
    <row r="42" spans="1:8" ht="18" customHeight="1">
      <c r="A42" s="453" t="s">
        <v>231</v>
      </c>
      <c r="B42" s="620">
        <f>inputPrYr!$D$59</f>
        <v>10147927</v>
      </c>
      <c r="C42" s="641"/>
      <c r="D42" s="620">
        <f>inputPrYr!$E$59</f>
        <v>7560821</v>
      </c>
      <c r="E42" s="641"/>
      <c r="F42" s="466">
        <f>lpform!$F$38</f>
        <v>6678845</v>
      </c>
      <c r="G42" s="448"/>
      <c r="H42" s="448"/>
    </row>
    <row r="43" spans="1:8" ht="18" customHeight="1" thickBot="1">
      <c r="A43" s="453" t="s">
        <v>137</v>
      </c>
      <c r="B43" s="627">
        <f>SUM(B38:B42)</f>
        <v>432293086</v>
      </c>
      <c r="C43" s="641"/>
      <c r="D43" s="627">
        <f>SUM(D38:D42)</f>
        <v>485616123</v>
      </c>
      <c r="E43" s="641"/>
      <c r="F43" s="627">
        <f>SUM(F38:F42)</f>
        <v>618765101.5</v>
      </c>
      <c r="G43" s="448"/>
      <c r="H43" s="448"/>
    </row>
    <row r="44" spans="1:8" ht="18" customHeight="1" thickTop="1">
      <c r="A44" s="453" t="s">
        <v>138</v>
      </c>
      <c r="B44" s="448"/>
      <c r="C44" s="448"/>
      <c r="D44" s="448"/>
      <c r="E44" s="448"/>
      <c r="F44" s="448"/>
      <c r="G44" s="448"/>
      <c r="H44" s="448"/>
    </row>
    <row r="45" spans="1:8" ht="18" customHeight="1">
      <c r="A45" s="448"/>
      <c r="B45" s="448"/>
      <c r="C45" s="448"/>
      <c r="D45" s="448"/>
      <c r="E45" s="448"/>
      <c r="F45" s="448"/>
      <c r="G45" s="448"/>
      <c r="H45" s="448"/>
    </row>
    <row r="46" spans="1:8" ht="18" customHeight="1">
      <c r="A46" s="747"/>
      <c r="B46" s="747"/>
      <c r="C46" s="637"/>
      <c r="D46" s="448"/>
      <c r="E46" s="448"/>
      <c r="F46" s="448"/>
      <c r="G46" s="448"/>
      <c r="H46" s="448"/>
    </row>
    <row r="47" spans="1:8" ht="18" customHeight="1">
      <c r="A47" s="746" t="s">
        <v>1164</v>
      </c>
      <c r="B47" s="746"/>
      <c r="C47" s="448"/>
      <c r="D47" s="448"/>
      <c r="E47" s="448"/>
      <c r="F47" s="448"/>
      <c r="G47" s="448"/>
      <c r="H47" s="448"/>
    </row>
    <row r="48" spans="1:8" ht="14.25">
      <c r="A48" s="448"/>
      <c r="B48" s="448"/>
      <c r="C48" s="448"/>
      <c r="D48" s="448"/>
      <c r="E48" s="448"/>
      <c r="F48" s="448"/>
      <c r="G48" s="448"/>
      <c r="H48" s="448"/>
    </row>
    <row r="49" spans="1:8" ht="14.25">
      <c r="A49" s="448"/>
      <c r="B49" s="448"/>
      <c r="C49" s="465"/>
      <c r="D49" s="471"/>
      <c r="E49" s="448"/>
      <c r="F49" s="448"/>
      <c r="G49" s="448"/>
      <c r="H49" s="448"/>
    </row>
  </sheetData>
  <sheetProtection/>
  <mergeCells count="10">
    <mergeCell ref="A47:B47"/>
    <mergeCell ref="A46:B46"/>
    <mergeCell ref="J36:M36"/>
    <mergeCell ref="J30:M30"/>
    <mergeCell ref="A1:H1"/>
    <mergeCell ref="A4:H4"/>
    <mergeCell ref="A6:H6"/>
    <mergeCell ref="A7:H7"/>
    <mergeCell ref="A3:H3"/>
    <mergeCell ref="A5:H5"/>
  </mergeCells>
  <printOptions/>
  <pageMargins left="0.5" right="0.5" top="1" bottom="0.5" header="0.5" footer="0.5"/>
  <pageSetup blackAndWhite="1" fitToHeight="1" fitToWidth="1" horizontalDpi="120" verticalDpi="120" orientation="portrait" scale="69" r:id="rId1"/>
  <headerFooter alignWithMargins="0">
    <oddHeader>&amp;RState of Kansas
City</oddHeader>
    <oddFooter>&amp;CKC -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6">
      <selection activeCell="C35" sqref="C35"/>
    </sheetView>
  </sheetViews>
  <sheetFormatPr defaultColWidth="8.796875" defaultRowHeight="15"/>
  <cols>
    <col min="1" max="1" width="23.09765625" style="42" customWidth="1"/>
    <col min="2" max="2" width="20.796875" style="42" customWidth="1"/>
    <col min="3" max="3" width="9.796875" style="42" customWidth="1"/>
    <col min="4" max="4" width="15.09765625" style="42" customWidth="1"/>
    <col min="5" max="5" width="15.796875" style="42" customWidth="1"/>
    <col min="6" max="16384" width="8.8984375" style="42" customWidth="1"/>
  </cols>
  <sheetData>
    <row r="1" spans="1:5" ht="15.75">
      <c r="A1" s="77" t="str">
        <f>inputPrYr!$D$2</f>
        <v>Kansas City</v>
      </c>
      <c r="B1" s="29"/>
      <c r="C1" s="29"/>
      <c r="D1" s="29"/>
      <c r="E1" s="76">
        <f>inputPrYr!C5</f>
        <v>2012</v>
      </c>
    </row>
    <row r="2" spans="1:5" ht="15">
      <c r="A2" s="29"/>
      <c r="B2" s="29"/>
      <c r="C2" s="29"/>
      <c r="D2" s="29"/>
      <c r="E2" s="29"/>
    </row>
    <row r="3" spans="1:5" ht="15.75">
      <c r="A3" s="738" t="s">
        <v>321</v>
      </c>
      <c r="B3" s="739"/>
      <c r="C3" s="739"/>
      <c r="D3" s="739"/>
      <c r="E3" s="739"/>
    </row>
    <row r="4" spans="1:5" ht="15">
      <c r="A4" s="29"/>
      <c r="B4" s="29"/>
      <c r="C4" s="29"/>
      <c r="D4" s="29"/>
      <c r="E4" s="29"/>
    </row>
    <row r="5" spans="1:5" ht="15">
      <c r="A5" s="29"/>
      <c r="B5" s="29"/>
      <c r="C5" s="29"/>
      <c r="D5" s="29"/>
      <c r="E5" s="29"/>
    </row>
    <row r="6" spans="1:5" ht="15.75">
      <c r="A6" s="25" t="str">
        <f>CONCATENATE("From the County Clerks ",E1," Budget Information:")</f>
        <v>From the County Clerks 2012 Budget Information:</v>
      </c>
      <c r="B6" s="26"/>
      <c r="C6" s="21"/>
      <c r="D6" s="21"/>
      <c r="E6" s="40"/>
    </row>
    <row r="7" spans="1:5" ht="15.75">
      <c r="A7" s="43" t="str">
        <f>CONCATENATE("Total Assessed Valuation for ",E1-1,"")</f>
        <v>Total Assessed Valuation for 2011</v>
      </c>
      <c r="B7" s="33"/>
      <c r="C7" s="33"/>
      <c r="D7" s="33"/>
      <c r="E7" s="28"/>
    </row>
    <row r="8" spans="1:5" ht="15.75">
      <c r="A8" s="43" t="str">
        <f>CONCATENATE("New Improvements for ",E1-1,"")</f>
        <v>New Improvements for 2011</v>
      </c>
      <c r="B8" s="33"/>
      <c r="C8" s="33"/>
      <c r="D8" s="33"/>
      <c r="E8" s="44"/>
    </row>
    <row r="9" spans="1:5" ht="15.75">
      <c r="A9" s="43" t="str">
        <f>CONCATENATE("Personal Property excluding oil, gas, mobile homes - ",E1-1,"")</f>
        <v>Personal Property excluding oil, gas, mobile homes - 2011</v>
      </c>
      <c r="B9" s="33"/>
      <c r="C9" s="33"/>
      <c r="D9" s="33"/>
      <c r="E9" s="44"/>
    </row>
    <row r="10" spans="1:5" ht="15.75">
      <c r="A10" s="45" t="s">
        <v>258</v>
      </c>
      <c r="B10" s="33"/>
      <c r="C10" s="33"/>
      <c r="D10" s="33"/>
      <c r="E10" s="38"/>
    </row>
    <row r="11" spans="1:5" ht="15.75">
      <c r="A11" s="43" t="s">
        <v>216</v>
      </c>
      <c r="B11" s="33"/>
      <c r="C11" s="33"/>
      <c r="D11" s="33"/>
      <c r="E11" s="44"/>
    </row>
    <row r="12" spans="1:5" ht="15.75">
      <c r="A12" s="43" t="s">
        <v>217</v>
      </c>
      <c r="B12" s="33"/>
      <c r="C12" s="33"/>
      <c r="D12" s="33"/>
      <c r="E12" s="44"/>
    </row>
    <row r="13" spans="1:5" ht="15.75">
      <c r="A13" s="43" t="s">
        <v>218</v>
      </c>
      <c r="B13" s="33"/>
      <c r="C13" s="33"/>
      <c r="D13" s="33"/>
      <c r="E13" s="44"/>
    </row>
    <row r="14" spans="1:5" ht="15.75">
      <c r="A14" s="43" t="str">
        <f>CONCATENATE("Property that has changed in use for ",E1-1,"")</f>
        <v>Property that has changed in use for 2011</v>
      </c>
      <c r="B14" s="33"/>
      <c r="C14" s="33"/>
      <c r="D14" s="33"/>
      <c r="E14" s="44"/>
    </row>
    <row r="15" spans="1:5" ht="15.75">
      <c r="A15" s="43" t="str">
        <f>CONCATENATE("Personal Property  excluding oil, gas, mobile homes- ",E1-2,"")</f>
        <v>Personal Property  excluding oil, gas, mobile homes- 2010</v>
      </c>
      <c r="B15" s="33"/>
      <c r="C15" s="33"/>
      <c r="D15" s="33"/>
      <c r="E15" s="44"/>
    </row>
    <row r="16" spans="1:5" ht="15.75">
      <c r="A16" s="43" t="str">
        <f>CONCATENATE("Gross earnings (intangible) tax estimate for ",E1,"")</f>
        <v>Gross earnings (intangible) tax estimate for 2012</v>
      </c>
      <c r="B16" s="33"/>
      <c r="C16" s="33"/>
      <c r="D16" s="39"/>
      <c r="E16" s="28"/>
    </row>
    <row r="17" spans="1:5" ht="15.75">
      <c r="A17" s="43" t="s">
        <v>259</v>
      </c>
      <c r="B17" s="33"/>
      <c r="C17" s="33"/>
      <c r="D17" s="33"/>
      <c r="E17" s="41"/>
    </row>
    <row r="18" spans="1:5" ht="15.75">
      <c r="A18" s="34"/>
      <c r="B18" s="35"/>
      <c r="C18" s="35"/>
      <c r="D18" s="35"/>
      <c r="E18" s="37"/>
    </row>
    <row r="19" spans="1:5" ht="15.75">
      <c r="A19" s="34" t="str">
        <f>CONCATENATE("Actual Tax Rates for the ",E1-1," Budget:")</f>
        <v>Actual Tax Rates for the 2011 Budget:</v>
      </c>
      <c r="B19" s="35"/>
      <c r="C19" s="35"/>
      <c r="D19" s="35"/>
      <c r="E19" s="37"/>
    </row>
    <row r="20" spans="1:5" ht="15.75">
      <c r="A20" s="734" t="s">
        <v>92</v>
      </c>
      <c r="B20" s="735"/>
      <c r="C20" s="29"/>
      <c r="D20" s="46" t="s">
        <v>142</v>
      </c>
      <c r="E20" s="37"/>
    </row>
    <row r="21" spans="1:5" ht="15.75">
      <c r="A21" s="31" t="s">
        <v>76</v>
      </c>
      <c r="B21" s="32"/>
      <c r="C21" s="35"/>
      <c r="D21" s="47">
        <v>24.885</v>
      </c>
      <c r="E21" s="37"/>
    </row>
    <row r="22" spans="1:5" ht="15.75">
      <c r="A22" s="43" t="s">
        <v>47</v>
      </c>
      <c r="B22" s="33"/>
      <c r="C22" s="35"/>
      <c r="D22" s="48">
        <v>15.75</v>
      </c>
      <c r="E22" s="37"/>
    </row>
    <row r="23" spans="1:5" ht="15.75">
      <c r="A23" s="49"/>
      <c r="B23" s="27" t="s">
        <v>78</v>
      </c>
      <c r="C23" s="50"/>
      <c r="D23" s="51">
        <f>SUM(D21:D22)</f>
        <v>40.635000000000005</v>
      </c>
      <c r="E23" s="49"/>
    </row>
    <row r="24" spans="1:5" ht="15">
      <c r="A24" s="49"/>
      <c r="B24" s="49"/>
      <c r="C24" s="49"/>
      <c r="D24" s="49"/>
      <c r="E24" s="49"/>
    </row>
    <row r="25" spans="1:5" ht="15.75">
      <c r="A25" s="32" t="str">
        <f>CONCATENATE("Final Assessed Valuation from the November 1, ",E1-2," Abstract")</f>
        <v>Final Assessed Valuation from the November 1, 2010 Abstract</v>
      </c>
      <c r="B25" s="52"/>
      <c r="C25" s="52"/>
      <c r="D25" s="52"/>
      <c r="E25" s="41">
        <v>985486977</v>
      </c>
    </row>
    <row r="26" spans="1:5" ht="15">
      <c r="A26" s="49"/>
      <c r="B26" s="49"/>
      <c r="C26" s="49"/>
      <c r="D26" s="49"/>
      <c r="E26" s="49"/>
    </row>
    <row r="27" spans="1:5" ht="15.75">
      <c r="A27" s="53" t="str">
        <f>CONCATENATE("From the County Treasurer's Budget Information - ",E1," Budget Year Estimates:")</f>
        <v>From the County Treasurer's Budget Information - 2012 Budget Year Estimates:</v>
      </c>
      <c r="B27" s="24"/>
      <c r="C27" s="24"/>
      <c r="D27" s="54"/>
      <c r="E27" s="40"/>
    </row>
    <row r="28" spans="1:5" ht="15.75">
      <c r="A28" s="31" t="s">
        <v>79</v>
      </c>
      <c r="B28" s="32"/>
      <c r="C28" s="32"/>
      <c r="D28" s="55"/>
      <c r="E28" s="28">
        <v>4288359</v>
      </c>
    </row>
    <row r="29" spans="1:5" ht="15.75">
      <c r="A29" s="43" t="s">
        <v>80</v>
      </c>
      <c r="B29" s="33"/>
      <c r="C29" s="33"/>
      <c r="D29" s="56"/>
      <c r="E29" s="28">
        <v>20225</v>
      </c>
    </row>
    <row r="30" spans="1:5" ht="15.75">
      <c r="A30" s="43" t="s">
        <v>260</v>
      </c>
      <c r="B30" s="33"/>
      <c r="C30" s="33"/>
      <c r="D30" s="56"/>
      <c r="E30" s="28">
        <v>39124</v>
      </c>
    </row>
    <row r="31" spans="1:5" ht="15.75">
      <c r="A31" s="43" t="s">
        <v>261</v>
      </c>
      <c r="B31" s="33"/>
      <c r="C31" s="33"/>
      <c r="D31" s="56"/>
      <c r="E31" s="28"/>
    </row>
    <row r="32" spans="1:5" ht="15.75">
      <c r="A32" s="43" t="s">
        <v>262</v>
      </c>
      <c r="B32" s="33"/>
      <c r="C32" s="33"/>
      <c r="D32" s="56"/>
      <c r="E32" s="28"/>
    </row>
    <row r="33" spans="1:5" ht="15.75">
      <c r="A33" s="31" t="s">
        <v>263</v>
      </c>
      <c r="B33" s="32"/>
      <c r="C33" s="32"/>
      <c r="D33" s="55"/>
      <c r="E33" s="28"/>
    </row>
    <row r="34" spans="1:5" ht="15.75">
      <c r="A34" s="21" t="s">
        <v>264</v>
      </c>
      <c r="B34" s="21"/>
      <c r="C34" s="21"/>
      <c r="D34" s="21"/>
      <c r="E34" s="21"/>
    </row>
    <row r="35" spans="1:5" ht="15.75">
      <c r="A35" s="20" t="s">
        <v>100</v>
      </c>
      <c r="B35" s="23"/>
      <c r="C35" s="23"/>
      <c r="D35" s="21"/>
      <c r="E35" s="21"/>
    </row>
    <row r="36" spans="1:5" ht="15.75">
      <c r="A36" s="34" t="str">
        <f>CONCATENATE("Actual Delinquency for ",E1-3," Tax - (round to three decimal places)")</f>
        <v>Actual Delinquency for 2009 Tax - (round to three decimal places)</v>
      </c>
      <c r="B36" s="35"/>
      <c r="C36" s="21"/>
      <c r="D36" s="21"/>
      <c r="E36" s="209">
        <v>0.1029</v>
      </c>
    </row>
    <row r="37" spans="1:5" ht="15.75">
      <c r="A37" s="31" t="s">
        <v>265</v>
      </c>
      <c r="B37" s="31"/>
      <c r="C37" s="32"/>
      <c r="D37" s="32"/>
      <c r="E37" s="135">
        <v>0.08</v>
      </c>
    </row>
    <row r="38" spans="1:5" ht="15.75">
      <c r="A38" s="21"/>
      <c r="B38" s="21"/>
      <c r="C38" s="21"/>
      <c r="D38" s="21"/>
      <c r="E38" s="21"/>
    </row>
    <row r="39" spans="1:5" ht="15.75">
      <c r="A39" s="57" t="s">
        <v>4</v>
      </c>
      <c r="B39" s="58"/>
      <c r="C39" s="59"/>
      <c r="D39" s="59"/>
      <c r="E39" s="59"/>
    </row>
    <row r="40" spans="1:5" ht="15.75">
      <c r="A40" s="60" t="str">
        <f>CONCATENATE("",E1," State Distribution for Kansas Gas Tax")</f>
        <v>2012 State Distribution for Kansas Gas Tax</v>
      </c>
      <c r="B40" s="61"/>
      <c r="C40" s="61"/>
      <c r="D40" s="62"/>
      <c r="E40" s="41"/>
    </row>
    <row r="41" spans="1:5" ht="15.75">
      <c r="A41" s="63" t="str">
        <f>CONCATENATE("",E1," County Transfers for Gas**")</f>
        <v>2012 County Transfers for Gas**</v>
      </c>
      <c r="B41" s="64"/>
      <c r="C41" s="64"/>
      <c r="D41" s="65"/>
      <c r="E41" s="41"/>
    </row>
    <row r="42" spans="1:5" ht="15.75">
      <c r="A42" s="63" t="str">
        <f>CONCATENATE("Adjusted ",E1-1," State Distribution for Kansas Gas Tax")</f>
        <v>Adjusted 2011 State Distribution for Kansas Gas Tax</v>
      </c>
      <c r="B42" s="64"/>
      <c r="C42" s="64"/>
      <c r="D42" s="65"/>
      <c r="E42" s="41"/>
    </row>
    <row r="43" spans="1:5" ht="15.75">
      <c r="A43" s="63" t="str">
        <f>CONCATENATE("Adjusted ",E1-1," County Transfers for Gas**")</f>
        <v>Adjusted 2011 County Transfers for Gas**</v>
      </c>
      <c r="B43" s="64"/>
      <c r="C43" s="64"/>
      <c r="D43" s="65"/>
      <c r="E43" s="41"/>
    </row>
    <row r="44" spans="1:5" ht="15">
      <c r="A44" s="736" t="s">
        <v>316</v>
      </c>
      <c r="B44" s="737"/>
      <c r="C44" s="737"/>
      <c r="D44" s="737"/>
      <c r="E44" s="737"/>
    </row>
    <row r="45" spans="1:5" ht="15">
      <c r="A45" s="66" t="s">
        <v>317</v>
      </c>
      <c r="B45" s="66"/>
      <c r="C45" s="66"/>
      <c r="D45" s="66"/>
      <c r="E45" s="66"/>
    </row>
    <row r="46" spans="1:5" ht="15">
      <c r="A46" s="29"/>
      <c r="B46" s="29"/>
      <c r="C46" s="29"/>
      <c r="D46" s="29"/>
      <c r="E46" s="29"/>
    </row>
    <row r="47" spans="1:5" ht="15.75">
      <c r="A47" s="740" t="str">
        <f>CONCATENATE("From the ",E1-2," Budget Certificate Page")</f>
        <v>From the 2010 Budget Certificate Page</v>
      </c>
      <c r="B47" s="741"/>
      <c r="C47" s="29"/>
      <c r="D47" s="29"/>
      <c r="E47" s="29"/>
    </row>
    <row r="48" spans="1:5" ht="15.75">
      <c r="A48" s="67"/>
      <c r="B48" s="67" t="str">
        <f>CONCATENATE("",E1-2," Expenditure Amounts")</f>
        <v>2010 Expenditure Amounts</v>
      </c>
      <c r="C48" s="732" t="str">
        <f>CONCATENATE("Note: If the ",E1-2," budget was amended, then the")</f>
        <v>Note: If the 2010 budget was amended, then the</v>
      </c>
      <c r="D48" s="733"/>
      <c r="E48" s="733"/>
    </row>
    <row r="49" spans="1:5" ht="15.75">
      <c r="A49" s="68" t="s">
        <v>12</v>
      </c>
      <c r="B49" s="68" t="s">
        <v>13</v>
      </c>
      <c r="C49" s="69" t="s">
        <v>14</v>
      </c>
      <c r="D49" s="70"/>
      <c r="E49" s="70"/>
    </row>
    <row r="50" spans="1:5" ht="15.75">
      <c r="A50" s="71" t="str">
        <f>inputPrYr!B17</f>
        <v>General</v>
      </c>
      <c r="B50" s="41">
        <v>116766578</v>
      </c>
      <c r="C50" s="69" t="s">
        <v>15</v>
      </c>
      <c r="D50" s="70"/>
      <c r="E50" s="70"/>
    </row>
    <row r="51" spans="1:5" ht="15.75">
      <c r="A51" s="71" t="str">
        <f>inputPrYr!B18</f>
        <v>Debt Service</v>
      </c>
      <c r="B51" s="41">
        <v>25354513</v>
      </c>
      <c r="C51" s="69"/>
      <c r="D51" s="70"/>
      <c r="E51" s="70"/>
    </row>
    <row r="52" spans="1:5" ht="15.75">
      <c r="A52" s="71" t="str">
        <f>inputPrYr!B23</f>
        <v>Special Highway</v>
      </c>
      <c r="B52" s="41">
        <v>6902684</v>
      </c>
      <c r="C52" s="29"/>
      <c r="D52" s="29"/>
      <c r="E52" s="29"/>
    </row>
    <row r="53" spans="1:5" ht="15.75">
      <c r="A53" s="71" t="str">
        <f>inputPrYr!B24</f>
        <v>Sewer System Enterprise Fund</v>
      </c>
      <c r="B53" s="41">
        <v>22714797</v>
      </c>
      <c r="C53" s="29"/>
      <c r="D53" s="29"/>
      <c r="E53" s="29"/>
    </row>
    <row r="54" spans="1:5" ht="15.75">
      <c r="A54" s="71" t="str">
        <f>inputPrYr!B25</f>
        <v>Public Levee Enterprise Fund</v>
      </c>
      <c r="B54" s="41">
        <v>1330237</v>
      </c>
      <c r="C54" s="29"/>
      <c r="D54" s="29"/>
      <c r="E54" s="29"/>
    </row>
    <row r="55" spans="1:5" ht="15.75">
      <c r="A55" s="71" t="str">
        <f>inputPrYr!B26</f>
        <v>Sunflower Hills Golf Course</v>
      </c>
      <c r="B55" s="41">
        <v>787858</v>
      </c>
      <c r="C55" s="29"/>
      <c r="D55" s="29"/>
      <c r="E55" s="29"/>
    </row>
    <row r="56" spans="1:5" ht="15.75">
      <c r="A56" s="71" t="str">
        <f>inputPrYr!B27</f>
        <v>Special Parks and Recreation</v>
      </c>
      <c r="B56" s="41">
        <v>551131</v>
      </c>
      <c r="C56" s="29"/>
      <c r="D56" s="29"/>
      <c r="E56" s="29"/>
    </row>
    <row r="57" spans="1:5" ht="15.75">
      <c r="A57" s="71" t="str">
        <f>inputPrYr!B28</f>
        <v>Special Alcohol</v>
      </c>
      <c r="B57" s="41">
        <v>531807</v>
      </c>
      <c r="C57" s="29"/>
      <c r="D57" s="29"/>
      <c r="E57" s="29"/>
    </row>
    <row r="58" spans="1:5" ht="15.75">
      <c r="A58" s="71" t="str">
        <f>inputPrYr!B29</f>
        <v>Tourism</v>
      </c>
      <c r="B58" s="41">
        <v>675000</v>
      </c>
      <c r="C58" s="29"/>
      <c r="D58" s="29"/>
      <c r="E58" s="29"/>
    </row>
    <row r="59" spans="1:5" ht="15.75">
      <c r="A59" s="71" t="str">
        <f>inputPrYr!B30</f>
        <v>911 Public Safety</v>
      </c>
      <c r="B59" s="41">
        <v>972000</v>
      </c>
      <c r="C59" s="29"/>
      <c r="D59" s="29"/>
      <c r="E59" s="29"/>
    </row>
    <row r="60" spans="1:5" ht="15.75">
      <c r="A60" s="71" t="str">
        <f>inputPrYr!B31</f>
        <v>Environmental Trust</v>
      </c>
      <c r="B60" s="41">
        <v>1470000</v>
      </c>
      <c r="C60" s="29"/>
      <c r="D60" s="29"/>
      <c r="E60" s="29"/>
    </row>
    <row r="61" spans="1:5" ht="15.75">
      <c r="A61" s="71" t="str">
        <f>inputPrYr!B32</f>
        <v>EMS Enterprise Fund</v>
      </c>
      <c r="B61" s="41">
        <v>9196416</v>
      </c>
      <c r="C61" s="29"/>
      <c r="D61" s="29"/>
      <c r="E61" s="29"/>
    </row>
    <row r="62" spans="1:5" ht="15.75">
      <c r="A62" s="71" t="str">
        <f>inputPrYr!B33</f>
        <v>Stormwater Enterprise</v>
      </c>
      <c r="B62" s="41">
        <v>2217516</v>
      </c>
      <c r="C62" s="29"/>
      <c r="D62" s="29"/>
      <c r="E62" s="29"/>
    </row>
    <row r="63" spans="1:5" ht="15.75">
      <c r="A63" s="71" t="str">
        <f>inputPrYr!B34</f>
        <v>Dedicated Sales Tax</v>
      </c>
      <c r="B63" s="41">
        <v>1779800</v>
      </c>
      <c r="C63" s="29"/>
      <c r="D63" s="29"/>
      <c r="E63" s="29"/>
    </row>
  </sheetData>
  <sheetProtection/>
  <mergeCells count="5">
    <mergeCell ref="C48:E48"/>
    <mergeCell ref="A20:B20"/>
    <mergeCell ref="A44:E44"/>
    <mergeCell ref="A3:E3"/>
    <mergeCell ref="A47:B47"/>
  </mergeCells>
  <printOptions/>
  <pageMargins left="0.75" right="0.75" top="1" bottom="1" header="0.5" footer="0.5"/>
  <pageSetup blackAndWhite="1" fitToHeight="1" fitToWidth="1" horizontalDpi="600" verticalDpi="600" orientation="portrait" scale="71" r:id="rId1"/>
</worksheet>
</file>

<file path=xl/worksheets/sheet19.xml><?xml version="1.0" encoding="utf-8"?>
<worksheet xmlns="http://schemas.openxmlformats.org/spreadsheetml/2006/main" xmlns:r="http://schemas.openxmlformats.org/officeDocument/2006/relationships">
  <sheetPr>
    <tabColor theme="5" tint="0.39998000860214233"/>
    <pageSetUpPr fitToPage="1"/>
  </sheetPr>
  <dimension ref="A1:E77"/>
  <sheetViews>
    <sheetView zoomScale="80" zoomScaleNormal="80" zoomScalePageLayoutView="0" workbookViewId="0" topLeftCell="A25">
      <selection activeCell="D66" sqref="D66"/>
    </sheetView>
  </sheetViews>
  <sheetFormatPr defaultColWidth="8.796875" defaultRowHeight="15"/>
  <cols>
    <col min="1" max="1" width="15.796875" style="19" customWidth="1"/>
    <col min="2" max="2" width="25.19921875" style="19" customWidth="1"/>
    <col min="3" max="3" width="9.796875" style="19" customWidth="1"/>
    <col min="4" max="4" width="15.09765625" style="19" customWidth="1"/>
    <col min="5" max="5" width="15.796875" style="19" customWidth="1"/>
    <col min="6" max="16384" width="8.8984375" style="19" customWidth="1"/>
  </cols>
  <sheetData>
    <row r="1" spans="1:5" ht="15.75">
      <c r="A1" s="744" t="s">
        <v>73</v>
      </c>
      <c r="B1" s="745"/>
      <c r="C1" s="745"/>
      <c r="D1" s="745"/>
      <c r="E1" s="745"/>
    </row>
    <row r="2" spans="1:5" ht="15.75">
      <c r="A2" s="245" t="s">
        <v>21</v>
      </c>
      <c r="B2" s="246"/>
      <c r="C2" s="246"/>
      <c r="D2" s="247" t="s">
        <v>837</v>
      </c>
      <c r="E2" s="248"/>
    </row>
    <row r="3" spans="1:5" ht="15.75">
      <c r="A3" s="245" t="s">
        <v>22</v>
      </c>
      <c r="B3" s="246"/>
      <c r="C3" s="246"/>
      <c r="D3" s="249" t="s">
        <v>840</v>
      </c>
      <c r="E3" s="250"/>
    </row>
    <row r="4" spans="1:5" ht="15.75">
      <c r="A4" s="251"/>
      <c r="B4" s="246"/>
      <c r="C4" s="246"/>
      <c r="D4" s="252"/>
      <c r="E4" s="246"/>
    </row>
    <row r="5" spans="1:5" ht="15.75">
      <c r="A5" s="245" t="s">
        <v>266</v>
      </c>
      <c r="B5" s="246"/>
      <c r="C5" s="253">
        <v>2012</v>
      </c>
      <c r="D5" s="252"/>
      <c r="E5" s="246"/>
    </row>
    <row r="6" spans="1:5" ht="15.75">
      <c r="A6" s="246"/>
      <c r="B6" s="246"/>
      <c r="C6" s="246"/>
      <c r="D6" s="246"/>
      <c r="E6" s="246"/>
    </row>
    <row r="7" spans="1:5" ht="15.75">
      <c r="A7" s="254" t="s">
        <v>388</v>
      </c>
      <c r="B7" s="255"/>
      <c r="C7" s="255"/>
      <c r="D7" s="255"/>
      <c r="E7" s="255"/>
    </row>
    <row r="8" spans="1:5" ht="15.75">
      <c r="A8" s="254" t="s">
        <v>387</v>
      </c>
      <c r="B8" s="255"/>
      <c r="C8" s="255"/>
      <c r="D8" s="255"/>
      <c r="E8" s="255"/>
    </row>
    <row r="9" spans="1:5" ht="15.75">
      <c r="A9" s="254"/>
      <c r="B9" s="255"/>
      <c r="C9" s="255"/>
      <c r="D9" s="255"/>
      <c r="E9" s="255"/>
    </row>
    <row r="10" spans="1:5" ht="15.75">
      <c r="A10" s="742" t="s">
        <v>321</v>
      </c>
      <c r="B10" s="743"/>
      <c r="C10" s="743"/>
      <c r="D10" s="743"/>
      <c r="E10" s="743"/>
    </row>
    <row r="11" spans="1:5" ht="15.75">
      <c r="A11" s="246"/>
      <c r="B11" s="246"/>
      <c r="C11" s="246"/>
      <c r="D11" s="246"/>
      <c r="E11" s="246"/>
    </row>
    <row r="12" spans="1:5" ht="15.75">
      <c r="A12" s="256" t="s">
        <v>322</v>
      </c>
      <c r="B12" s="257"/>
      <c r="C12" s="246"/>
      <c r="D12" s="246"/>
      <c r="E12" s="246"/>
    </row>
    <row r="13" spans="1:5" ht="15.75">
      <c r="A13" s="258" t="str">
        <f>CONCATENATE("the ",C5-1," Budget, Certificate Page:")</f>
        <v>the 2011 Budget, Certificate Page:</v>
      </c>
      <c r="B13" s="259"/>
      <c r="C13" s="246"/>
      <c r="D13" s="246"/>
      <c r="E13" s="246"/>
    </row>
    <row r="14" spans="1:5" ht="15.75">
      <c r="A14" s="258" t="s">
        <v>838</v>
      </c>
      <c r="B14" s="259"/>
      <c r="C14" s="246"/>
      <c r="D14" s="246"/>
      <c r="E14" s="246"/>
    </row>
    <row r="15" spans="1:5" ht="15.75">
      <c r="A15" s="246"/>
      <c r="B15" s="246"/>
      <c r="C15" s="246"/>
      <c r="D15" s="260">
        <f>C5-1</f>
        <v>2011</v>
      </c>
      <c r="E15" s="260">
        <f>C5-2</f>
        <v>2010</v>
      </c>
    </row>
    <row r="16" spans="1:5" ht="15.75">
      <c r="A16" s="251" t="s">
        <v>74</v>
      </c>
      <c r="B16" s="246"/>
      <c r="C16" s="261" t="s">
        <v>75</v>
      </c>
      <c r="D16" s="262" t="s">
        <v>839</v>
      </c>
      <c r="E16" s="262" t="s">
        <v>65</v>
      </c>
    </row>
    <row r="17" spans="1:5" ht="15.75">
      <c r="A17" s="246"/>
      <c r="B17" s="263" t="s">
        <v>76</v>
      </c>
      <c r="C17" s="264" t="s">
        <v>227</v>
      </c>
      <c r="D17" s="265">
        <v>114676298</v>
      </c>
      <c r="E17" s="265">
        <v>24523999</v>
      </c>
    </row>
    <row r="18" spans="1:5" ht="15.75">
      <c r="A18" s="246"/>
      <c r="B18" s="263" t="s">
        <v>47</v>
      </c>
      <c r="C18" s="264" t="s">
        <v>267</v>
      </c>
      <c r="D18" s="266">
        <v>27855055</v>
      </c>
      <c r="E18" s="266">
        <v>15521772</v>
      </c>
    </row>
    <row r="19" spans="1:5" ht="15.75">
      <c r="A19" s="251" t="s">
        <v>77</v>
      </c>
      <c r="B19" s="246"/>
      <c r="C19" s="246"/>
      <c r="D19" s="246"/>
      <c r="E19" s="267"/>
    </row>
    <row r="20" spans="1:5" ht="15.75">
      <c r="A20" s="268" t="str">
        <f>CONCATENATE("Total Tax Levy Funds for ",C5-1," Budgeted Year")</f>
        <v>Total Tax Levy Funds for 2011 Budgeted Year</v>
      </c>
      <c r="B20" s="269"/>
      <c r="C20" s="270"/>
      <c r="D20" s="271"/>
      <c r="E20" s="272">
        <f>SUM(E17:E19)</f>
        <v>40045771</v>
      </c>
    </row>
    <row r="21" spans="1:5" ht="15.75">
      <c r="A21" s="273"/>
      <c r="B21" s="274"/>
      <c r="C21" s="274"/>
      <c r="D21" s="275"/>
      <c r="E21" s="267"/>
    </row>
    <row r="22" spans="1:5" ht="15.75">
      <c r="A22" s="251" t="s">
        <v>271</v>
      </c>
      <c r="B22" s="246"/>
      <c r="C22" s="246"/>
      <c r="D22" s="246"/>
      <c r="E22" s="246"/>
    </row>
    <row r="23" spans="1:5" ht="15.75">
      <c r="A23" s="246"/>
      <c r="B23" s="276" t="s">
        <v>203</v>
      </c>
      <c r="C23" s="246"/>
      <c r="D23" s="266">
        <v>6982614</v>
      </c>
      <c r="E23" s="246"/>
    </row>
    <row r="24" spans="1:5" ht="15.75">
      <c r="A24" s="246"/>
      <c r="B24" s="305" t="s">
        <v>841</v>
      </c>
      <c r="C24" s="246"/>
      <c r="D24" s="266">
        <v>25965403</v>
      </c>
      <c r="E24" s="246"/>
    </row>
    <row r="25" spans="1:5" ht="15.75">
      <c r="A25" s="246"/>
      <c r="B25" s="305" t="s">
        <v>842</v>
      </c>
      <c r="C25" s="246"/>
      <c r="D25" s="266">
        <v>1163348</v>
      </c>
      <c r="E25" s="246"/>
    </row>
    <row r="26" spans="1:5" ht="15.75">
      <c r="A26" s="246"/>
      <c r="B26" s="305" t="s">
        <v>843</v>
      </c>
      <c r="C26" s="246"/>
      <c r="D26" s="266">
        <v>828835</v>
      </c>
      <c r="E26" s="246"/>
    </row>
    <row r="27" spans="1:5" ht="15.75">
      <c r="A27" s="246"/>
      <c r="B27" s="305" t="s">
        <v>844</v>
      </c>
      <c r="C27" s="246"/>
      <c r="D27" s="266">
        <v>524244</v>
      </c>
      <c r="E27" s="246"/>
    </row>
    <row r="28" spans="1:5" ht="15.75">
      <c r="A28" s="246"/>
      <c r="B28" s="305" t="s">
        <v>845</v>
      </c>
      <c r="C28" s="246"/>
      <c r="D28" s="266">
        <v>517726</v>
      </c>
      <c r="E28" s="246"/>
    </row>
    <row r="29" spans="1:5" ht="15.75">
      <c r="A29" s="246"/>
      <c r="B29" s="305" t="s">
        <v>846</v>
      </c>
      <c r="C29" s="246"/>
      <c r="D29" s="266">
        <v>637500</v>
      </c>
      <c r="E29" s="246"/>
    </row>
    <row r="30" spans="1:5" ht="15.75">
      <c r="A30" s="246"/>
      <c r="B30" s="305" t="s">
        <v>847</v>
      </c>
      <c r="C30" s="246"/>
      <c r="D30" s="266">
        <v>1038257</v>
      </c>
      <c r="E30" s="246"/>
    </row>
    <row r="31" spans="1:5" ht="15.75">
      <c r="A31" s="246"/>
      <c r="B31" s="306" t="s">
        <v>848</v>
      </c>
      <c r="C31" s="246"/>
      <c r="D31" s="266">
        <v>960000</v>
      </c>
      <c r="E31" s="246"/>
    </row>
    <row r="32" spans="1:5" ht="15.75">
      <c r="A32" s="246"/>
      <c r="B32" s="306" t="s">
        <v>849</v>
      </c>
      <c r="C32" s="246"/>
      <c r="D32" s="266">
        <v>9071505</v>
      </c>
      <c r="E32" s="246"/>
    </row>
    <row r="33" spans="1:5" ht="15.75">
      <c r="A33" s="246"/>
      <c r="B33" s="305" t="s">
        <v>850</v>
      </c>
      <c r="C33" s="246"/>
      <c r="D33" s="266">
        <v>3067722</v>
      </c>
      <c r="E33" s="246"/>
    </row>
    <row r="34" spans="1:5" ht="15.75">
      <c r="A34" s="246"/>
      <c r="B34" s="307" t="s">
        <v>851</v>
      </c>
      <c r="C34" s="246"/>
      <c r="D34" s="266">
        <v>5796434</v>
      </c>
      <c r="E34" s="246"/>
    </row>
    <row r="35" spans="1:5" ht="15.75">
      <c r="A35" s="268" t="str">
        <f>CONCATENATE("Total Expenditures for ",C5-1," Budgeted Year")</f>
        <v>Total Expenditures for 2011 Budgeted Year</v>
      </c>
      <c r="B35" s="278"/>
      <c r="C35" s="279"/>
      <c r="D35" s="280">
        <f>SUM(D17:D18,D23:D34)</f>
        <v>199084941</v>
      </c>
      <c r="E35" s="246"/>
    </row>
    <row r="36" spans="1:5" ht="15.75">
      <c r="A36" s="246" t="s">
        <v>297</v>
      </c>
      <c r="B36" s="281"/>
      <c r="C36" s="246"/>
      <c r="D36" s="246"/>
      <c r="E36" s="246"/>
    </row>
    <row r="37" spans="1:5" ht="15.75">
      <c r="A37" s="246">
        <v>1</v>
      </c>
      <c r="B37" s="305" t="s">
        <v>852</v>
      </c>
      <c r="C37" s="246"/>
      <c r="D37" s="246"/>
      <c r="E37" s="246"/>
    </row>
    <row r="38" spans="1:5" ht="15.75">
      <c r="A38" s="246">
        <v>2</v>
      </c>
      <c r="B38" s="306" t="s">
        <v>853</v>
      </c>
      <c r="C38" s="246"/>
      <c r="D38" s="246"/>
      <c r="E38" s="246"/>
    </row>
    <row r="39" spans="1:5" ht="15.75">
      <c r="A39" s="246">
        <v>3</v>
      </c>
      <c r="B39" s="305" t="s">
        <v>854</v>
      </c>
      <c r="C39" s="246"/>
      <c r="D39" s="246"/>
      <c r="E39" s="246"/>
    </row>
    <row r="40" spans="1:5" ht="15.75">
      <c r="A40" s="246">
        <v>4</v>
      </c>
      <c r="B40" s="306" t="s">
        <v>855</v>
      </c>
      <c r="C40" s="246"/>
      <c r="D40" s="246"/>
      <c r="E40" s="246"/>
    </row>
    <row r="41" spans="1:5" ht="15.75">
      <c r="A41" s="246">
        <v>5</v>
      </c>
      <c r="B41" s="305" t="s">
        <v>856</v>
      </c>
      <c r="C41" s="246"/>
      <c r="D41" s="246"/>
      <c r="E41" s="246"/>
    </row>
    <row r="42" spans="1:5" ht="15.75">
      <c r="A42" s="273"/>
      <c r="B42" s="274"/>
      <c r="C42" s="274"/>
      <c r="D42" s="274"/>
      <c r="E42" s="282"/>
    </row>
    <row r="43" spans="1:5" ht="15.75">
      <c r="A43" s="246"/>
      <c r="B43" s="246"/>
      <c r="C43" s="246"/>
      <c r="D43" s="246"/>
      <c r="E43" s="246"/>
    </row>
    <row r="44" spans="1:5" ht="15.75">
      <c r="A44" s="246"/>
      <c r="B44" s="246"/>
      <c r="C44" s="246"/>
      <c r="D44" s="283" t="str">
        <f>CONCATENATE("",C5-3," Tax Rate")</f>
        <v>2009 Tax Rate</v>
      </c>
      <c r="E44" s="246"/>
    </row>
    <row r="45" spans="1:5" ht="15.75">
      <c r="A45" s="258" t="str">
        <f>CONCATENATE("From the ",C5-1," Budget, Budget Summary Page")</f>
        <v>From the 2011 Budget, Budget Summary Page</v>
      </c>
      <c r="B45" s="259"/>
      <c r="C45" s="246"/>
      <c r="D45" s="284" t="str">
        <f>CONCATENATE("(",C5-2," Column)")</f>
        <v>(2010 Column)</v>
      </c>
      <c r="E45" s="246"/>
    </row>
    <row r="46" spans="1:5" ht="15.75">
      <c r="A46" s="246"/>
      <c r="B46" s="285" t="str">
        <f>B17</f>
        <v>General</v>
      </c>
      <c r="C46" s="246"/>
      <c r="D46" s="277">
        <v>25.341</v>
      </c>
      <c r="E46" s="246"/>
    </row>
    <row r="47" spans="1:5" ht="15.75">
      <c r="A47" s="246"/>
      <c r="B47" s="285" t="str">
        <f>B18</f>
        <v>Debt Service</v>
      </c>
      <c r="C47" s="246"/>
      <c r="D47" s="277">
        <v>15.467</v>
      </c>
      <c r="E47" s="246"/>
    </row>
    <row r="48" spans="1:5" ht="15.75">
      <c r="A48" s="268" t="s">
        <v>78</v>
      </c>
      <c r="B48" s="269"/>
      <c r="C48" s="279"/>
      <c r="D48" s="286">
        <f>SUM(D46:D47)</f>
        <v>40.808</v>
      </c>
      <c r="E48" s="246"/>
    </row>
    <row r="49" spans="1:5" ht="15.75">
      <c r="A49" s="246"/>
      <c r="B49" s="246"/>
      <c r="C49" s="246"/>
      <c r="D49" s="246"/>
      <c r="E49" s="246"/>
    </row>
    <row r="50" spans="1:5" ht="15.75">
      <c r="A50" s="287" t="str">
        <f>CONCATENATE("Total Tax Levied (",C5-2," budget column)")</f>
        <v>Total Tax Levied (2010 budget column)</v>
      </c>
      <c r="B50" s="288"/>
      <c r="C50" s="269"/>
      <c r="D50" s="279"/>
      <c r="E50" s="266">
        <v>41727597</v>
      </c>
    </row>
    <row r="51" spans="1:5" ht="15.75">
      <c r="A51" s="289" t="str">
        <f>CONCATENATE("Assessed Valuation  (",C5-2," budget column)")</f>
        <v>Assessed Valuation  (2010 budget column)</v>
      </c>
      <c r="B51" s="290"/>
      <c r="C51" s="270"/>
      <c r="D51" s="291"/>
      <c r="E51" s="266">
        <v>1022535148</v>
      </c>
    </row>
    <row r="52" spans="1:5" ht="15.75">
      <c r="A52" s="273"/>
      <c r="B52" s="274"/>
      <c r="C52" s="274"/>
      <c r="D52" s="274"/>
      <c r="E52" s="282"/>
    </row>
    <row r="53" spans="1:5" ht="15.75">
      <c r="A53" s="292" t="str">
        <f>CONCATENATE("From the ",C5-1," Budget, Budget Summary Page")</f>
        <v>From the 2011 Budget, Budget Summary Page</v>
      </c>
      <c r="B53" s="293"/>
      <c r="C53" s="246"/>
      <c r="D53" s="294"/>
      <c r="E53" s="295"/>
    </row>
    <row r="54" spans="1:5" ht="15.75">
      <c r="A54" s="257" t="s">
        <v>3</v>
      </c>
      <c r="B54" s="257"/>
      <c r="C54" s="296"/>
      <c r="D54" s="297">
        <f>C5-3</f>
        <v>2009</v>
      </c>
      <c r="E54" s="298">
        <f>C5-2</f>
        <v>2010</v>
      </c>
    </row>
    <row r="55" spans="1:5" ht="15.75">
      <c r="A55" s="299" t="s">
        <v>268</v>
      </c>
      <c r="B55" s="299"/>
      <c r="C55" s="300"/>
      <c r="D55" s="301">
        <v>176725000</v>
      </c>
      <c r="E55" s="301">
        <v>161065000</v>
      </c>
    </row>
    <row r="56" spans="1:5" ht="15.75">
      <c r="A56" s="302" t="s">
        <v>269</v>
      </c>
      <c r="B56" s="302"/>
      <c r="C56" s="303"/>
      <c r="D56" s="301">
        <v>20112860</v>
      </c>
      <c r="E56" s="301">
        <v>13658003</v>
      </c>
    </row>
    <row r="57" spans="1:5" ht="15.75">
      <c r="A57" s="698" t="s">
        <v>1167</v>
      </c>
      <c r="B57" s="302"/>
      <c r="C57" s="303"/>
      <c r="D57" s="301">
        <v>224140000</v>
      </c>
      <c r="E57" s="301">
        <v>189275000</v>
      </c>
    </row>
    <row r="58" spans="1:5" ht="15.75">
      <c r="A58" s="698" t="s">
        <v>1168</v>
      </c>
      <c r="B58" s="302"/>
      <c r="C58" s="303"/>
      <c r="D58" s="301">
        <v>1167299</v>
      </c>
      <c r="E58" s="301">
        <v>114057299</v>
      </c>
    </row>
    <row r="59" spans="1:5" ht="15.75">
      <c r="A59" s="302" t="s">
        <v>270</v>
      </c>
      <c r="B59" s="302"/>
      <c r="C59" s="303"/>
      <c r="D59" s="301">
        <v>10147927</v>
      </c>
      <c r="E59" s="301">
        <v>7560821</v>
      </c>
    </row>
    <row r="60" spans="1:5" ht="15.75">
      <c r="A60" s="42"/>
      <c r="B60" s="42"/>
      <c r="C60" s="42"/>
      <c r="D60" s="42"/>
      <c r="E60" s="42"/>
    </row>
    <row r="61" spans="1:5" ht="15.75">
      <c r="A61" s="42"/>
      <c r="B61" s="42"/>
      <c r="C61" s="42"/>
      <c r="D61" s="42"/>
      <c r="E61" s="42"/>
    </row>
    <row r="62" spans="1:5" ht="15.75">
      <c r="A62" s="42"/>
      <c r="B62" s="42"/>
      <c r="C62" s="42"/>
      <c r="D62" s="42"/>
      <c r="E62" s="42"/>
    </row>
    <row r="63" spans="1:5" ht="15.75">
      <c r="A63" s="42"/>
      <c r="B63" s="42"/>
      <c r="C63" s="42"/>
      <c r="D63" s="42"/>
      <c r="E63" s="42"/>
    </row>
    <row r="64" spans="1:5" ht="15.75">
      <c r="A64" s="42"/>
      <c r="B64" s="42"/>
      <c r="C64" s="42"/>
      <c r="D64" s="42"/>
      <c r="E64" s="42"/>
    </row>
    <row r="65" spans="1:5" ht="15.75">
      <c r="A65" s="42"/>
      <c r="B65" s="42"/>
      <c r="C65" s="42"/>
      <c r="D65" s="42"/>
      <c r="E65" s="42"/>
    </row>
    <row r="66" s="42" customFormat="1" ht="15"/>
    <row r="67" spans="1:5" ht="15.75">
      <c r="A67" s="42"/>
      <c r="B67" s="42"/>
      <c r="C67" s="42"/>
      <c r="D67" s="42"/>
      <c r="E67" s="42"/>
    </row>
    <row r="68" spans="1:5" ht="15.75">
      <c r="A68" s="42"/>
      <c r="B68" s="42"/>
      <c r="C68" s="42"/>
      <c r="D68" s="42"/>
      <c r="E68" s="42"/>
    </row>
    <row r="69" spans="1:5" ht="15.75">
      <c r="A69" s="42"/>
      <c r="B69" s="42"/>
      <c r="C69" s="42"/>
      <c r="D69" s="42"/>
      <c r="E69" s="42"/>
    </row>
    <row r="70" spans="1:5" ht="15.75">
      <c r="A70" s="42"/>
      <c r="B70" s="42"/>
      <c r="C70" s="42"/>
      <c r="D70" s="42"/>
      <c r="E70" s="42"/>
    </row>
    <row r="71" spans="1:5" ht="15.75">
      <c r="A71" s="42"/>
      <c r="B71" s="42"/>
      <c r="C71" s="42"/>
      <c r="D71" s="42"/>
      <c r="E71" s="42"/>
    </row>
    <row r="72" spans="1:5" ht="15.75">
      <c r="A72" s="42"/>
      <c r="B72" s="42"/>
      <c r="C72" s="42"/>
      <c r="D72" s="42"/>
      <c r="E72" s="42"/>
    </row>
    <row r="73" spans="1:5" ht="15.75">
      <c r="A73" s="42"/>
      <c r="B73" s="42"/>
      <c r="C73" s="42"/>
      <c r="D73" s="42"/>
      <c r="E73" s="42"/>
    </row>
    <row r="74" spans="1:5" ht="15.75">
      <c r="A74" s="42"/>
      <c r="B74" s="42"/>
      <c r="C74" s="42"/>
      <c r="D74" s="42"/>
      <c r="E74" s="42"/>
    </row>
    <row r="75" spans="1:5" ht="15.75">
      <c r="A75" s="42"/>
      <c r="B75" s="42"/>
      <c r="C75" s="42"/>
      <c r="D75" s="42"/>
      <c r="E75" s="42"/>
    </row>
    <row r="76" spans="1:5" ht="15.75">
      <c r="A76" s="42"/>
      <c r="B76" s="42"/>
      <c r="C76" s="42"/>
      <c r="D76" s="42"/>
      <c r="E76" s="42"/>
    </row>
    <row r="77" spans="1:5" ht="15.75">
      <c r="A77" s="42"/>
      <c r="B77" s="42"/>
      <c r="C77" s="42"/>
      <c r="D77" s="42"/>
      <c r="E77" s="42"/>
    </row>
  </sheetData>
  <sheetProtection/>
  <mergeCells count="2">
    <mergeCell ref="A10:E10"/>
    <mergeCell ref="A1:E1"/>
  </mergeCells>
  <printOptions/>
  <pageMargins left="0.5" right="0.5" top="1" bottom="0.5" header="0.5" footer="0.25"/>
  <pageSetup blackAndWhite="1" fitToHeight="2" fitToWidth="1" horizontalDpi="120" verticalDpi="120" orientation="portrait" scale="98"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J7" sqref="J7"/>
    </sheetView>
  </sheetViews>
  <sheetFormatPr defaultColWidth="8.796875" defaultRowHeight="15.75" customHeight="1"/>
  <cols>
    <col min="1" max="2" width="3.296875" style="480" customWidth="1"/>
    <col min="3" max="3" width="31.296875" style="480" customWidth="1"/>
    <col min="4" max="4" width="2.296875" style="480" customWidth="1"/>
    <col min="5" max="5" width="15.796875" style="480" customWidth="1"/>
    <col min="6" max="6" width="2" style="480" customWidth="1"/>
    <col min="7" max="7" width="15.796875" style="480" customWidth="1"/>
    <col min="8" max="8" width="1.8984375" style="480" customWidth="1"/>
    <col min="9" max="9" width="1.796875" style="480" customWidth="1"/>
    <col min="10" max="10" width="15.796875" style="480" customWidth="1"/>
    <col min="11" max="16384" width="8.8984375" style="480" customWidth="1"/>
  </cols>
  <sheetData>
    <row r="1" spans="1:10" ht="15.75" customHeight="1">
      <c r="A1" s="664"/>
      <c r="B1" s="664"/>
      <c r="C1" s="665" t="str">
        <f>inputPrYr!D2</f>
        <v>Kansas City</v>
      </c>
      <c r="D1" s="664"/>
      <c r="E1" s="664"/>
      <c r="F1" s="664"/>
      <c r="G1" s="664"/>
      <c r="H1" s="664"/>
      <c r="I1" s="664"/>
      <c r="J1" s="664">
        <f>inputPrYr!C5</f>
        <v>2012</v>
      </c>
    </row>
    <row r="2" spans="1:10" ht="15.75" customHeight="1">
      <c r="A2" s="664"/>
      <c r="B2" s="664"/>
      <c r="C2" s="664"/>
      <c r="D2" s="664"/>
      <c r="E2" s="664"/>
      <c r="F2" s="664"/>
      <c r="G2" s="664"/>
      <c r="H2" s="664"/>
      <c r="I2" s="664"/>
      <c r="J2" s="664"/>
    </row>
    <row r="3" spans="1:10" ht="15">
      <c r="A3" s="703" t="str">
        <f>CONCATENATE("Computation to Determine Limit for ",J1,"")</f>
        <v>Computation to Determine Limit for 2012</v>
      </c>
      <c r="B3" s="704"/>
      <c r="C3" s="704"/>
      <c r="D3" s="704"/>
      <c r="E3" s="704"/>
      <c r="F3" s="704"/>
      <c r="G3" s="704"/>
      <c r="H3" s="704"/>
      <c r="I3" s="704"/>
      <c r="J3" s="704"/>
    </row>
    <row r="4" spans="1:10" ht="15">
      <c r="A4" s="664"/>
      <c r="B4" s="664"/>
      <c r="C4" s="664"/>
      <c r="D4" s="664"/>
      <c r="E4" s="704"/>
      <c r="F4" s="704"/>
      <c r="G4" s="704"/>
      <c r="H4" s="666"/>
      <c r="I4" s="664"/>
      <c r="J4" s="667" t="s">
        <v>178</v>
      </c>
    </row>
    <row r="5" spans="1:10" ht="14.25">
      <c r="A5" s="668" t="s">
        <v>179</v>
      </c>
      <c r="B5" s="664" t="str">
        <f>CONCATENATE("Total Tax Levy Amount in ",J1-1," Budget")</f>
        <v>Total Tax Levy Amount in 2011 Budget</v>
      </c>
      <c r="C5" s="664"/>
      <c r="D5" s="664"/>
      <c r="E5" s="669"/>
      <c r="F5" s="669"/>
      <c r="G5" s="669"/>
      <c r="H5" s="670" t="s">
        <v>180</v>
      </c>
      <c r="I5" s="669" t="s">
        <v>181</v>
      </c>
      <c r="J5" s="671">
        <f>inputPrYr!E20</f>
        <v>40045771</v>
      </c>
    </row>
    <row r="6" spans="1:10" ht="14.25">
      <c r="A6" s="668" t="s">
        <v>182</v>
      </c>
      <c r="B6" s="664" t="str">
        <f>CONCATENATE("Debt Service Levy in ",J1-1," Budget")</f>
        <v>Debt Service Levy in 2011 Budget</v>
      </c>
      <c r="C6" s="664"/>
      <c r="D6" s="664"/>
      <c r="E6" s="669"/>
      <c r="F6" s="669"/>
      <c r="G6" s="669"/>
      <c r="H6" s="670" t="s">
        <v>183</v>
      </c>
      <c r="I6" s="669" t="s">
        <v>181</v>
      </c>
      <c r="J6" s="672">
        <f>inputPrYr!E18</f>
        <v>15521772</v>
      </c>
    </row>
    <row r="7" spans="1:10" ht="15">
      <c r="A7" s="668" t="s">
        <v>209</v>
      </c>
      <c r="B7" s="673" t="s">
        <v>206</v>
      </c>
      <c r="C7" s="664"/>
      <c r="D7" s="664"/>
      <c r="E7" s="669"/>
      <c r="F7" s="669"/>
      <c r="G7" s="669"/>
      <c r="H7" s="669"/>
      <c r="I7" s="669" t="s">
        <v>181</v>
      </c>
      <c r="J7" s="674">
        <f>J5-J6</f>
        <v>24523999</v>
      </c>
    </row>
    <row r="8" spans="1:10" ht="14.25">
      <c r="A8" s="664"/>
      <c r="B8" s="664"/>
      <c r="C8" s="664"/>
      <c r="D8" s="664"/>
      <c r="E8" s="669"/>
      <c r="F8" s="669"/>
      <c r="G8" s="669"/>
      <c r="H8" s="669"/>
      <c r="I8" s="669"/>
      <c r="J8" s="669"/>
    </row>
    <row r="9" spans="1:10" ht="15">
      <c r="A9" s="664"/>
      <c r="B9" s="673" t="str">
        <f>CONCATENATE("",J1-1," Valuation Information for Valuation Adjustments:")</f>
        <v>2011 Valuation Information for Valuation Adjustments:</v>
      </c>
      <c r="C9" s="664"/>
      <c r="D9" s="664"/>
      <c r="E9" s="669"/>
      <c r="F9" s="669"/>
      <c r="G9" s="669"/>
      <c r="H9" s="669"/>
      <c r="I9" s="669"/>
      <c r="J9" s="669"/>
    </row>
    <row r="10" spans="1:10" ht="15">
      <c r="A10" s="664"/>
      <c r="B10" s="664"/>
      <c r="C10" s="673"/>
      <c r="D10" s="664"/>
      <c r="E10" s="669"/>
      <c r="F10" s="669"/>
      <c r="G10" s="669"/>
      <c r="H10" s="669"/>
      <c r="I10" s="669"/>
      <c r="J10" s="669"/>
    </row>
    <row r="11" spans="1:10" ht="15">
      <c r="A11" s="668" t="s">
        <v>184</v>
      </c>
      <c r="B11" s="673" t="str">
        <f>CONCATENATE("New Improvements for ",J1-1,":")</f>
        <v>New Improvements for 2011:</v>
      </c>
      <c r="C11" s="664"/>
      <c r="D11" s="664"/>
      <c r="E11" s="670"/>
      <c r="F11" s="670" t="s">
        <v>180</v>
      </c>
      <c r="G11" s="675">
        <v>10576382</v>
      </c>
      <c r="H11" s="676"/>
      <c r="I11" s="669"/>
      <c r="J11" s="669"/>
    </row>
    <row r="12" spans="1:10" ht="14.25">
      <c r="A12" s="668"/>
      <c r="B12" s="677"/>
      <c r="C12" s="664"/>
      <c r="D12" s="664"/>
      <c r="E12" s="670"/>
      <c r="F12" s="670"/>
      <c r="G12" s="676"/>
      <c r="H12" s="676"/>
      <c r="I12" s="669"/>
      <c r="J12" s="669"/>
    </row>
    <row r="13" spans="1:10" ht="15">
      <c r="A13" s="668" t="s">
        <v>185</v>
      </c>
      <c r="B13" s="673" t="str">
        <f>CONCATENATE("Increase in Personal Property for ",J1-1,":")</f>
        <v>Increase in Personal Property for 2011:</v>
      </c>
      <c r="C13" s="664"/>
      <c r="D13" s="664"/>
      <c r="E13" s="670"/>
      <c r="F13" s="670"/>
      <c r="G13" s="676"/>
      <c r="H13" s="676"/>
      <c r="I13" s="669"/>
      <c r="J13" s="669"/>
    </row>
    <row r="14" spans="1:10" ht="14.25">
      <c r="A14" s="678"/>
      <c r="B14" s="664" t="s">
        <v>186</v>
      </c>
      <c r="C14" s="664" t="str">
        <f>CONCATENATE("Personal Property ",J1-1,"")</f>
        <v>Personal Property 2011</v>
      </c>
      <c r="D14" s="677" t="s">
        <v>180</v>
      </c>
      <c r="E14" s="675">
        <v>91030566</v>
      </c>
      <c r="F14" s="670"/>
      <c r="G14" s="669"/>
      <c r="H14" s="669"/>
      <c r="I14" s="676"/>
      <c r="J14" s="669"/>
    </row>
    <row r="15" spans="1:10" ht="14.25">
      <c r="A15" s="677"/>
      <c r="B15" s="664" t="s">
        <v>187</v>
      </c>
      <c r="C15" s="664" t="str">
        <f>CONCATENATE("Personal Property ",J1-2,"")</f>
        <v>Personal Property 2010</v>
      </c>
      <c r="D15" s="677" t="s">
        <v>183</v>
      </c>
      <c r="E15" s="679">
        <v>101988198</v>
      </c>
      <c r="F15" s="670"/>
      <c r="G15" s="676"/>
      <c r="H15" s="676"/>
      <c r="I15" s="669"/>
      <c r="J15" s="669"/>
    </row>
    <row r="16" spans="1:10" ht="14.25">
      <c r="A16" s="677"/>
      <c r="B16" s="664" t="s">
        <v>188</v>
      </c>
      <c r="C16" s="664" t="s">
        <v>208</v>
      </c>
      <c r="D16" s="664"/>
      <c r="E16" s="669"/>
      <c r="F16" s="669" t="s">
        <v>180</v>
      </c>
      <c r="G16" s="671">
        <f>IF(E14&gt;E15,E14-E15,0)</f>
        <v>0</v>
      </c>
      <c r="H16" s="676"/>
      <c r="I16" s="669"/>
      <c r="J16" s="669"/>
    </row>
    <row r="17" spans="1:10" ht="14.25">
      <c r="A17" s="677"/>
      <c r="B17" s="677"/>
      <c r="C17" s="664"/>
      <c r="D17" s="664"/>
      <c r="E17" s="669"/>
      <c r="F17" s="669"/>
      <c r="G17" s="676" t="s">
        <v>201</v>
      </c>
      <c r="H17" s="676"/>
      <c r="I17" s="669"/>
      <c r="J17" s="669"/>
    </row>
    <row r="18" spans="1:10" ht="15">
      <c r="A18" s="677" t="s">
        <v>189</v>
      </c>
      <c r="B18" s="673" t="str">
        <f>CONCATENATE("Valuation of annexed territory for ",J1-1,"")</f>
        <v>Valuation of annexed territory for 2011</v>
      </c>
      <c r="C18" s="664"/>
      <c r="D18" s="664"/>
      <c r="E18" s="676"/>
      <c r="F18" s="669"/>
      <c r="G18" s="669"/>
      <c r="H18" s="669"/>
      <c r="I18" s="669"/>
      <c r="J18" s="669"/>
    </row>
    <row r="19" spans="1:10" ht="14.25">
      <c r="A19" s="677"/>
      <c r="B19" s="664" t="s">
        <v>190</v>
      </c>
      <c r="C19" s="664" t="s">
        <v>210</v>
      </c>
      <c r="D19" s="677" t="s">
        <v>180</v>
      </c>
      <c r="E19" s="675">
        <f>inputOth!E11</f>
        <v>0</v>
      </c>
      <c r="F19" s="669"/>
      <c r="G19" s="669"/>
      <c r="H19" s="669"/>
      <c r="I19" s="669"/>
      <c r="J19" s="669"/>
    </row>
    <row r="20" spans="1:10" ht="14.25">
      <c r="A20" s="677"/>
      <c r="B20" s="664" t="s">
        <v>191</v>
      </c>
      <c r="C20" s="664" t="s">
        <v>211</v>
      </c>
      <c r="D20" s="677" t="s">
        <v>180</v>
      </c>
      <c r="E20" s="675">
        <f>inputOth!E12</f>
        <v>0</v>
      </c>
      <c r="F20" s="669"/>
      <c r="G20" s="676"/>
      <c r="H20" s="676"/>
      <c r="I20" s="669"/>
      <c r="J20" s="669"/>
    </row>
    <row r="21" spans="1:10" ht="14.25">
      <c r="A21" s="677"/>
      <c r="B21" s="664" t="s">
        <v>192</v>
      </c>
      <c r="C21" s="664" t="s">
        <v>207</v>
      </c>
      <c r="D21" s="677" t="s">
        <v>183</v>
      </c>
      <c r="E21" s="675">
        <f>inputOth!E13</f>
        <v>0</v>
      </c>
      <c r="F21" s="669"/>
      <c r="G21" s="676"/>
      <c r="H21" s="676"/>
      <c r="I21" s="669"/>
      <c r="J21" s="669"/>
    </row>
    <row r="22" spans="1:10" ht="14.25">
      <c r="A22" s="677"/>
      <c r="B22" s="664" t="s">
        <v>193</v>
      </c>
      <c r="C22" s="664" t="s">
        <v>212</v>
      </c>
      <c r="D22" s="677"/>
      <c r="E22" s="676"/>
      <c r="F22" s="669" t="s">
        <v>180</v>
      </c>
      <c r="G22" s="671">
        <f>E19+E20-E21</f>
        <v>0</v>
      </c>
      <c r="H22" s="676"/>
      <c r="I22" s="669"/>
      <c r="J22" s="669"/>
    </row>
    <row r="23" spans="1:10" ht="14.25">
      <c r="A23" s="677"/>
      <c r="B23" s="677"/>
      <c r="C23" s="664"/>
      <c r="D23" s="677"/>
      <c r="E23" s="676"/>
      <c r="F23" s="669"/>
      <c r="G23" s="676"/>
      <c r="H23" s="676"/>
      <c r="I23" s="669"/>
      <c r="J23" s="669"/>
    </row>
    <row r="24" spans="1:10" ht="15">
      <c r="A24" s="677" t="s">
        <v>194</v>
      </c>
      <c r="B24" s="673" t="str">
        <f>CONCATENATE("Valuation of Property that has Changed in Use during ",J1-1,"")</f>
        <v>Valuation of Property that has Changed in Use during 2011</v>
      </c>
      <c r="C24" s="664"/>
      <c r="D24" s="664"/>
      <c r="E24" s="669"/>
      <c r="F24" s="669"/>
      <c r="G24" s="469">
        <v>9950427</v>
      </c>
      <c r="H24" s="669"/>
      <c r="I24" s="669"/>
      <c r="J24" s="669"/>
    </row>
    <row r="25" spans="1:10" ht="14.25">
      <c r="A25" s="664" t="s">
        <v>83</v>
      </c>
      <c r="B25" s="664"/>
      <c r="C25" s="664"/>
      <c r="D25" s="677"/>
      <c r="E25" s="676"/>
      <c r="F25" s="669"/>
      <c r="G25" s="680"/>
      <c r="H25" s="676"/>
      <c r="I25" s="669"/>
      <c r="J25" s="669"/>
    </row>
    <row r="26" spans="1:10" ht="15">
      <c r="A26" s="677" t="s">
        <v>195</v>
      </c>
      <c r="B26" s="673" t="s">
        <v>1149</v>
      </c>
      <c r="C26" s="664"/>
      <c r="D26" s="664"/>
      <c r="E26" s="669"/>
      <c r="F26" s="669"/>
      <c r="G26" s="671">
        <f>G11+G16+G22+G24</f>
        <v>20526809</v>
      </c>
      <c r="H26" s="676"/>
      <c r="I26" s="669"/>
      <c r="J26" s="669"/>
    </row>
    <row r="27" spans="1:10" ht="15">
      <c r="A27" s="677"/>
      <c r="B27" s="677"/>
      <c r="C27" s="673"/>
      <c r="D27" s="664"/>
      <c r="E27" s="669"/>
      <c r="F27" s="669"/>
      <c r="G27" s="676"/>
      <c r="H27" s="676"/>
      <c r="I27" s="669"/>
      <c r="J27" s="669"/>
    </row>
    <row r="28" spans="1:10" ht="14.25">
      <c r="A28" s="677" t="s">
        <v>196</v>
      </c>
      <c r="B28" s="664" t="str">
        <f>CONCATENATE("Total Estimated Valuation July 1,",J1-1,"")</f>
        <v>Total Estimated Valuation July 1,2011</v>
      </c>
      <c r="C28" s="664"/>
      <c r="D28" s="664"/>
      <c r="E28" s="671">
        <v>970913188</v>
      </c>
      <c r="F28" s="669"/>
      <c r="G28" s="669"/>
      <c r="H28" s="669"/>
      <c r="I28" s="670"/>
      <c r="J28" s="669"/>
    </row>
    <row r="29" spans="1:10" ht="14.25">
      <c r="A29" s="677"/>
      <c r="B29" s="677"/>
      <c r="C29" s="664"/>
      <c r="D29" s="664"/>
      <c r="E29" s="676"/>
      <c r="F29" s="669"/>
      <c r="G29" s="669"/>
      <c r="H29" s="669"/>
      <c r="I29" s="670"/>
      <c r="J29" s="669"/>
    </row>
    <row r="30" spans="1:10" ht="15">
      <c r="A30" s="677" t="s">
        <v>197</v>
      </c>
      <c r="B30" s="673" t="s">
        <v>213</v>
      </c>
      <c r="C30" s="664"/>
      <c r="D30" s="664"/>
      <c r="E30" s="669"/>
      <c r="F30" s="669"/>
      <c r="G30" s="671">
        <f>E28-G26</f>
        <v>950386379</v>
      </c>
      <c r="H30" s="676"/>
      <c r="I30" s="670"/>
      <c r="J30" s="669"/>
    </row>
    <row r="31" spans="1:10" ht="15">
      <c r="A31" s="677"/>
      <c r="B31" s="677"/>
      <c r="C31" s="673"/>
      <c r="D31" s="664"/>
      <c r="E31" s="664"/>
      <c r="F31" s="664"/>
      <c r="G31" s="681"/>
      <c r="H31" s="682"/>
      <c r="I31" s="677"/>
      <c r="J31" s="664"/>
    </row>
    <row r="32" spans="1:10" ht="14.25">
      <c r="A32" s="677" t="s">
        <v>198</v>
      </c>
      <c r="B32" s="664" t="s">
        <v>214</v>
      </c>
      <c r="C32" s="664"/>
      <c r="D32" s="664"/>
      <c r="E32" s="664"/>
      <c r="F32" s="664"/>
      <c r="G32" s="683">
        <f>IF(G30&gt;0,G26/G30,0)</f>
        <v>0.021598382987767967</v>
      </c>
      <c r="H32" s="682"/>
      <c r="I32" s="664"/>
      <c r="J32" s="664"/>
    </row>
    <row r="33" spans="1:10" ht="14.25">
      <c r="A33" s="677"/>
      <c r="B33" s="677"/>
      <c r="C33" s="664"/>
      <c r="D33" s="664"/>
      <c r="E33" s="664"/>
      <c r="F33" s="664"/>
      <c r="G33" s="682"/>
      <c r="H33" s="682"/>
      <c r="I33" s="664"/>
      <c r="J33" s="664"/>
    </row>
    <row r="34" spans="1:10" ht="14.25">
      <c r="A34" s="677" t="s">
        <v>199</v>
      </c>
      <c r="B34" s="664" t="s">
        <v>215</v>
      </c>
      <c r="C34" s="664"/>
      <c r="D34" s="664"/>
      <c r="E34" s="664"/>
      <c r="F34" s="664"/>
      <c r="G34" s="682"/>
      <c r="H34" s="684" t="s">
        <v>180</v>
      </c>
      <c r="I34" s="664" t="s">
        <v>181</v>
      </c>
      <c r="J34" s="671">
        <f>ROUND(G32*J7,0)</f>
        <v>529679</v>
      </c>
    </row>
    <row r="35" spans="1:10" ht="14.25">
      <c r="A35" s="677"/>
      <c r="B35" s="677"/>
      <c r="C35" s="664"/>
      <c r="D35" s="664"/>
      <c r="E35" s="664"/>
      <c r="F35" s="664"/>
      <c r="G35" s="682"/>
      <c r="H35" s="684"/>
      <c r="I35" s="664"/>
      <c r="J35" s="676"/>
    </row>
    <row r="36" spans="1:10" ht="15.75" thickBot="1">
      <c r="A36" s="677" t="s">
        <v>200</v>
      </c>
      <c r="B36" s="673" t="s">
        <v>221</v>
      </c>
      <c r="C36" s="664"/>
      <c r="D36" s="664"/>
      <c r="E36" s="664"/>
      <c r="F36" s="664"/>
      <c r="G36" s="664"/>
      <c r="H36" s="664"/>
      <c r="I36" s="664" t="s">
        <v>181</v>
      </c>
      <c r="J36" s="685">
        <f>J7+J34</f>
        <v>25053678</v>
      </c>
    </row>
    <row r="37" spans="1:10" ht="15" thickTop="1">
      <c r="A37" s="664"/>
      <c r="B37" s="664"/>
      <c r="C37" s="664"/>
      <c r="D37" s="664"/>
      <c r="E37" s="664"/>
      <c r="F37" s="664"/>
      <c r="G37" s="664"/>
      <c r="H37" s="664"/>
      <c r="I37" s="664"/>
      <c r="J37" s="664"/>
    </row>
    <row r="38" spans="1:10" ht="15">
      <c r="A38" s="677" t="s">
        <v>219</v>
      </c>
      <c r="B38" s="673" t="str">
        <f>CONCATENATE("Debt Service in this ",J1," Budget")</f>
        <v>Debt Service in this 2012 Budget</v>
      </c>
      <c r="C38" s="664"/>
      <c r="D38" s="664"/>
      <c r="E38" s="664"/>
      <c r="F38" s="664"/>
      <c r="G38" s="664"/>
      <c r="H38" s="664"/>
      <c r="I38" s="664"/>
      <c r="J38" s="686">
        <f>DebtService!F59</f>
        <v>16262501.353103448</v>
      </c>
    </row>
    <row r="39" spans="1:10" ht="15">
      <c r="A39" s="677"/>
      <c r="B39" s="673"/>
      <c r="C39" s="664"/>
      <c r="D39" s="664"/>
      <c r="E39" s="664"/>
      <c r="F39" s="664"/>
      <c r="G39" s="664"/>
      <c r="H39" s="664"/>
      <c r="I39" s="664"/>
      <c r="J39" s="682"/>
    </row>
    <row r="40" spans="1:10" ht="15.75" thickBot="1">
      <c r="A40" s="677" t="s">
        <v>220</v>
      </c>
      <c r="B40" s="673" t="s">
        <v>222</v>
      </c>
      <c r="C40" s="664"/>
      <c r="D40" s="664"/>
      <c r="E40" s="664"/>
      <c r="F40" s="664"/>
      <c r="G40" s="664"/>
      <c r="H40" s="664"/>
      <c r="I40" s="664"/>
      <c r="J40" s="685">
        <f>J36+J38</f>
        <v>41316179.353103444</v>
      </c>
    </row>
    <row r="41" spans="1:10" ht="15" thickTop="1">
      <c r="A41" s="664"/>
      <c r="B41" s="664"/>
      <c r="C41" s="664"/>
      <c r="D41" s="664"/>
      <c r="E41" s="664"/>
      <c r="F41" s="664"/>
      <c r="G41" s="664"/>
      <c r="H41" s="664"/>
      <c r="I41" s="664"/>
      <c r="J41" s="664"/>
    </row>
    <row r="42" spans="1:10" ht="14.25">
      <c r="A42" s="702" t="str">
        <f>CONCATENATE("If the ",J1," budget includes tax levies exceeding the total on line 15, you must")</f>
        <v>If the 2012 budget includes tax levies exceeding the total on line 15, you must</v>
      </c>
      <c r="B42" s="702"/>
      <c r="C42" s="702"/>
      <c r="D42" s="702"/>
      <c r="E42" s="702"/>
      <c r="F42" s="702"/>
      <c r="G42" s="702"/>
      <c r="H42" s="702"/>
      <c r="I42" s="702"/>
      <c r="J42" s="702"/>
    </row>
    <row r="43" spans="1:10" ht="14.25">
      <c r="A43" s="702" t="s">
        <v>290</v>
      </c>
      <c r="B43" s="702"/>
      <c r="C43" s="702"/>
      <c r="D43" s="702"/>
      <c r="E43" s="702"/>
      <c r="F43" s="702"/>
      <c r="G43" s="702"/>
      <c r="H43" s="702"/>
      <c r="I43" s="702"/>
      <c r="J43" s="702"/>
    </row>
    <row r="44" spans="1:10" ht="14.25">
      <c r="A44" s="702" t="s">
        <v>291</v>
      </c>
      <c r="B44" s="702"/>
      <c r="C44" s="702"/>
      <c r="D44" s="702"/>
      <c r="E44" s="702"/>
      <c r="F44" s="702"/>
      <c r="G44" s="702"/>
      <c r="H44" s="702"/>
      <c r="I44" s="702"/>
      <c r="J44" s="702"/>
    </row>
  </sheetData>
  <sheetProtection/>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&amp;C&amp;"Arial,Regular"&amp;11KC -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F29"/>
  <sheetViews>
    <sheetView zoomScale="80" zoomScaleNormal="80" zoomScalePageLayoutView="0" workbookViewId="0" topLeftCell="A1">
      <selection activeCell="B28" sqref="B28"/>
    </sheetView>
  </sheetViews>
  <sheetFormatPr defaultColWidth="8.796875" defaultRowHeight="15"/>
  <cols>
    <col min="1" max="1" width="10.09765625" style="42" customWidth="1"/>
    <col min="2" max="2" width="16.296875" style="42" customWidth="1"/>
    <col min="3" max="3" width="11.796875" style="42" customWidth="1"/>
    <col min="4" max="4" width="12.796875" style="42" customWidth="1"/>
    <col min="5" max="5" width="11.796875" style="42" customWidth="1"/>
    <col min="6" max="16384" width="8.8984375" style="42" customWidth="1"/>
  </cols>
  <sheetData>
    <row r="1" spans="1:6" ht="15.75">
      <c r="A1" s="576" t="str">
        <f>inputPrYr!D2</f>
        <v>Kansas City</v>
      </c>
      <c r="B1" s="577"/>
      <c r="C1" s="577"/>
      <c r="D1" s="577"/>
      <c r="E1" s="577"/>
      <c r="F1" s="577">
        <f>inputPrYr!C5</f>
        <v>2012</v>
      </c>
    </row>
    <row r="2" spans="1:6" ht="15.75">
      <c r="A2" s="577"/>
      <c r="B2" s="577"/>
      <c r="C2" s="577"/>
      <c r="D2" s="577"/>
      <c r="E2" s="577"/>
      <c r="F2" s="577"/>
    </row>
    <row r="3" spans="1:6" ht="15.75">
      <c r="A3" s="577"/>
      <c r="B3" s="709" t="str">
        <f>CONCATENATE("",F1," Neighborhood Revitalization Rebate")</f>
        <v>2012 Neighborhood Revitalization Rebate</v>
      </c>
      <c r="C3" s="759"/>
      <c r="D3" s="759"/>
      <c r="E3" s="759"/>
      <c r="F3" s="577"/>
    </row>
    <row r="4" spans="1:6" ht="15.75">
      <c r="A4" s="577"/>
      <c r="B4" s="577"/>
      <c r="C4" s="577"/>
      <c r="D4" s="577"/>
      <c r="E4" s="577"/>
      <c r="F4" s="577"/>
    </row>
    <row r="5" spans="1:6" ht="51.75" customHeight="1">
      <c r="A5" s="577"/>
      <c r="B5" s="578" t="str">
        <f>CONCATENATE("Budgeted Funds         for ",F1,"")</f>
        <v>Budgeted Funds         for 2012</v>
      </c>
      <c r="C5" s="578" t="str">
        <f>CONCATENATE("",F1-1," Ad Valorem before Rebate**")</f>
        <v>2011 Ad Valorem before Rebate**</v>
      </c>
      <c r="D5" s="579" t="str">
        <f>CONCATENATE("",F1-1," Mil Rate before Rebate")</f>
        <v>2011 Mil Rate before Rebate</v>
      </c>
      <c r="E5" s="580" t="str">
        <f>CONCATENATE("Estimate ",F1," NR Rebate")</f>
        <v>Estimate 2012 NR Rebate</v>
      </c>
      <c r="F5" s="390"/>
    </row>
    <row r="6" spans="1:6" ht="15.75">
      <c r="A6" s="577"/>
      <c r="B6" s="581" t="str">
        <f>inputPrYr!B17</f>
        <v>General</v>
      </c>
      <c r="C6" s="582"/>
      <c r="D6" s="583">
        <f>IF(C6&gt;0,C6/$D$13,"")</f>
      </c>
      <c r="E6" s="472">
        <f>IF(C6&gt;0,ROUND(D6*$D$17,0),"")</f>
      </c>
      <c r="F6" s="390"/>
    </row>
    <row r="7" spans="1:6" ht="15.75">
      <c r="A7" s="577"/>
      <c r="B7" s="581" t="str">
        <f>inputPrYr!B18</f>
        <v>Debt Service</v>
      </c>
      <c r="C7" s="582"/>
      <c r="D7" s="583">
        <f>IF(C7&gt;0,C7/$D$13,"")</f>
      </c>
      <c r="E7" s="472">
        <f>IF(C7&gt;0,ROUND(D7*$D$17,0),"")</f>
      </c>
      <c r="F7" s="390"/>
    </row>
    <row r="8" spans="1:6" ht="16.5" thickBot="1">
      <c r="A8" s="577"/>
      <c r="B8" s="584" t="s">
        <v>101</v>
      </c>
      <c r="C8" s="585">
        <f>SUM(C6:C7)</f>
        <v>0</v>
      </c>
      <c r="D8" s="586">
        <f>SUM(D6:D7)</f>
        <v>0</v>
      </c>
      <c r="E8" s="585">
        <f>SUM(E6:E7)</f>
        <v>0</v>
      </c>
      <c r="F8" s="390"/>
    </row>
    <row r="9" spans="1:6" ht="16.5" thickTop="1">
      <c r="A9" s="577"/>
      <c r="B9" s="577"/>
      <c r="C9" s="577"/>
      <c r="D9" s="577"/>
      <c r="E9" s="577"/>
      <c r="F9" s="390"/>
    </row>
    <row r="10" spans="1:6" ht="15.75">
      <c r="A10" s="577"/>
      <c r="B10" s="577"/>
      <c r="C10" s="577"/>
      <c r="D10" s="577"/>
      <c r="E10" s="577"/>
      <c r="F10" s="390"/>
    </row>
    <row r="11" spans="1:6" ht="15.75">
      <c r="A11" s="760" t="str">
        <f>CONCATENATE("",F1-1," July 1 Valuation:")</f>
        <v>2011 July 1 Valuation:</v>
      </c>
      <c r="B11" s="758"/>
      <c r="C11" s="760"/>
      <c r="D11" s="587">
        <f>inputOth!E7</f>
        <v>0</v>
      </c>
      <c r="E11" s="577"/>
      <c r="F11" s="390"/>
    </row>
    <row r="12" spans="1:6" ht="15.75">
      <c r="A12" s="577"/>
      <c r="B12" s="577"/>
      <c r="C12" s="577"/>
      <c r="D12" s="577"/>
      <c r="E12" s="577"/>
      <c r="F12" s="390"/>
    </row>
    <row r="13" spans="1:6" ht="15.75">
      <c r="A13" s="577"/>
      <c r="B13" s="760" t="s">
        <v>344</v>
      </c>
      <c r="C13" s="760"/>
      <c r="D13" s="588">
        <f>IF(D11&gt;0,(D11*0.001),"")</f>
      </c>
      <c r="E13" s="577"/>
      <c r="F13" s="390"/>
    </row>
    <row r="14" spans="1:6" ht="15.75">
      <c r="A14" s="577"/>
      <c r="B14" s="589"/>
      <c r="C14" s="589"/>
      <c r="D14" s="590"/>
      <c r="E14" s="577"/>
      <c r="F14" s="390"/>
    </row>
    <row r="15" spans="1:6" ht="15.75">
      <c r="A15" s="757" t="s">
        <v>345</v>
      </c>
      <c r="B15" s="761"/>
      <c r="C15" s="761"/>
      <c r="D15" s="591">
        <f>inputOth!E17</f>
        <v>0</v>
      </c>
      <c r="E15" s="592"/>
      <c r="F15" s="592"/>
    </row>
    <row r="16" spans="1:6" ht="15">
      <c r="A16" s="592"/>
      <c r="B16" s="592"/>
      <c r="C16" s="592"/>
      <c r="D16" s="593"/>
      <c r="E16" s="592"/>
      <c r="F16" s="592"/>
    </row>
    <row r="17" spans="1:6" ht="15.75">
      <c r="A17" s="592"/>
      <c r="B17" s="757" t="s">
        <v>346</v>
      </c>
      <c r="C17" s="758"/>
      <c r="D17" s="594">
        <f>IF(D15&gt;0,(D15*0.001),"")</f>
      </c>
      <c r="E17" s="592"/>
      <c r="F17" s="592"/>
    </row>
    <row r="18" spans="1:6" ht="15">
      <c r="A18" s="592"/>
      <c r="B18" s="592"/>
      <c r="C18" s="592"/>
      <c r="D18" s="592"/>
      <c r="E18" s="592"/>
      <c r="F18" s="592"/>
    </row>
    <row r="19" spans="1:6" ht="15">
      <c r="A19" s="592"/>
      <c r="B19" s="592"/>
      <c r="C19" s="592"/>
      <c r="D19" s="592"/>
      <c r="E19" s="592"/>
      <c r="F19" s="592"/>
    </row>
    <row r="20" spans="1:6" ht="15">
      <c r="A20" s="592"/>
      <c r="B20" s="592"/>
      <c r="C20" s="592"/>
      <c r="D20" s="592"/>
      <c r="E20" s="592"/>
      <c r="F20" s="592"/>
    </row>
    <row r="21" spans="1:6" ht="15.75">
      <c r="A21" s="595" t="str">
        <f>CONCATENATE("**This information comes from the ",F1," Budget Summary page.  See instructions tab #11 for completing")</f>
        <v>**This information comes from the 2012 Budget Summary page.  See instructions tab #11 for completing</v>
      </c>
      <c r="B21" s="592"/>
      <c r="C21" s="592"/>
      <c r="D21" s="592"/>
      <c r="E21" s="592"/>
      <c r="F21" s="592"/>
    </row>
    <row r="22" spans="1:6" ht="15.75">
      <c r="A22" s="595" t="s">
        <v>647</v>
      </c>
      <c r="B22" s="592"/>
      <c r="C22" s="592"/>
      <c r="D22" s="592"/>
      <c r="E22" s="592"/>
      <c r="F22" s="592"/>
    </row>
    <row r="23" spans="1:6" ht="15.75">
      <c r="A23" s="595"/>
      <c r="B23" s="592"/>
      <c r="C23" s="592"/>
      <c r="D23" s="592"/>
      <c r="E23" s="592"/>
      <c r="F23" s="592"/>
    </row>
    <row r="24" spans="1:6" ht="15.75">
      <c r="A24" s="595"/>
      <c r="B24" s="592"/>
      <c r="C24" s="592"/>
      <c r="D24" s="592"/>
      <c r="E24" s="592"/>
      <c r="F24" s="592"/>
    </row>
    <row r="25" spans="1:6" ht="15.75">
      <c r="A25" s="595"/>
      <c r="B25" s="592"/>
      <c r="C25" s="592"/>
      <c r="D25" s="592"/>
      <c r="E25" s="592"/>
      <c r="F25" s="592"/>
    </row>
    <row r="26" spans="1:6" ht="15.75">
      <c r="A26" s="595"/>
      <c r="B26" s="592"/>
      <c r="C26" s="592"/>
      <c r="D26" s="592"/>
      <c r="E26" s="592"/>
      <c r="F26" s="592"/>
    </row>
    <row r="27" spans="1:6" ht="15">
      <c r="A27" s="592"/>
      <c r="B27" s="592"/>
      <c r="C27" s="592"/>
      <c r="D27" s="592"/>
      <c r="E27" s="592"/>
      <c r="F27" s="592"/>
    </row>
    <row r="28" spans="1:6" ht="15.75">
      <c r="A28" s="592"/>
      <c r="B28" s="596"/>
      <c r="C28" s="597"/>
      <c r="D28" s="592"/>
      <c r="E28" s="592"/>
      <c r="F28" s="592"/>
    </row>
    <row r="29" spans="1:6" ht="15.75">
      <c r="A29" s="390"/>
      <c r="B29" s="577"/>
      <c r="C29" s="577"/>
      <c r="D29" s="598"/>
      <c r="E29" s="390"/>
      <c r="F29" s="390"/>
    </row>
  </sheetData>
  <sheetProtection/>
  <mergeCells count="5">
    <mergeCell ref="B17:C17"/>
    <mergeCell ref="B3:E3"/>
    <mergeCell ref="A11:C11"/>
    <mergeCell ref="B13:C13"/>
    <mergeCell ref="A15:C15"/>
  </mergeCells>
  <printOptions/>
  <pageMargins left="0.75" right="0.75" top="1" bottom="1" header="0.5" footer="0.5"/>
  <pageSetup blackAndWhite="1" fitToHeight="1" fitToWidth="1" horizontalDpi="600" verticalDpi="600" orientation="portrait" scale="92" r:id="rId1"/>
  <headerFooter alignWithMargins="0">
    <oddHeader>&amp;RState of  Kansas
City</oddHeader>
    <oddFooter>&amp;C&amp;"Arial,Regular"&amp;10KC-1</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B72" sqref="B72"/>
    </sheetView>
  </sheetViews>
  <sheetFormatPr defaultColWidth="8.796875" defaultRowHeight="15"/>
  <cols>
    <col min="1" max="1" width="28.296875" style="6" customWidth="1"/>
    <col min="2" max="3" width="15.796875" style="6" customWidth="1"/>
    <col min="4" max="4" width="16.09765625" style="6" customWidth="1"/>
    <col min="5" max="16384" width="8.8984375" style="6" customWidth="1"/>
  </cols>
  <sheetData>
    <row r="1" spans="1:4" ht="15.75">
      <c r="A1" s="79" t="str">
        <f>inputPrYr!D2</f>
        <v>Kansas City</v>
      </c>
      <c r="B1" s="21"/>
      <c r="C1" s="75"/>
      <c r="D1" s="21">
        <f>inputPrYr!C5</f>
        <v>2012</v>
      </c>
    </row>
    <row r="2" spans="1:4" ht="15.75">
      <c r="A2" s="21"/>
      <c r="B2" s="21"/>
      <c r="C2" s="21"/>
      <c r="D2" s="75"/>
    </row>
    <row r="3" spans="1:4" ht="15.75">
      <c r="A3" s="91"/>
      <c r="B3" s="96"/>
      <c r="C3" s="96"/>
      <c r="D3" s="96"/>
    </row>
    <row r="4" spans="1:4" ht="15.75">
      <c r="A4" s="89" t="s">
        <v>106</v>
      </c>
      <c r="B4" s="220" t="s">
        <v>123</v>
      </c>
      <c r="C4" s="219" t="s">
        <v>248</v>
      </c>
      <c r="D4" s="219" t="s">
        <v>249</v>
      </c>
    </row>
    <row r="5" spans="1:4" ht="15.75">
      <c r="A5" s="221" t="s">
        <v>394</v>
      </c>
      <c r="B5" s="92">
        <f>D1-2</f>
        <v>2010</v>
      </c>
      <c r="C5" s="92">
        <f>D1-1</f>
        <v>2011</v>
      </c>
      <c r="D5" s="92">
        <f>D1</f>
        <v>2012</v>
      </c>
    </row>
    <row r="6" spans="1:4" ht="15.75">
      <c r="A6" s="89" t="s">
        <v>113</v>
      </c>
      <c r="B6" s="38"/>
      <c r="C6" s="38"/>
      <c r="D6" s="38"/>
    </row>
    <row r="7" spans="1:4" ht="15.75">
      <c r="A7" s="97"/>
      <c r="B7" s="38"/>
      <c r="C7" s="38"/>
      <c r="D7" s="38"/>
    </row>
    <row r="8" spans="1:4" ht="15.75">
      <c r="A8" s="98" t="s">
        <v>121</v>
      </c>
      <c r="B8" s="93"/>
      <c r="C8" s="93"/>
      <c r="D8" s="93"/>
    </row>
    <row r="9" spans="1:4" ht="15.75">
      <c r="A9" s="98" t="s">
        <v>114</v>
      </c>
      <c r="B9" s="93"/>
      <c r="C9" s="93"/>
      <c r="D9" s="93"/>
    </row>
    <row r="10" spans="1:4" ht="15.75">
      <c r="A10" s="98" t="s">
        <v>115</v>
      </c>
      <c r="B10" s="93"/>
      <c r="C10" s="93"/>
      <c r="D10" s="93"/>
    </row>
    <row r="11" spans="1:4" ht="15.75">
      <c r="A11" s="98" t="s">
        <v>116</v>
      </c>
      <c r="B11" s="93"/>
      <c r="C11" s="93"/>
      <c r="D11" s="93"/>
    </row>
    <row r="12" spans="1:4" ht="15.75">
      <c r="A12" s="98"/>
      <c r="B12" s="93"/>
      <c r="C12" s="93"/>
      <c r="D12" s="93"/>
    </row>
    <row r="13" spans="1:4" ht="15.75">
      <c r="A13" s="30"/>
      <c r="B13" s="93"/>
      <c r="C13" s="93"/>
      <c r="D13" s="93"/>
    </row>
    <row r="14" spans="1:4" ht="15.75">
      <c r="A14" s="30"/>
      <c r="B14" s="93"/>
      <c r="C14" s="93"/>
      <c r="D14" s="93"/>
    </row>
    <row r="15" spans="1:4" ht="15.75">
      <c r="A15" s="89" t="s">
        <v>78</v>
      </c>
      <c r="B15" s="95">
        <f>SUM(B8:B14)</f>
        <v>0</v>
      </c>
      <c r="C15" s="95">
        <f>SUM(C8:C14)</f>
        <v>0</v>
      </c>
      <c r="D15" s="95">
        <f>SUM(D8:D14)</f>
        <v>0</v>
      </c>
    </row>
    <row r="16" spans="1:4" ht="15.75">
      <c r="A16" s="99"/>
      <c r="B16" s="79"/>
      <c r="C16" s="79"/>
      <c r="D16" s="79"/>
    </row>
    <row r="17" spans="1:4" ht="15.75">
      <c r="A17" s="98" t="s">
        <v>121</v>
      </c>
      <c r="B17" s="93"/>
      <c r="C17" s="93"/>
      <c r="D17" s="93"/>
    </row>
    <row r="18" spans="1:4" ht="15.75">
      <c r="A18" s="98" t="s">
        <v>114</v>
      </c>
      <c r="B18" s="93"/>
      <c r="C18" s="93"/>
      <c r="D18" s="93"/>
    </row>
    <row r="19" spans="1:4" ht="15.75">
      <c r="A19" s="98" t="s">
        <v>115</v>
      </c>
      <c r="B19" s="93"/>
      <c r="C19" s="93"/>
      <c r="D19" s="93"/>
    </row>
    <row r="20" spans="1:4" ht="15.75">
      <c r="A20" s="98" t="s">
        <v>116</v>
      </c>
      <c r="B20" s="93"/>
      <c r="C20" s="93"/>
      <c r="D20" s="93"/>
    </row>
    <row r="21" spans="1:4" ht="15.75">
      <c r="A21" s="98"/>
      <c r="B21" s="93"/>
      <c r="C21" s="93"/>
      <c r="D21" s="93"/>
    </row>
    <row r="22" spans="1:4" ht="15.75">
      <c r="A22" s="89" t="s">
        <v>78</v>
      </c>
      <c r="B22" s="95">
        <f>SUM(B17:B21)</f>
        <v>0</v>
      </c>
      <c r="C22" s="95">
        <f>SUM(C17:C21)</f>
        <v>0</v>
      </c>
      <c r="D22" s="95">
        <f>SUM(D17:D21)</f>
        <v>0</v>
      </c>
    </row>
    <row r="23" spans="1:4" ht="15.75">
      <c r="A23" s="99"/>
      <c r="B23" s="79"/>
      <c r="C23" s="79"/>
      <c r="D23" s="79"/>
    </row>
    <row r="24" spans="1:4" ht="15.75">
      <c r="A24" s="98" t="s">
        <v>121</v>
      </c>
      <c r="B24" s="93"/>
      <c r="C24" s="93"/>
      <c r="D24" s="93"/>
    </row>
    <row r="25" spans="1:4" ht="15.75">
      <c r="A25" s="98" t="s">
        <v>114</v>
      </c>
      <c r="B25" s="93"/>
      <c r="C25" s="93"/>
      <c r="D25" s="93"/>
    </row>
    <row r="26" spans="1:4" ht="15.75">
      <c r="A26" s="98" t="s">
        <v>115</v>
      </c>
      <c r="B26" s="93"/>
      <c r="C26" s="93"/>
      <c r="D26" s="93"/>
    </row>
    <row r="27" spans="1:4" ht="15.75">
      <c r="A27" s="98" t="s">
        <v>116</v>
      </c>
      <c r="B27" s="93"/>
      <c r="C27" s="93"/>
      <c r="D27" s="93"/>
    </row>
    <row r="28" spans="1:4" ht="15.75">
      <c r="A28" s="98"/>
      <c r="B28" s="93"/>
      <c r="C28" s="93"/>
      <c r="D28" s="93"/>
    </row>
    <row r="29" spans="1:4" ht="15.75">
      <c r="A29" s="89" t="s">
        <v>78</v>
      </c>
      <c r="B29" s="95">
        <f>SUM(B24:B28)</f>
        <v>0</v>
      </c>
      <c r="C29" s="95">
        <f>SUM(C24:C28)</f>
        <v>0</v>
      </c>
      <c r="D29" s="95">
        <f>SUM(D24:D28)</f>
        <v>0</v>
      </c>
    </row>
    <row r="30" spans="1:4" ht="15.75">
      <c r="A30" s="99"/>
      <c r="B30" s="79"/>
      <c r="C30" s="79"/>
      <c r="D30" s="79"/>
    </row>
    <row r="31" spans="1:4" ht="15.75">
      <c r="A31" s="98" t="s">
        <v>121</v>
      </c>
      <c r="B31" s="93"/>
      <c r="C31" s="93"/>
      <c r="D31" s="93"/>
    </row>
    <row r="32" spans="1:4" ht="15.75">
      <c r="A32" s="98" t="s">
        <v>114</v>
      </c>
      <c r="B32" s="93"/>
      <c r="C32" s="93"/>
      <c r="D32" s="93"/>
    </row>
    <row r="33" spans="1:4" ht="15.75">
      <c r="A33" s="98" t="s">
        <v>115</v>
      </c>
      <c r="B33" s="93"/>
      <c r="C33" s="93"/>
      <c r="D33" s="93"/>
    </row>
    <row r="34" spans="1:4" ht="15.75">
      <c r="A34" s="98" t="s">
        <v>116</v>
      </c>
      <c r="B34" s="93"/>
      <c r="C34" s="93"/>
      <c r="D34" s="93"/>
    </row>
    <row r="35" spans="1:4" ht="15.75">
      <c r="A35" s="89" t="s">
        <v>78</v>
      </c>
      <c r="B35" s="95">
        <f>SUM(B31:B34)</f>
        <v>0</v>
      </c>
      <c r="C35" s="95">
        <f>SUM(C31:C34)</f>
        <v>0</v>
      </c>
      <c r="D35" s="95">
        <f>SUM(D31:D34)</f>
        <v>0</v>
      </c>
    </row>
    <row r="36" spans="1:4" ht="15.75">
      <c r="A36" s="99"/>
      <c r="B36" s="79"/>
      <c r="C36" s="79"/>
      <c r="D36" s="79"/>
    </row>
    <row r="37" spans="1:4" ht="15.75">
      <c r="A37" s="98" t="s">
        <v>121</v>
      </c>
      <c r="B37" s="93"/>
      <c r="C37" s="93"/>
      <c r="D37" s="93"/>
    </row>
    <row r="38" spans="1:4" ht="15.75">
      <c r="A38" s="98" t="s">
        <v>114</v>
      </c>
      <c r="B38" s="93"/>
      <c r="C38" s="93"/>
      <c r="D38" s="93"/>
    </row>
    <row r="39" spans="1:4" ht="15.75">
      <c r="A39" s="98" t="s">
        <v>115</v>
      </c>
      <c r="B39" s="93"/>
      <c r="C39" s="93"/>
      <c r="D39" s="93"/>
    </row>
    <row r="40" spans="1:4" ht="15.75">
      <c r="A40" s="98" t="s">
        <v>116</v>
      </c>
      <c r="B40" s="93"/>
      <c r="C40" s="93"/>
      <c r="D40" s="93"/>
    </row>
    <row r="41" spans="1:4" ht="15.75">
      <c r="A41" s="98"/>
      <c r="B41" s="93"/>
      <c r="C41" s="93"/>
      <c r="D41" s="93"/>
    </row>
    <row r="42" spans="1:4" ht="15.75">
      <c r="A42" s="89" t="s">
        <v>78</v>
      </c>
      <c r="B42" s="95">
        <f>SUM(B37:B41)</f>
        <v>0</v>
      </c>
      <c r="C42" s="95">
        <f>SUM(C37:C41)</f>
        <v>0</v>
      </c>
      <c r="D42" s="95">
        <f>SUM(D37:D41)</f>
        <v>0</v>
      </c>
    </row>
    <row r="43" spans="1:4" ht="15.75">
      <c r="A43" s="99"/>
      <c r="B43" s="79"/>
      <c r="C43" s="79"/>
      <c r="D43" s="79"/>
    </row>
    <row r="44" spans="1:4" ht="15.75">
      <c r="A44" s="98" t="s">
        <v>121</v>
      </c>
      <c r="B44" s="93"/>
      <c r="C44" s="93"/>
      <c r="D44" s="93"/>
    </row>
    <row r="45" spans="1:4" ht="15.75">
      <c r="A45" s="98" t="s">
        <v>114</v>
      </c>
      <c r="B45" s="93"/>
      <c r="C45" s="93"/>
      <c r="D45" s="93"/>
    </row>
    <row r="46" spans="1:4" ht="15.75">
      <c r="A46" s="98" t="s">
        <v>115</v>
      </c>
      <c r="B46" s="93"/>
      <c r="C46" s="93"/>
      <c r="D46" s="93"/>
    </row>
    <row r="47" spans="1:4" ht="15.75">
      <c r="A47" s="98" t="s">
        <v>116</v>
      </c>
      <c r="B47" s="93"/>
      <c r="C47" s="93"/>
      <c r="D47" s="93"/>
    </row>
    <row r="48" spans="1:4" ht="15.75">
      <c r="A48" s="98"/>
      <c r="B48" s="93"/>
      <c r="C48" s="93"/>
      <c r="D48" s="93"/>
    </row>
    <row r="49" spans="1:4" ht="15.75">
      <c r="A49" s="89" t="s">
        <v>78</v>
      </c>
      <c r="B49" s="95">
        <f>SUM(B44:B48)</f>
        <v>0</v>
      </c>
      <c r="C49" s="95">
        <f>SUM(C44:C48)</f>
        <v>0</v>
      </c>
      <c r="D49" s="95">
        <f>SUM(D44:D48)</f>
        <v>0</v>
      </c>
    </row>
    <row r="50" spans="1:4" ht="15.75">
      <c r="A50" s="99"/>
      <c r="B50" s="79"/>
      <c r="C50" s="79"/>
      <c r="D50" s="79"/>
    </row>
    <row r="51" spans="1:4" ht="15.75">
      <c r="A51" s="98" t="s">
        <v>121</v>
      </c>
      <c r="B51" s="93"/>
      <c r="C51" s="93"/>
      <c r="D51" s="93"/>
    </row>
    <row r="52" spans="1:4" ht="15.75">
      <c r="A52" s="98" t="s">
        <v>114</v>
      </c>
      <c r="B52" s="93"/>
      <c r="C52" s="93"/>
      <c r="D52" s="93"/>
    </row>
    <row r="53" spans="1:4" ht="15.75">
      <c r="A53" s="98" t="s">
        <v>115</v>
      </c>
      <c r="B53" s="93"/>
      <c r="C53" s="93"/>
      <c r="D53" s="93"/>
    </row>
    <row r="54" spans="1:4" ht="15.75">
      <c r="A54" s="98" t="s">
        <v>116</v>
      </c>
      <c r="B54" s="93"/>
      <c r="C54" s="93"/>
      <c r="D54" s="93"/>
    </row>
    <row r="55" spans="1:4" ht="15.75">
      <c r="A55" s="98"/>
      <c r="B55" s="93"/>
      <c r="C55" s="93"/>
      <c r="D55" s="93"/>
    </row>
    <row r="56" spans="1:4" ht="15.75">
      <c r="A56" s="89" t="s">
        <v>78</v>
      </c>
      <c r="B56" s="95">
        <f>SUM(B51:B55)</f>
        <v>0</v>
      </c>
      <c r="C56" s="95">
        <f>SUM(C51:C55)</f>
        <v>0</v>
      </c>
      <c r="D56" s="95">
        <f>SUM(D51:D55)</f>
        <v>0</v>
      </c>
    </row>
    <row r="57" spans="1:4" ht="15.75">
      <c r="A57" s="99"/>
      <c r="B57" s="79"/>
      <c r="C57" s="79"/>
      <c r="D57" s="79"/>
    </row>
    <row r="58" spans="1:4" ht="15.75">
      <c r="A58" s="98" t="s">
        <v>121</v>
      </c>
      <c r="B58" s="93"/>
      <c r="C58" s="93"/>
      <c r="D58" s="93"/>
    </row>
    <row r="59" spans="1:4" ht="15.75">
      <c r="A59" s="98" t="s">
        <v>114</v>
      </c>
      <c r="B59" s="93"/>
      <c r="C59" s="93"/>
      <c r="D59" s="93"/>
    </row>
    <row r="60" spans="1:4" ht="15.75">
      <c r="A60" s="98" t="s">
        <v>115</v>
      </c>
      <c r="B60" s="93"/>
      <c r="C60" s="93"/>
      <c r="D60" s="93"/>
    </row>
    <row r="61" spans="1:4" ht="15.75">
      <c r="A61" s="98" t="s">
        <v>116</v>
      </c>
      <c r="B61" s="93"/>
      <c r="C61" s="93"/>
      <c r="D61" s="93"/>
    </row>
    <row r="62" spans="1:4" ht="15.75">
      <c r="A62" s="98"/>
      <c r="B62" s="93"/>
      <c r="C62" s="93"/>
      <c r="D62" s="93"/>
    </row>
    <row r="63" spans="1:4" ht="15.75">
      <c r="A63" s="89" t="s">
        <v>78</v>
      </c>
      <c r="B63" s="95">
        <f>SUM(B58:B62)</f>
        <v>0</v>
      </c>
      <c r="C63" s="95">
        <f>SUM(C58:C62)</f>
        <v>0</v>
      </c>
      <c r="D63" s="95">
        <f>SUM(D58:D62)</f>
        <v>0</v>
      </c>
    </row>
    <row r="64" spans="1:4" ht="15.75">
      <c r="A64" s="21"/>
      <c r="B64" s="79"/>
      <c r="C64" s="79"/>
      <c r="D64" s="79"/>
    </row>
    <row r="65" spans="1:4" ht="16.5" thickBot="1">
      <c r="A65" s="89" t="s">
        <v>390</v>
      </c>
      <c r="B65" s="100">
        <f>B15+B22+B29+B35+B42+B49+B56+B63</f>
        <v>0</v>
      </c>
      <c r="C65" s="100">
        <f>C15+C22+C29+C35+C42+C49+C56+C63</f>
        <v>0</v>
      </c>
      <c r="D65" s="100">
        <f>D15+D22+D29+D35+D42+D49+D56+D63</f>
        <v>0</v>
      </c>
    </row>
    <row r="66" spans="1:4" ht="16.5" thickTop="1">
      <c r="A66" s="101"/>
      <c r="B66" s="79"/>
      <c r="C66" s="79"/>
      <c r="D66" s="79"/>
    </row>
    <row r="67" spans="1:4" ht="15.75">
      <c r="A67" s="136" t="s">
        <v>120</v>
      </c>
      <c r="B67" s="102" t="s">
        <v>242</v>
      </c>
      <c r="C67" s="79"/>
      <c r="D67" s="79"/>
    </row>
    <row r="68" spans="1:4" ht="15.75">
      <c r="A68" s="21"/>
      <c r="B68" s="79"/>
      <c r="C68" s="79"/>
      <c r="D68" s="79"/>
    </row>
    <row r="69" spans="1:4" ht="15.75">
      <c r="A69" s="79" t="str">
        <f>A1</f>
        <v>Kansas City</v>
      </c>
      <c r="B69" s="21"/>
      <c r="C69" s="75"/>
      <c r="D69" s="21">
        <f>D1</f>
        <v>2012</v>
      </c>
    </row>
    <row r="70" spans="1:4" ht="15.75">
      <c r="A70" s="21"/>
      <c r="B70" s="21"/>
      <c r="C70" s="21"/>
      <c r="D70" s="75"/>
    </row>
    <row r="71" spans="1:4" ht="15.75">
      <c r="A71" s="91"/>
      <c r="B71" s="96"/>
      <c r="C71" s="96"/>
      <c r="D71" s="96"/>
    </row>
    <row r="72" spans="1:4" ht="15.75">
      <c r="A72" s="89" t="s">
        <v>106</v>
      </c>
      <c r="B72" s="220" t="s">
        <v>123</v>
      </c>
      <c r="C72" s="222" t="s">
        <v>248</v>
      </c>
      <c r="D72" s="222" t="s">
        <v>249</v>
      </c>
    </row>
    <row r="73" spans="1:4" ht="15.75">
      <c r="A73" s="221" t="s">
        <v>395</v>
      </c>
      <c r="B73" s="106">
        <f>D69-2</f>
        <v>2010</v>
      </c>
      <c r="C73" s="92">
        <f>D69-1</f>
        <v>2011</v>
      </c>
      <c r="D73" s="92">
        <f>D69</f>
        <v>2012</v>
      </c>
    </row>
    <row r="74" spans="1:4" ht="15.75">
      <c r="A74" s="89" t="s">
        <v>113</v>
      </c>
      <c r="B74" s="38"/>
      <c r="C74" s="38"/>
      <c r="D74" s="38"/>
    </row>
    <row r="75" spans="1:4" ht="15.75">
      <c r="A75" s="97"/>
      <c r="B75" s="38"/>
      <c r="C75" s="38"/>
      <c r="D75" s="38"/>
    </row>
    <row r="76" spans="1:4" ht="15.75">
      <c r="A76" s="98" t="s">
        <v>121</v>
      </c>
      <c r="B76" s="93"/>
      <c r="C76" s="93"/>
      <c r="D76" s="93"/>
    </row>
    <row r="77" spans="1:4" ht="15.75">
      <c r="A77" s="98" t="s">
        <v>114</v>
      </c>
      <c r="B77" s="93"/>
      <c r="C77" s="93"/>
      <c r="D77" s="93"/>
    </row>
    <row r="78" spans="1:4" ht="15.75">
      <c r="A78" s="98" t="s">
        <v>115</v>
      </c>
      <c r="B78" s="93"/>
      <c r="C78" s="93"/>
      <c r="D78" s="93"/>
    </row>
    <row r="79" spans="1:4" ht="15.75">
      <c r="A79" s="98" t="s">
        <v>116</v>
      </c>
      <c r="B79" s="93"/>
      <c r="C79" s="93"/>
      <c r="D79" s="93"/>
    </row>
    <row r="80" spans="1:4" ht="15.75">
      <c r="A80" s="30"/>
      <c r="B80" s="93"/>
      <c r="C80" s="93"/>
      <c r="D80" s="93"/>
    </row>
    <row r="81" spans="1:4" ht="15.75">
      <c r="A81" s="89" t="s">
        <v>78</v>
      </c>
      <c r="B81" s="95">
        <f>SUM(B76:B80)</f>
        <v>0</v>
      </c>
      <c r="C81" s="95">
        <f>SUM(C76:C80)</f>
        <v>0</v>
      </c>
      <c r="D81" s="95">
        <f>SUM(D76:D80)</f>
        <v>0</v>
      </c>
    </row>
    <row r="82" spans="1:4" ht="15.75">
      <c r="A82" s="99"/>
      <c r="B82" s="79"/>
      <c r="C82" s="79"/>
      <c r="D82" s="79"/>
    </row>
    <row r="83" spans="1:4" ht="15.75">
      <c r="A83" s="98" t="s">
        <v>121</v>
      </c>
      <c r="B83" s="93"/>
      <c r="C83" s="93"/>
      <c r="D83" s="93"/>
    </row>
    <row r="84" spans="1:4" ht="15.75">
      <c r="A84" s="98" t="s">
        <v>114</v>
      </c>
      <c r="B84" s="93"/>
      <c r="C84" s="93"/>
      <c r="D84" s="93"/>
    </row>
    <row r="85" spans="1:4" ht="15.75">
      <c r="A85" s="98" t="s">
        <v>115</v>
      </c>
      <c r="B85" s="93"/>
      <c r="C85" s="93"/>
      <c r="D85" s="93"/>
    </row>
    <row r="86" spans="1:4" ht="15.75">
      <c r="A86" s="98" t="s">
        <v>116</v>
      </c>
      <c r="B86" s="93"/>
      <c r="C86" s="93"/>
      <c r="D86" s="93"/>
    </row>
    <row r="87" spans="1:4" ht="15.75">
      <c r="A87" s="98"/>
      <c r="B87" s="93"/>
      <c r="C87" s="93"/>
      <c r="D87" s="93"/>
    </row>
    <row r="88" spans="1:4" ht="15.75">
      <c r="A88" s="89" t="s">
        <v>78</v>
      </c>
      <c r="B88" s="95">
        <f>SUM(B83:B87)</f>
        <v>0</v>
      </c>
      <c r="C88" s="95">
        <f>SUM(C83:C87)</f>
        <v>0</v>
      </c>
      <c r="D88" s="95">
        <f>SUM(D83:D87)</f>
        <v>0</v>
      </c>
    </row>
    <row r="89" spans="1:4" ht="15.75">
      <c r="A89" s="99"/>
      <c r="B89" s="79"/>
      <c r="C89" s="79"/>
      <c r="D89" s="79"/>
    </row>
    <row r="90" spans="1:4" ht="15.75">
      <c r="A90" s="98" t="s">
        <v>121</v>
      </c>
      <c r="B90" s="93"/>
      <c r="C90" s="93"/>
      <c r="D90" s="93"/>
    </row>
    <row r="91" spans="1:4" ht="15.75">
      <c r="A91" s="98" t="s">
        <v>114</v>
      </c>
      <c r="B91" s="93"/>
      <c r="C91" s="93"/>
      <c r="D91" s="93"/>
    </row>
    <row r="92" spans="1:4" ht="15.75">
      <c r="A92" s="98" t="s">
        <v>115</v>
      </c>
      <c r="B92" s="93"/>
      <c r="C92" s="93"/>
      <c r="D92" s="93"/>
    </row>
    <row r="93" spans="1:4" ht="15.75">
      <c r="A93" s="98" t="s">
        <v>116</v>
      </c>
      <c r="B93" s="93"/>
      <c r="C93" s="93"/>
      <c r="D93" s="93"/>
    </row>
    <row r="94" spans="1:4" ht="15.75">
      <c r="A94" s="98"/>
      <c r="B94" s="93"/>
      <c r="C94" s="93"/>
      <c r="D94" s="93"/>
    </row>
    <row r="95" spans="1:4" ht="15.75">
      <c r="A95" s="89" t="s">
        <v>78</v>
      </c>
      <c r="B95" s="95">
        <f>SUM(B90:B94)</f>
        <v>0</v>
      </c>
      <c r="C95" s="95">
        <f>SUM(C90:C94)</f>
        <v>0</v>
      </c>
      <c r="D95" s="95">
        <f>SUM(D90:D94)</f>
        <v>0</v>
      </c>
    </row>
    <row r="96" spans="1:4" ht="15.75">
      <c r="A96" s="99"/>
      <c r="B96" s="79"/>
      <c r="C96" s="79"/>
      <c r="D96" s="79"/>
    </row>
    <row r="97" spans="1:4" ht="15.75">
      <c r="A97" s="98" t="s">
        <v>121</v>
      </c>
      <c r="B97" s="93"/>
      <c r="C97" s="93"/>
      <c r="D97" s="93"/>
    </row>
    <row r="98" spans="1:4" ht="15.75">
      <c r="A98" s="98" t="s">
        <v>114</v>
      </c>
      <c r="B98" s="93"/>
      <c r="C98" s="93"/>
      <c r="D98" s="93"/>
    </row>
    <row r="99" spans="1:4" ht="15.75">
      <c r="A99" s="98" t="s">
        <v>115</v>
      </c>
      <c r="B99" s="93"/>
      <c r="C99" s="93"/>
      <c r="D99" s="93"/>
    </row>
    <row r="100" spans="1:4" ht="15.75">
      <c r="A100" s="98" t="s">
        <v>116</v>
      </c>
      <c r="B100" s="93"/>
      <c r="C100" s="93"/>
      <c r="D100" s="93"/>
    </row>
    <row r="101" spans="1:4" ht="15.75">
      <c r="A101" s="89" t="s">
        <v>78</v>
      </c>
      <c r="B101" s="95">
        <f>SUM(B97:B100)</f>
        <v>0</v>
      </c>
      <c r="C101" s="95">
        <f>SUM(C97:C100)</f>
        <v>0</v>
      </c>
      <c r="D101" s="95">
        <f>SUM(D97:D100)</f>
        <v>0</v>
      </c>
    </row>
    <row r="102" spans="1:4" ht="15.75">
      <c r="A102" s="99"/>
      <c r="B102" s="79"/>
      <c r="C102" s="79"/>
      <c r="D102" s="79"/>
    </row>
    <row r="103" spans="1:4" ht="15.75">
      <c r="A103" s="98" t="s">
        <v>121</v>
      </c>
      <c r="B103" s="93"/>
      <c r="C103" s="93"/>
      <c r="D103" s="93"/>
    </row>
    <row r="104" spans="1:4" ht="15.75">
      <c r="A104" s="98" t="s">
        <v>114</v>
      </c>
      <c r="B104" s="93"/>
      <c r="C104" s="93"/>
      <c r="D104" s="93"/>
    </row>
    <row r="105" spans="1:4" ht="15.75">
      <c r="A105" s="98" t="s">
        <v>115</v>
      </c>
      <c r="B105" s="93"/>
      <c r="C105" s="93"/>
      <c r="D105" s="93"/>
    </row>
    <row r="106" spans="1:4" ht="15.75">
      <c r="A106" s="98" t="s">
        <v>116</v>
      </c>
      <c r="B106" s="93"/>
      <c r="C106" s="93"/>
      <c r="D106" s="93"/>
    </row>
    <row r="107" spans="1:4" ht="15.75">
      <c r="A107" s="98"/>
      <c r="B107" s="93"/>
      <c r="C107" s="93"/>
      <c r="D107" s="93"/>
    </row>
    <row r="108" spans="1:4" ht="15.75">
      <c r="A108" s="89" t="s">
        <v>78</v>
      </c>
      <c r="B108" s="95">
        <f>SUM(B103:B107)</f>
        <v>0</v>
      </c>
      <c r="C108" s="95">
        <f>SUM(C103:C107)</f>
        <v>0</v>
      </c>
      <c r="D108" s="95">
        <f>SUM(D103:D107)</f>
        <v>0</v>
      </c>
    </row>
    <row r="109" spans="1:4" ht="15.75">
      <c r="A109" s="99"/>
      <c r="B109" s="79"/>
      <c r="C109" s="79"/>
      <c r="D109" s="79"/>
    </row>
    <row r="110" spans="1:4" ht="15.75">
      <c r="A110" s="98" t="s">
        <v>121</v>
      </c>
      <c r="B110" s="93"/>
      <c r="C110" s="93"/>
      <c r="D110" s="93"/>
    </row>
    <row r="111" spans="1:4" ht="15.75">
      <c r="A111" s="98" t="s">
        <v>114</v>
      </c>
      <c r="B111" s="93"/>
      <c r="C111" s="93"/>
      <c r="D111" s="93"/>
    </row>
    <row r="112" spans="1:4" ht="15.75">
      <c r="A112" s="98" t="s">
        <v>115</v>
      </c>
      <c r="B112" s="93"/>
      <c r="C112" s="93"/>
      <c r="D112" s="93"/>
    </row>
    <row r="113" spans="1:4" ht="15.75">
      <c r="A113" s="98" t="s">
        <v>116</v>
      </c>
      <c r="B113" s="93"/>
      <c r="C113" s="93"/>
      <c r="D113" s="93"/>
    </row>
    <row r="114" spans="1:4" ht="15.75">
      <c r="A114" s="98"/>
      <c r="B114" s="93"/>
      <c r="C114" s="93"/>
      <c r="D114" s="93"/>
    </row>
    <row r="115" spans="1:4" ht="15.75">
      <c r="A115" s="89" t="s">
        <v>78</v>
      </c>
      <c r="B115" s="95">
        <f>SUM(B110:B114)</f>
        <v>0</v>
      </c>
      <c r="C115" s="95">
        <f>SUM(C110:C114)</f>
        <v>0</v>
      </c>
      <c r="D115" s="95">
        <f>SUM(D110:D114)</f>
        <v>0</v>
      </c>
    </row>
    <row r="116" spans="1:4" ht="15.75">
      <c r="A116" s="99"/>
      <c r="B116" s="79"/>
      <c r="C116" s="79"/>
      <c r="D116" s="79"/>
    </row>
    <row r="117" spans="1:4" ht="15.75">
      <c r="A117" s="98" t="s">
        <v>121</v>
      </c>
      <c r="B117" s="93"/>
      <c r="C117" s="93"/>
      <c r="D117" s="93"/>
    </row>
    <row r="118" spans="1:4" ht="15.75">
      <c r="A118" s="98" t="s">
        <v>114</v>
      </c>
      <c r="B118" s="93"/>
      <c r="C118" s="93"/>
      <c r="D118" s="93"/>
    </row>
    <row r="119" spans="1:4" ht="15.75">
      <c r="A119" s="98" t="s">
        <v>115</v>
      </c>
      <c r="B119" s="93"/>
      <c r="C119" s="93"/>
      <c r="D119" s="93"/>
    </row>
    <row r="120" spans="1:4" ht="15.75">
      <c r="A120" s="98" t="s">
        <v>116</v>
      </c>
      <c r="B120" s="93"/>
      <c r="C120" s="93"/>
      <c r="D120" s="93"/>
    </row>
    <row r="121" spans="1:4" ht="15.75">
      <c r="A121" s="98"/>
      <c r="B121" s="93"/>
      <c r="C121" s="93"/>
      <c r="D121" s="93"/>
    </row>
    <row r="122" spans="1:4" ht="15.75">
      <c r="A122" s="89" t="s">
        <v>78</v>
      </c>
      <c r="B122" s="95">
        <f>SUM(B117:B121)</f>
        <v>0</v>
      </c>
      <c r="C122" s="95">
        <f>SUM(C117:C121)</f>
        <v>0</v>
      </c>
      <c r="D122" s="95">
        <f>SUM(D117:D121)</f>
        <v>0</v>
      </c>
    </row>
    <row r="123" spans="1:4" ht="15.75">
      <c r="A123" s="99"/>
      <c r="B123" s="79"/>
      <c r="C123" s="79"/>
      <c r="D123" s="79"/>
    </row>
    <row r="124" spans="1:4" ht="15.75">
      <c r="A124" s="98" t="s">
        <v>121</v>
      </c>
      <c r="B124" s="93"/>
      <c r="C124" s="93"/>
      <c r="D124" s="93"/>
    </row>
    <row r="125" spans="1:4" ht="15.75">
      <c r="A125" s="98" t="s">
        <v>114</v>
      </c>
      <c r="B125" s="93"/>
      <c r="C125" s="93"/>
      <c r="D125" s="93"/>
    </row>
    <row r="126" spans="1:4" ht="15.75">
      <c r="A126" s="98" t="s">
        <v>115</v>
      </c>
      <c r="B126" s="93"/>
      <c r="C126" s="93"/>
      <c r="D126" s="93"/>
    </row>
    <row r="127" spans="1:4" ht="15.75">
      <c r="A127" s="98" t="s">
        <v>116</v>
      </c>
      <c r="B127" s="93"/>
      <c r="C127" s="93"/>
      <c r="D127" s="93"/>
    </row>
    <row r="128" spans="1:4" ht="15.75">
      <c r="A128" s="98"/>
      <c r="B128" s="93"/>
      <c r="C128" s="93"/>
      <c r="D128" s="93"/>
    </row>
    <row r="129" spans="1:4" ht="15.75">
      <c r="A129" s="89" t="s">
        <v>78</v>
      </c>
      <c r="B129" s="95">
        <f>SUM(B124:B128)</f>
        <v>0</v>
      </c>
      <c r="C129" s="95">
        <f>SUM(C124:C128)</f>
        <v>0</v>
      </c>
      <c r="D129" s="104">
        <f>SUM(D124:D128)</f>
        <v>0</v>
      </c>
    </row>
    <row r="130" spans="1:4" ht="15.75">
      <c r="A130" s="89"/>
      <c r="B130" s="79"/>
      <c r="C130" s="79"/>
      <c r="D130" s="79"/>
    </row>
    <row r="131" spans="1:4" ht="15.75">
      <c r="A131" s="27" t="s">
        <v>392</v>
      </c>
      <c r="B131" s="105">
        <f>B81+B88+B95+B101+B108+B115+B122+B129</f>
        <v>0</v>
      </c>
      <c r="C131" s="105">
        <f>C81+C88+C95+C101+C108+C115+C122+C129</f>
        <v>0</v>
      </c>
      <c r="D131" s="105">
        <f>D81+D88+D95+D101+D108+D115+D122+D129</f>
        <v>0</v>
      </c>
    </row>
    <row r="132" spans="1:4" ht="15.75">
      <c r="A132" s="89" t="s">
        <v>391</v>
      </c>
      <c r="B132" s="95">
        <f>B65</f>
        <v>0</v>
      </c>
      <c r="C132" s="95">
        <f>C65</f>
        <v>0</v>
      </c>
      <c r="D132" s="95">
        <f>D65</f>
        <v>0</v>
      </c>
    </row>
    <row r="133" spans="1:4" ht="16.5" thickBot="1">
      <c r="A133" s="89" t="s">
        <v>393</v>
      </c>
      <c r="B133" s="100">
        <f>SUM(B131:B132)</f>
        <v>0</v>
      </c>
      <c r="C133" s="100">
        <f>SUM(C131:C132)</f>
        <v>0</v>
      </c>
      <c r="D133" s="100">
        <f>SUM(D131:D132)</f>
        <v>0</v>
      </c>
    </row>
    <row r="134" spans="1:4" ht="16.5" thickTop="1">
      <c r="A134" s="101" t="s">
        <v>48</v>
      </c>
      <c r="B134" s="79"/>
      <c r="C134" s="79"/>
      <c r="D134" s="79"/>
    </row>
    <row r="135" spans="1:4" ht="15.75">
      <c r="A135" s="136" t="s">
        <v>120</v>
      </c>
      <c r="B135" s="102" t="s">
        <v>389</v>
      </c>
      <c r="C135" s="79"/>
      <c r="D135" s="79"/>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42" customWidth="1"/>
    <col min="2" max="16384" width="8.8984375" style="42" customWidth="1"/>
  </cols>
  <sheetData>
    <row r="1" ht="18.75">
      <c r="A1" s="194" t="s">
        <v>348</v>
      </c>
    </row>
    <row r="2" ht="15.75">
      <c r="A2" s="1"/>
    </row>
    <row r="3" ht="57" customHeight="1">
      <c r="A3" s="195" t="s">
        <v>349</v>
      </c>
    </row>
    <row r="4" ht="15.75">
      <c r="A4" s="193"/>
    </row>
    <row r="5" ht="15.75">
      <c r="A5" s="1"/>
    </row>
    <row r="6" ht="44.25" customHeight="1">
      <c r="A6" s="195" t="s">
        <v>350</v>
      </c>
    </row>
    <row r="7" ht="15.75">
      <c r="A7" s="1"/>
    </row>
    <row r="8" ht="15.75">
      <c r="A8" s="193"/>
    </row>
    <row r="9" ht="46.5" customHeight="1">
      <c r="A9" s="195" t="s">
        <v>351</v>
      </c>
    </row>
    <row r="10" ht="15.75">
      <c r="A10" s="1"/>
    </row>
    <row r="11" ht="15.75">
      <c r="A11" s="193"/>
    </row>
    <row r="12" ht="60" customHeight="1">
      <c r="A12" s="195" t="s">
        <v>352</v>
      </c>
    </row>
    <row r="13" ht="15.75">
      <c r="A13" s="1"/>
    </row>
    <row r="14" ht="15.75">
      <c r="A14" s="1"/>
    </row>
    <row r="15" ht="61.5" customHeight="1">
      <c r="A15" s="195" t="s">
        <v>353</v>
      </c>
    </row>
    <row r="16" ht="15.75">
      <c r="A16" s="1"/>
    </row>
    <row r="17" ht="15.75">
      <c r="A17" s="1"/>
    </row>
    <row r="18" ht="59.25" customHeight="1">
      <c r="A18" s="195" t="s">
        <v>354</v>
      </c>
    </row>
    <row r="19" ht="15.75">
      <c r="A19" s="1"/>
    </row>
    <row r="20" ht="15.75">
      <c r="A20" s="1"/>
    </row>
    <row r="21" ht="61.5" customHeight="1">
      <c r="A21" s="195" t="s">
        <v>355</v>
      </c>
    </row>
    <row r="22" ht="15.75">
      <c r="A22" s="193"/>
    </row>
    <row r="23" ht="15.75">
      <c r="A23" s="193"/>
    </row>
    <row r="24" ht="63" customHeight="1">
      <c r="A24" s="195" t="s">
        <v>356</v>
      </c>
    </row>
    <row r="25" ht="15.75">
      <c r="A25" s="1"/>
    </row>
    <row r="26" ht="15.75">
      <c r="A26" s="1"/>
    </row>
    <row r="27" ht="52.5" customHeight="1">
      <c r="A27" s="206" t="s">
        <v>782</v>
      </c>
    </row>
    <row r="28" ht="15.75">
      <c r="A28" s="1"/>
    </row>
    <row r="29" ht="15.75">
      <c r="A29" s="1"/>
    </row>
    <row r="30" ht="44.25" customHeight="1">
      <c r="A30" s="195" t="s">
        <v>357</v>
      </c>
    </row>
    <row r="31" ht="15.75">
      <c r="A31" s="1"/>
    </row>
    <row r="32" ht="15.75">
      <c r="A32" s="1"/>
    </row>
    <row r="33" ht="42.75" customHeight="1">
      <c r="A33" s="195" t="s">
        <v>358</v>
      </c>
    </row>
    <row r="34" ht="15.75">
      <c r="A34" s="193"/>
    </row>
    <row r="35" ht="15.75">
      <c r="A35" s="193"/>
    </row>
    <row r="36" ht="38.25" customHeight="1">
      <c r="A36" s="195" t="s">
        <v>359</v>
      </c>
    </row>
    <row r="37" ht="15.75">
      <c r="A37" s="193"/>
    </row>
    <row r="38" ht="15.75">
      <c r="A38" s="1"/>
    </row>
    <row r="39" ht="75.75" customHeight="1">
      <c r="A39" s="195" t="s">
        <v>360</v>
      </c>
    </row>
    <row r="40" ht="15.75">
      <c r="A40" s="1"/>
    </row>
    <row r="41" ht="15.75">
      <c r="A41" s="1"/>
    </row>
    <row r="42" ht="57.75" customHeight="1">
      <c r="A42" s="195" t="s">
        <v>361</v>
      </c>
    </row>
    <row r="43" ht="15.75">
      <c r="A43" s="193"/>
    </row>
    <row r="44" ht="15.75">
      <c r="A44" s="1"/>
    </row>
    <row r="45" ht="57.75" customHeight="1">
      <c r="A45" s="195" t="s">
        <v>362</v>
      </c>
    </row>
    <row r="46" ht="15.75">
      <c r="A46" s="1"/>
    </row>
    <row r="47" ht="15.75">
      <c r="A47" s="1"/>
    </row>
    <row r="48" ht="41.25" customHeight="1">
      <c r="A48" s="195" t="s">
        <v>363</v>
      </c>
    </row>
    <row r="49" ht="15.75">
      <c r="A49" s="1"/>
    </row>
    <row r="50" ht="15.75">
      <c r="A50" s="1"/>
    </row>
    <row r="51" ht="75" customHeight="1">
      <c r="A51" s="195" t="s">
        <v>364</v>
      </c>
    </row>
    <row r="52" ht="15.75">
      <c r="A52" s="193"/>
    </row>
    <row r="53" ht="15.75">
      <c r="A53" s="193"/>
    </row>
    <row r="54" ht="57.75" customHeight="1">
      <c r="A54" s="195" t="s">
        <v>365</v>
      </c>
    </row>
    <row r="55" ht="15.75">
      <c r="A55" s="1"/>
    </row>
    <row r="56" ht="15.75">
      <c r="A56" s="1"/>
    </row>
    <row r="57" ht="44.25" customHeight="1">
      <c r="A57" s="195" t="s">
        <v>366</v>
      </c>
    </row>
    <row r="58" ht="15.75">
      <c r="A58" s="1"/>
    </row>
    <row r="59" ht="15.75">
      <c r="A59" s="1"/>
    </row>
    <row r="60" ht="60" customHeight="1">
      <c r="A60" s="195" t="s">
        <v>367</v>
      </c>
    </row>
    <row r="61" ht="15.75">
      <c r="A61" s="193"/>
    </row>
    <row r="62" ht="15.75">
      <c r="A62" s="193"/>
    </row>
    <row r="63" ht="57.75" customHeight="1">
      <c r="A63" s="195" t="s">
        <v>368</v>
      </c>
    </row>
    <row r="64" ht="15.75">
      <c r="A64" s="1"/>
    </row>
    <row r="65" ht="15.75">
      <c r="A65" s="1"/>
    </row>
    <row r="66" ht="60" customHeight="1">
      <c r="A66" s="195" t="s">
        <v>369</v>
      </c>
    </row>
  </sheetData>
  <sheetProtection sheet="1" objects="1" scenarios="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65" t="s">
        <v>233</v>
      </c>
      <c r="B1" s="765"/>
      <c r="C1" s="765"/>
      <c r="D1" s="765"/>
      <c r="E1" s="765"/>
      <c r="F1" s="765"/>
      <c r="G1" s="765"/>
    </row>
    <row r="2" spans="1:7" ht="16.5" customHeight="1">
      <c r="A2" s="765"/>
      <c r="B2" s="765"/>
      <c r="C2" s="765"/>
      <c r="D2" s="765"/>
      <c r="E2" s="765"/>
      <c r="F2" s="765"/>
      <c r="G2" s="765"/>
    </row>
    <row r="3" spans="1:7" ht="16.5" customHeight="1">
      <c r="A3" s="766"/>
      <c r="B3" s="766"/>
      <c r="C3" s="766"/>
      <c r="D3" s="766"/>
      <c r="E3" s="766"/>
      <c r="F3" s="766"/>
      <c r="G3" s="766"/>
    </row>
    <row r="4" spans="1:7" ht="16.5" customHeight="1">
      <c r="A4" s="763" t="str">
        <f>CONCATENATE("AN ORDINANCE ATTESTING TO AN INCREASE IN TAX REVENUES FOR BUDGET YEAR ",inputPrYr!C5," FOR THE ",(inputPrYr!$D$2))</f>
        <v>AN ORDINANCE ATTESTING TO AN INCREASE IN TAX REVENUES FOR BUDGET YEAR 2012 FOR THE Kansas City</v>
      </c>
      <c r="B4" s="763"/>
      <c r="C4" s="763"/>
      <c r="D4" s="763"/>
      <c r="E4" s="763"/>
      <c r="F4" s="763"/>
      <c r="G4" s="763"/>
    </row>
    <row r="5" spans="1:7" ht="16.5" customHeight="1">
      <c r="A5" s="763"/>
      <c r="B5" s="763"/>
      <c r="C5" s="763"/>
      <c r="D5" s="763"/>
      <c r="E5" s="763"/>
      <c r="F5" s="763"/>
      <c r="G5" s="763"/>
    </row>
    <row r="6" spans="1:7" ht="16.5" customHeight="1">
      <c r="A6" s="765"/>
      <c r="B6" s="765"/>
      <c r="C6" s="765"/>
      <c r="D6" s="765"/>
      <c r="E6" s="765"/>
      <c r="F6" s="765"/>
      <c r="G6" s="765"/>
    </row>
    <row r="7" spans="1:14" ht="16.5" customHeight="1">
      <c r="A7" s="763" t="str">
        <f>CONCATENATE("WHEREAS, the ",(inputPrYr!$D$2)," must continue to provide services to protect the health, safety, and welfare of the citizens of this community; and")</f>
        <v>WHEREAS, the Kansas City must continue to provide services to protect the health, safety, and welfare of the citizens of this community; and</v>
      </c>
      <c r="B7" s="763"/>
      <c r="C7" s="763"/>
      <c r="D7" s="763"/>
      <c r="E7" s="763"/>
      <c r="F7" s="763"/>
      <c r="G7" s="763"/>
      <c r="H7" s="2"/>
      <c r="I7" s="2"/>
      <c r="J7" s="2"/>
      <c r="K7" s="2"/>
      <c r="L7" s="2"/>
      <c r="M7" s="2"/>
      <c r="N7" s="2"/>
    </row>
    <row r="8" spans="1:14" ht="16.5" customHeight="1">
      <c r="A8" s="763"/>
      <c r="B8" s="763"/>
      <c r="C8" s="763"/>
      <c r="D8" s="763"/>
      <c r="E8" s="763"/>
      <c r="F8" s="763"/>
      <c r="G8" s="763"/>
      <c r="H8" s="2"/>
      <c r="I8" s="2"/>
      <c r="J8" s="2"/>
      <c r="K8" s="2"/>
      <c r="L8" s="2"/>
      <c r="M8" s="2"/>
      <c r="N8" s="2"/>
    </row>
    <row r="9" spans="1:7" ht="16.5" customHeight="1">
      <c r="A9" s="3"/>
      <c r="B9" s="3"/>
      <c r="C9" s="3"/>
      <c r="D9" s="3"/>
      <c r="E9" s="3"/>
      <c r="F9" s="3"/>
      <c r="G9" s="3"/>
    </row>
    <row r="10" spans="1:7" ht="16.5" customHeight="1">
      <c r="A10" s="763" t="s">
        <v>234</v>
      </c>
      <c r="B10" s="763"/>
      <c r="C10" s="763"/>
      <c r="D10" s="763"/>
      <c r="E10" s="763"/>
      <c r="F10" s="763"/>
      <c r="G10" s="763"/>
    </row>
    <row r="11" spans="1:7" ht="16.5" customHeight="1">
      <c r="A11" s="763"/>
      <c r="B11" s="763"/>
      <c r="C11" s="763"/>
      <c r="D11" s="763"/>
      <c r="E11" s="763"/>
      <c r="F11" s="763"/>
      <c r="G11" s="763"/>
    </row>
    <row r="12" spans="1:7" ht="16.5" customHeight="1">
      <c r="A12" s="3"/>
      <c r="B12" s="3"/>
      <c r="C12" s="3"/>
      <c r="D12" s="3"/>
      <c r="E12" s="3"/>
      <c r="F12" s="3"/>
      <c r="G12" s="3"/>
    </row>
    <row r="13" spans="1:14" ht="16.5" customHeight="1">
      <c r="A13" s="763" t="str">
        <f>CONCATENATE("NOW THEREFORE, be it ordained by the Governing Body of the ",(inputPrYr!$D$2),":")</f>
        <v>NOW THEREFORE, be it ordained by the Governing Body of the Kansas City:</v>
      </c>
      <c r="B13" s="763"/>
      <c r="C13" s="763"/>
      <c r="D13" s="763"/>
      <c r="E13" s="763"/>
      <c r="F13" s="763"/>
      <c r="G13" s="763"/>
      <c r="H13" s="2"/>
      <c r="I13" s="2"/>
      <c r="J13" s="2"/>
      <c r="K13" s="2"/>
      <c r="L13" s="2"/>
      <c r="M13" s="2"/>
      <c r="N13" s="2"/>
    </row>
    <row r="14" spans="1:14" ht="16.5" customHeight="1">
      <c r="A14" s="763"/>
      <c r="B14" s="763"/>
      <c r="C14" s="763"/>
      <c r="D14" s="763"/>
      <c r="E14" s="763"/>
      <c r="F14" s="763"/>
      <c r="G14" s="763"/>
      <c r="H14" s="2"/>
      <c r="I14" s="2"/>
      <c r="J14" s="2"/>
      <c r="K14" s="2"/>
      <c r="L14" s="2"/>
      <c r="M14" s="2"/>
      <c r="N14" s="2"/>
    </row>
    <row r="15" spans="1:14" ht="16.5" customHeight="1">
      <c r="A15" s="76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Kansas City  has scheduled a public hearing and has prepared the proposed budget necessary to fund city services from January 1, 2012 until December 31, 2012.</v>
      </c>
      <c r="B15" s="763"/>
      <c r="C15" s="763"/>
      <c r="D15" s="763"/>
      <c r="E15" s="763"/>
      <c r="F15" s="763"/>
      <c r="G15" s="763"/>
      <c r="H15" s="2"/>
      <c r="I15" s="2"/>
      <c r="J15" s="2"/>
      <c r="K15" s="2"/>
      <c r="L15" s="2"/>
      <c r="M15" s="2"/>
      <c r="N15" s="2"/>
    </row>
    <row r="16" spans="1:14" ht="16.5" customHeight="1">
      <c r="A16" s="763"/>
      <c r="B16" s="763"/>
      <c r="C16" s="763"/>
      <c r="D16" s="763"/>
      <c r="E16" s="763"/>
      <c r="F16" s="763"/>
      <c r="G16" s="763"/>
      <c r="H16" s="2"/>
      <c r="I16" s="2"/>
      <c r="J16" s="2"/>
      <c r="K16" s="2"/>
      <c r="L16" s="2"/>
      <c r="M16" s="2"/>
      <c r="N16" s="2"/>
    </row>
    <row r="17" spans="1:14" ht="16.5" customHeight="1">
      <c r="A17" s="763"/>
      <c r="B17" s="763"/>
      <c r="C17" s="763"/>
      <c r="D17" s="763"/>
      <c r="E17" s="763"/>
      <c r="F17" s="763"/>
      <c r="G17" s="763"/>
      <c r="H17" s="2"/>
      <c r="I17" s="2"/>
      <c r="J17" s="2"/>
      <c r="K17" s="2"/>
      <c r="L17" s="2"/>
      <c r="M17" s="2"/>
      <c r="N17" s="2"/>
    </row>
    <row r="18" spans="1:7" ht="16.5" customHeight="1">
      <c r="A18" s="2"/>
      <c r="B18" s="2"/>
      <c r="C18" s="2"/>
      <c r="D18" s="2"/>
      <c r="E18" s="2"/>
      <c r="F18" s="2"/>
      <c r="G18" s="2"/>
    </row>
    <row r="19" spans="1:7" ht="16.5" customHeight="1">
      <c r="A19" s="764" t="s">
        <v>294</v>
      </c>
      <c r="B19" s="764"/>
      <c r="C19" s="764"/>
      <c r="D19" s="764"/>
      <c r="E19" s="764"/>
      <c r="F19" s="764"/>
      <c r="G19" s="764"/>
    </row>
    <row r="20" spans="1:7" ht="16.5" customHeight="1">
      <c r="A20" s="764" t="s">
        <v>295</v>
      </c>
      <c r="B20" s="764"/>
      <c r="C20" s="764"/>
      <c r="D20" s="764"/>
      <c r="E20" s="764"/>
      <c r="F20" s="764"/>
      <c r="G20" s="764"/>
    </row>
    <row r="21" spans="1:7" ht="16.5" customHeight="1">
      <c r="A21" s="764" t="str">
        <f>CONCATENATE("necessary to budget property tax revenues in an amount exceeding the levy in the ",inputPrYr!C5-1,"")</f>
        <v>necessary to budget property tax revenues in an amount exceeding the levy in the 2011</v>
      </c>
      <c r="B21" s="764"/>
      <c r="C21" s="764"/>
      <c r="D21" s="764"/>
      <c r="E21" s="764"/>
      <c r="F21" s="764"/>
      <c r="G21" s="764"/>
    </row>
    <row r="22" spans="1:7" ht="16.5" customHeight="1">
      <c r="A22" s="4" t="s">
        <v>296</v>
      </c>
      <c r="B22" s="4"/>
      <c r="C22" s="4"/>
      <c r="D22" s="4"/>
      <c r="E22" s="4"/>
      <c r="F22" s="4"/>
      <c r="G22" s="4"/>
    </row>
    <row r="23" spans="1:7" ht="16.5" customHeight="1">
      <c r="A23" s="2"/>
      <c r="B23" s="2"/>
      <c r="C23" s="2"/>
      <c r="D23" s="2"/>
      <c r="E23" s="2"/>
      <c r="F23" s="2"/>
      <c r="G23" s="2"/>
    </row>
    <row r="24" spans="1:7" ht="16.5" customHeight="1">
      <c r="A24" s="763" t="s">
        <v>235</v>
      </c>
      <c r="B24" s="763"/>
      <c r="C24" s="763"/>
      <c r="D24" s="763"/>
      <c r="E24" s="763"/>
      <c r="F24" s="763"/>
      <c r="G24" s="763"/>
    </row>
    <row r="25" spans="1:7" ht="16.5" customHeight="1">
      <c r="A25" s="763"/>
      <c r="B25" s="763"/>
      <c r="C25" s="763"/>
      <c r="D25" s="763"/>
      <c r="E25" s="763"/>
      <c r="F25" s="763"/>
      <c r="G25" s="763"/>
    </row>
    <row r="26" spans="1:7" ht="16.5" customHeight="1">
      <c r="A26" s="2"/>
      <c r="B26" s="2"/>
      <c r="C26" s="2"/>
      <c r="D26" s="2"/>
      <c r="E26" s="2"/>
      <c r="F26" s="2"/>
      <c r="G26" s="2"/>
    </row>
    <row r="27" spans="1:7" ht="16.5" customHeight="1">
      <c r="A27" s="763" t="str">
        <f>CONCATENATE("Passed and approved by the Governing Body on this ______ day of __________, ",inputPrYr!C5-1,".")</f>
        <v>Passed and approved by the Governing Body on this ______ day of __________, 2011.</v>
      </c>
      <c r="B27" s="763"/>
      <c r="C27" s="763"/>
      <c r="D27" s="763"/>
      <c r="E27" s="763"/>
      <c r="F27" s="763"/>
      <c r="G27" s="763"/>
    </row>
    <row r="28" spans="1:7" ht="16.5" customHeight="1">
      <c r="A28" s="763"/>
      <c r="B28" s="763"/>
      <c r="C28" s="763"/>
      <c r="D28" s="763"/>
      <c r="E28" s="763"/>
      <c r="F28" s="763"/>
      <c r="G28" s="763"/>
    </row>
    <row r="29" ht="16.5" customHeight="1"/>
    <row r="30" spans="1:7" ht="16.5" customHeight="1">
      <c r="A30" s="762" t="s">
        <v>236</v>
      </c>
      <c r="B30" s="762"/>
      <c r="C30" s="762"/>
      <c r="D30" s="762"/>
      <c r="E30" s="762"/>
      <c r="F30" s="762"/>
      <c r="G30" s="762"/>
    </row>
    <row r="31" spans="1:7" ht="16.5" customHeight="1">
      <c r="A31" s="762" t="s">
        <v>241</v>
      </c>
      <c r="B31" s="762"/>
      <c r="C31" s="762"/>
      <c r="D31" s="762"/>
      <c r="E31" s="762"/>
      <c r="F31" s="762"/>
      <c r="G31" s="762"/>
    </row>
    <row r="32" ht="16.5" customHeight="1">
      <c r="A32" s="1" t="s">
        <v>237</v>
      </c>
    </row>
    <row r="33" ht="16.5" customHeight="1">
      <c r="B33" s="1" t="s">
        <v>238</v>
      </c>
    </row>
    <row r="34" ht="16.5" customHeight="1"/>
    <row r="35" ht="16.5" customHeight="1"/>
    <row r="36" ht="16.5" customHeight="1">
      <c r="A36" s="1" t="s">
        <v>239</v>
      </c>
    </row>
    <row r="37" ht="16.5" customHeight="1"/>
    <row r="38" ht="16.5" customHeight="1"/>
    <row r="39" ht="16.5" customHeight="1"/>
    <row r="40" ht="16.5" customHeight="1">
      <c r="A40" s="1" t="s">
        <v>240</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24.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6">
      <selection activeCell="H15" sqref="H15"/>
    </sheetView>
  </sheetViews>
  <sheetFormatPr defaultColWidth="8.796875" defaultRowHeight="15"/>
  <cols>
    <col min="1" max="1" width="75.796875" style="6" customWidth="1"/>
    <col min="2" max="16384" width="8.8984375" style="6" customWidth="1"/>
  </cols>
  <sheetData>
    <row r="1" ht="15.75">
      <c r="A1" s="5" t="s">
        <v>245</v>
      </c>
    </row>
    <row r="3" ht="39.75" customHeight="1">
      <c r="A3" s="7" t="s">
        <v>309</v>
      </c>
    </row>
    <row r="4" ht="15.75">
      <c r="A4" s="8"/>
    </row>
    <row r="5" ht="49.5" customHeight="1">
      <c r="A5" s="9" t="s">
        <v>9</v>
      </c>
    </row>
    <row r="6" ht="15.75">
      <c r="A6" s="9"/>
    </row>
    <row r="7" ht="66.75" customHeight="1">
      <c r="A7" s="9" t="s">
        <v>790</v>
      </c>
    </row>
    <row r="8" ht="15.75">
      <c r="A8" s="9"/>
    </row>
    <row r="9" ht="32.25" customHeight="1">
      <c r="A9" s="9" t="s">
        <v>310</v>
      </c>
    </row>
    <row r="11" ht="51" customHeight="1">
      <c r="A11" s="9" t="s">
        <v>66</v>
      </c>
    </row>
    <row r="13" ht="15.75">
      <c r="A13" s="5" t="s">
        <v>19</v>
      </c>
    </row>
    <row r="14" ht="15.75">
      <c r="A14" s="5"/>
    </row>
    <row r="15" ht="15.75">
      <c r="A15" s="8" t="s">
        <v>20</v>
      </c>
    </row>
    <row r="17" ht="37.5" customHeight="1">
      <c r="A17" s="10" t="s">
        <v>336</v>
      </c>
    </row>
    <row r="18" ht="9" customHeight="1">
      <c r="A18" s="10"/>
    </row>
    <row r="20" ht="15.75">
      <c r="A20" s="5" t="s">
        <v>72</v>
      </c>
    </row>
    <row r="22" ht="36" customHeight="1">
      <c r="A22" s="9" t="s">
        <v>311</v>
      </c>
    </row>
    <row r="23" ht="15.75">
      <c r="A23" s="9"/>
    </row>
    <row r="24" ht="15.75">
      <c r="A24" s="11" t="s">
        <v>312</v>
      </c>
    </row>
    <row r="25" ht="12" customHeight="1">
      <c r="A25" s="9"/>
    </row>
    <row r="26" ht="15.75">
      <c r="A26" s="12" t="s">
        <v>226</v>
      </c>
    </row>
    <row r="27" ht="15.75">
      <c r="A27" s="13"/>
    </row>
    <row r="28" ht="84.75" customHeight="1">
      <c r="A28" s="14" t="s">
        <v>2</v>
      </c>
    </row>
    <row r="29" ht="12.75" customHeight="1">
      <c r="A29" s="15"/>
    </row>
    <row r="30" ht="15.75">
      <c r="A30" s="16" t="s">
        <v>313</v>
      </c>
    </row>
    <row r="31" ht="15.75">
      <c r="A31" s="15"/>
    </row>
    <row r="32" ht="15.75">
      <c r="A32" s="17" t="s">
        <v>18</v>
      </c>
    </row>
    <row r="33" ht="15.75">
      <c r="A33" s="15"/>
    </row>
    <row r="34" ht="15.75">
      <c r="A34" s="9" t="s">
        <v>164</v>
      </c>
    </row>
    <row r="36" ht="15.75">
      <c r="A36" s="5" t="s">
        <v>165</v>
      </c>
    </row>
    <row r="38" ht="66.75" customHeight="1">
      <c r="A38" s="9" t="s">
        <v>749</v>
      </c>
    </row>
    <row r="39" ht="35.25" customHeight="1">
      <c r="A39" s="9" t="s">
        <v>247</v>
      </c>
    </row>
    <row r="40" ht="53.25" customHeight="1">
      <c r="A40" s="18" t="s">
        <v>314</v>
      </c>
    </row>
    <row r="42" ht="84" customHeight="1">
      <c r="A42" s="9" t="s">
        <v>750</v>
      </c>
    </row>
    <row r="43" ht="53.25" customHeight="1">
      <c r="A43" s="9" t="s">
        <v>315</v>
      </c>
    </row>
    <row r="44" ht="102" customHeight="1">
      <c r="A44" s="9" t="s">
        <v>67</v>
      </c>
    </row>
    <row r="45" ht="15.75" customHeight="1">
      <c r="A45" s="9"/>
    </row>
    <row r="46" ht="73.5" customHeight="1">
      <c r="A46" s="132" t="s">
        <v>751</v>
      </c>
    </row>
    <row r="47" ht="69.75" customHeight="1">
      <c r="A47" s="133" t="s">
        <v>627</v>
      </c>
    </row>
    <row r="48" ht="15.75" customHeight="1">
      <c r="A48" s="9"/>
    </row>
    <row r="49" ht="69.75" customHeight="1">
      <c r="A49" s="9" t="s">
        <v>628</v>
      </c>
    </row>
    <row r="50" ht="37.5" customHeight="1">
      <c r="A50" s="9" t="s">
        <v>629</v>
      </c>
    </row>
    <row r="51" ht="69" customHeight="1">
      <c r="A51" s="9" t="s">
        <v>630</v>
      </c>
    </row>
    <row r="53" ht="84.75" customHeight="1">
      <c r="A53" s="9" t="s">
        <v>631</v>
      </c>
    </row>
    <row r="54" ht="116.25" customHeight="1">
      <c r="A54" s="9" t="s">
        <v>632</v>
      </c>
    </row>
    <row r="55" ht="38.25" customHeight="1">
      <c r="A55" s="9" t="s">
        <v>633</v>
      </c>
    </row>
    <row r="56" ht="15.75">
      <c r="A56" s="9"/>
    </row>
    <row r="57" ht="68.25" customHeight="1">
      <c r="A57" s="9" t="s">
        <v>634</v>
      </c>
    </row>
    <row r="58" ht="15.75">
      <c r="A58" s="9"/>
    </row>
    <row r="59" ht="66.75" customHeight="1">
      <c r="A59" s="9" t="s">
        <v>635</v>
      </c>
    </row>
    <row r="60" ht="37.5" customHeight="1">
      <c r="A60" s="9" t="s">
        <v>649</v>
      </c>
    </row>
    <row r="61" ht="91.5" customHeight="1">
      <c r="A61" s="9" t="s">
        <v>650</v>
      </c>
    </row>
    <row r="62" ht="47.25" customHeight="1">
      <c r="A62" s="108" t="s">
        <v>651</v>
      </c>
    </row>
    <row r="64" s="9" customFormat="1" ht="66.75" customHeight="1">
      <c r="A64" s="9" t="s">
        <v>636</v>
      </c>
    </row>
    <row r="66" ht="67.5" customHeight="1">
      <c r="A66" s="9" t="s">
        <v>637</v>
      </c>
    </row>
    <row r="68" ht="95.25" customHeight="1">
      <c r="A68" s="9" t="s">
        <v>791</v>
      </c>
    </row>
    <row r="69" ht="95.25" customHeight="1">
      <c r="A69" s="190" t="s">
        <v>752</v>
      </c>
    </row>
    <row r="70" ht="75" customHeight="1">
      <c r="A70" s="190" t="s">
        <v>753</v>
      </c>
    </row>
    <row r="71" ht="137.25" customHeight="1">
      <c r="A71" s="9" t="s">
        <v>754</v>
      </c>
    </row>
    <row r="72" ht="114.75" customHeight="1">
      <c r="A72" s="9" t="s">
        <v>755</v>
      </c>
    </row>
    <row r="73" ht="135" customHeight="1">
      <c r="A73" s="9" t="s">
        <v>756</v>
      </c>
    </row>
    <row r="74" ht="141.75" customHeight="1">
      <c r="A74" s="9" t="s">
        <v>757</v>
      </c>
    </row>
    <row r="75" ht="117" customHeight="1">
      <c r="A75" s="9" t="s">
        <v>758</v>
      </c>
    </row>
    <row r="76" ht="45" customHeight="1">
      <c r="A76" s="9" t="s">
        <v>759</v>
      </c>
    </row>
    <row r="77" ht="86.25" customHeight="1">
      <c r="A77" s="9" t="s">
        <v>760</v>
      </c>
    </row>
    <row r="78" ht="129.75" customHeight="1">
      <c r="A78" s="9" t="s">
        <v>761</v>
      </c>
    </row>
    <row r="79" ht="110.25" customHeight="1">
      <c r="A79" s="191" t="s">
        <v>762</v>
      </c>
    </row>
    <row r="80" ht="117" customHeight="1">
      <c r="A80" s="192" t="s">
        <v>763</v>
      </c>
    </row>
    <row r="81" ht="72" customHeight="1">
      <c r="A81" s="131" t="s">
        <v>764</v>
      </c>
    </row>
    <row r="82" ht="20.25" customHeight="1"/>
    <row r="83" ht="125.25" customHeight="1">
      <c r="A83" s="9" t="s">
        <v>638</v>
      </c>
    </row>
    <row r="84" ht="134.25" customHeight="1">
      <c r="A84" s="9" t="s">
        <v>639</v>
      </c>
    </row>
    <row r="85" ht="59.25" customHeight="1">
      <c r="A85" s="9" t="s">
        <v>640</v>
      </c>
    </row>
    <row r="86" ht="30.75" customHeight="1">
      <c r="A86" s="9" t="s">
        <v>641</v>
      </c>
    </row>
    <row r="87" ht="15" customHeight="1"/>
    <row r="88" ht="36.75" customHeight="1">
      <c r="A88" s="9" t="s">
        <v>642</v>
      </c>
    </row>
    <row r="89" ht="34.5" customHeight="1">
      <c r="A89" s="134" t="s">
        <v>644</v>
      </c>
    </row>
    <row r="90" ht="99.75" customHeight="1">
      <c r="A90" s="190" t="s">
        <v>765</v>
      </c>
    </row>
    <row r="91" ht="34.5" customHeight="1">
      <c r="A91" s="190" t="s">
        <v>766</v>
      </c>
    </row>
    <row r="92" ht="85.5" customHeight="1">
      <c r="A92" s="190" t="s">
        <v>767</v>
      </c>
    </row>
    <row r="93" ht="91.5" customHeight="1">
      <c r="A93" s="190" t="s">
        <v>768</v>
      </c>
    </row>
    <row r="94" ht="58.5" customHeight="1">
      <c r="A94" s="134" t="s">
        <v>769</v>
      </c>
    </row>
    <row r="95" ht="66" customHeight="1">
      <c r="A95" s="134" t="s">
        <v>770</v>
      </c>
    </row>
    <row r="96" ht="16.5" customHeight="1">
      <c r="A96" s="9"/>
    </row>
    <row r="97" ht="72.75" customHeight="1">
      <c r="A97" s="9" t="s">
        <v>643</v>
      </c>
    </row>
    <row r="99" ht="69" customHeight="1">
      <c r="A99" s="190" t="s">
        <v>771</v>
      </c>
    </row>
    <row r="100" ht="110.25" customHeight="1">
      <c r="A100" s="190" t="s">
        <v>772</v>
      </c>
    </row>
    <row r="101" ht="132" customHeight="1">
      <c r="A101" s="190" t="s">
        <v>773</v>
      </c>
    </row>
  </sheetData>
  <sheetProtection sheet="1"/>
  <printOptions/>
  <pageMargins left="0.5" right="0.5" top="0.5" bottom="0.5" header="0.5" footer="0"/>
  <pageSetup blackAndWhite="1" fitToHeight="2" horizontalDpi="300" verticalDpi="300" orientation="portrait" scale="90" r:id="rId1"/>
</worksheet>
</file>

<file path=xl/worksheets/sheet25.xml><?xml version="1.0" encoding="utf-8"?>
<worksheet xmlns="http://schemas.openxmlformats.org/spreadsheetml/2006/main" xmlns:r="http://schemas.openxmlformats.org/officeDocument/2006/relationships">
  <dimension ref="A1:A65"/>
  <sheetViews>
    <sheetView zoomScalePageLayoutView="0" workbookViewId="0" topLeftCell="A25">
      <selection activeCell="A3" sqref="A3"/>
    </sheetView>
  </sheetViews>
  <sheetFormatPr defaultColWidth="8.796875" defaultRowHeight="15"/>
  <cols>
    <col min="1" max="1" width="70.59765625" style="196" customWidth="1"/>
    <col min="2" max="16384" width="8.8984375" style="196" customWidth="1"/>
  </cols>
  <sheetData>
    <row r="1" ht="18.75">
      <c r="A1" s="197" t="s">
        <v>370</v>
      </c>
    </row>
    <row r="2" ht="18.75">
      <c r="A2" s="197"/>
    </row>
    <row r="3" ht="18.75">
      <c r="A3" s="197"/>
    </row>
    <row r="4" ht="51.75" customHeight="1">
      <c r="A4" s="207" t="s">
        <v>777</v>
      </c>
    </row>
    <row r="5" ht="18.75">
      <c r="A5" s="197"/>
    </row>
    <row r="6" ht="15.75">
      <c r="A6" s="198"/>
    </row>
    <row r="7" ht="47.25">
      <c r="A7" s="199" t="s">
        <v>371</v>
      </c>
    </row>
    <row r="8" ht="15.75">
      <c r="A8" s="198"/>
    </row>
    <row r="9" ht="15.75">
      <c r="A9" s="198"/>
    </row>
    <row r="10" ht="63">
      <c r="A10" s="199" t="s">
        <v>372</v>
      </c>
    </row>
    <row r="11" ht="15.75">
      <c r="A11" s="200"/>
    </row>
    <row r="12" ht="15.75">
      <c r="A12" s="198"/>
    </row>
    <row r="13" ht="47.25">
      <c r="A13" s="199" t="s">
        <v>373</v>
      </c>
    </row>
    <row r="14" ht="15.75">
      <c r="A14" s="200"/>
    </row>
    <row r="15" ht="15.75">
      <c r="A15" s="198"/>
    </row>
    <row r="16" ht="47.25">
      <c r="A16" s="199" t="s">
        <v>374</v>
      </c>
    </row>
    <row r="17" ht="15.75">
      <c r="A17" s="200"/>
    </row>
    <row r="18" ht="15.75">
      <c r="A18" s="200"/>
    </row>
    <row r="19" ht="47.25">
      <c r="A19" s="199" t="s">
        <v>375</v>
      </c>
    </row>
    <row r="20" ht="15.75">
      <c r="A20" s="200"/>
    </row>
    <row r="21" ht="15.75">
      <c r="A21" s="200"/>
    </row>
    <row r="22" ht="47.25">
      <c r="A22" s="199" t="s">
        <v>376</v>
      </c>
    </row>
    <row r="23" ht="15.75">
      <c r="A23" s="200"/>
    </row>
    <row r="24" ht="15.75">
      <c r="A24" s="200"/>
    </row>
    <row r="25" ht="31.5">
      <c r="A25" s="199" t="s">
        <v>377</v>
      </c>
    </row>
    <row r="26" ht="15.75">
      <c r="A26" s="198"/>
    </row>
    <row r="27" ht="15.75">
      <c r="A27" s="198"/>
    </row>
    <row r="28" ht="60">
      <c r="A28" s="201" t="s">
        <v>378</v>
      </c>
    </row>
    <row r="29" ht="15">
      <c r="A29" s="202"/>
    </row>
    <row r="30" ht="15">
      <c r="A30" s="202"/>
    </row>
    <row r="31" ht="47.25">
      <c r="A31" s="199" t="s">
        <v>379</v>
      </c>
    </row>
    <row r="32" ht="15.75">
      <c r="A32" s="198"/>
    </row>
    <row r="33" ht="15.75">
      <c r="A33" s="198"/>
    </row>
    <row r="34" ht="66.75" customHeight="1">
      <c r="A34" s="206" t="s">
        <v>778</v>
      </c>
    </row>
    <row r="35" ht="15.75">
      <c r="A35" s="198"/>
    </row>
    <row r="36" ht="15.75">
      <c r="A36" s="198"/>
    </row>
    <row r="37" ht="63">
      <c r="A37" s="203" t="s">
        <v>380</v>
      </c>
    </row>
    <row r="38" ht="15.75">
      <c r="A38" s="200"/>
    </row>
    <row r="39" ht="15.75">
      <c r="A39" s="198"/>
    </row>
    <row r="40" ht="63">
      <c r="A40" s="199" t="s">
        <v>381</v>
      </c>
    </row>
    <row r="41" ht="15.75">
      <c r="A41" s="200"/>
    </row>
    <row r="42" ht="15.75">
      <c r="A42" s="200"/>
    </row>
    <row r="43" ht="82.5" customHeight="1">
      <c r="A43" s="195" t="s">
        <v>779</v>
      </c>
    </row>
    <row r="44" ht="15.75">
      <c r="A44" s="200"/>
    </row>
    <row r="45" ht="15.75">
      <c r="A45" s="200"/>
    </row>
    <row r="46" ht="69" customHeight="1">
      <c r="A46" s="195" t="s">
        <v>780</v>
      </c>
    </row>
    <row r="47" ht="15.75">
      <c r="A47" s="200"/>
    </row>
    <row r="48" ht="15.75">
      <c r="A48" s="200"/>
    </row>
    <row r="49" ht="69" customHeight="1">
      <c r="A49" s="195" t="s">
        <v>781</v>
      </c>
    </row>
    <row r="50" ht="15.75">
      <c r="A50" s="200"/>
    </row>
    <row r="51" ht="15.75">
      <c r="A51" s="200"/>
    </row>
    <row r="52" ht="63">
      <c r="A52" s="199" t="s">
        <v>382</v>
      </c>
    </row>
    <row r="53" ht="15.75">
      <c r="A53" s="200"/>
    </row>
    <row r="54" ht="15.75">
      <c r="A54" s="200"/>
    </row>
    <row r="55" ht="63">
      <c r="A55" s="199" t="s">
        <v>383</v>
      </c>
    </row>
    <row r="56" ht="15.75">
      <c r="A56" s="200"/>
    </row>
    <row r="57" ht="15.75">
      <c r="A57" s="200"/>
    </row>
    <row r="58" ht="47.25">
      <c r="A58" s="199" t="s">
        <v>384</v>
      </c>
    </row>
    <row r="59" ht="15.75">
      <c r="A59" s="200"/>
    </row>
    <row r="60" ht="15.75">
      <c r="A60" s="200"/>
    </row>
    <row r="61" ht="47.25">
      <c r="A61" s="199" t="s">
        <v>385</v>
      </c>
    </row>
    <row r="62" ht="15.75">
      <c r="A62" s="200"/>
    </row>
    <row r="63" ht="15.75">
      <c r="A63" s="200"/>
    </row>
    <row r="64" ht="78.75">
      <c r="A64" s="199" t="s">
        <v>386</v>
      </c>
    </row>
    <row r="65" ht="15">
      <c r="A65" s="204"/>
    </row>
  </sheetData>
  <sheetProtection sheet="1" objects="1" scenarios="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2:F26"/>
  <sheetViews>
    <sheetView zoomScalePageLayoutView="0" workbookViewId="0" topLeftCell="A1">
      <selection activeCell="G9" sqref="G9"/>
    </sheetView>
  </sheetViews>
  <sheetFormatPr defaultColWidth="8.796875" defaultRowHeight="15"/>
  <cols>
    <col min="1" max="1" width="13.796875" style="0" customWidth="1"/>
    <col min="2" max="2" width="16.09765625" style="0" customWidth="1"/>
  </cols>
  <sheetData>
    <row r="2" spans="1:6" ht="54" customHeight="1">
      <c r="A2" s="699" t="s">
        <v>407</v>
      </c>
      <c r="B2" s="700"/>
      <c r="C2" s="700"/>
      <c r="D2" s="700"/>
      <c r="E2" s="700"/>
      <c r="F2" s="700"/>
    </row>
    <row r="4" spans="1:2" ht="15.75">
      <c r="A4" s="110" t="s">
        <v>786</v>
      </c>
      <c r="B4" s="112"/>
    </row>
    <row r="5" spans="1:6" ht="15.75">
      <c r="A5" s="109"/>
      <c r="B5" s="109"/>
      <c r="C5" s="109"/>
      <c r="D5" s="111"/>
      <c r="E5" s="109"/>
      <c r="F5" s="109"/>
    </row>
    <row r="6" spans="1:6" ht="15.75">
      <c r="A6" s="110" t="s">
        <v>408</v>
      </c>
      <c r="B6" s="112"/>
      <c r="C6" s="113"/>
      <c r="D6" s="110" t="s">
        <v>803</v>
      </c>
      <c r="E6" s="109"/>
      <c r="F6" s="109"/>
    </row>
    <row r="7" spans="1:6" ht="15.75">
      <c r="A7" s="110"/>
      <c r="B7" s="114"/>
      <c r="C7" s="115"/>
      <c r="D7" s="110" t="s">
        <v>802</v>
      </c>
      <c r="E7" s="109"/>
      <c r="F7" s="109"/>
    </row>
    <row r="8" spans="1:6" ht="15.75">
      <c r="A8" s="110" t="s">
        <v>409</v>
      </c>
      <c r="B8" s="112"/>
      <c r="C8" s="116"/>
      <c r="D8" s="110"/>
      <c r="E8" s="109"/>
      <c r="F8" s="109"/>
    </row>
    <row r="9" spans="1:6" ht="15.75">
      <c r="A9" s="110"/>
      <c r="B9" s="110"/>
      <c r="C9" s="110"/>
      <c r="D9" s="110"/>
      <c r="E9" s="109"/>
      <c r="F9" s="109"/>
    </row>
    <row r="10" spans="1:6" ht="15.75">
      <c r="A10" s="110" t="s">
        <v>410</v>
      </c>
      <c r="B10" s="117"/>
      <c r="C10" s="117"/>
      <c r="D10" s="117"/>
      <c r="E10" s="118"/>
      <c r="F10" s="109"/>
    </row>
    <row r="11" spans="1:6" ht="15.75">
      <c r="A11" s="110"/>
      <c r="B11" s="110"/>
      <c r="C11" s="110"/>
      <c r="D11" s="110"/>
      <c r="E11" s="109"/>
      <c r="F11" s="109"/>
    </row>
    <row r="12" spans="1:6" ht="15.75">
      <c r="A12" s="110"/>
      <c r="B12" s="110"/>
      <c r="C12" s="110"/>
      <c r="D12" s="110"/>
      <c r="E12" s="109"/>
      <c r="F12" s="109"/>
    </row>
    <row r="13" spans="1:6" ht="15.75">
      <c r="A13" s="110" t="s">
        <v>411</v>
      </c>
      <c r="B13" s="117"/>
      <c r="C13" s="117"/>
      <c r="D13" s="117"/>
      <c r="E13" s="118"/>
      <c r="F13" s="109"/>
    </row>
    <row r="16" spans="1:6" ht="15.75">
      <c r="A16" s="701" t="s">
        <v>412</v>
      </c>
      <c r="B16" s="701"/>
      <c r="C16" s="110"/>
      <c r="D16" s="110"/>
      <c r="E16" s="110"/>
      <c r="F16" s="109"/>
    </row>
    <row r="17" spans="1:6" ht="15.75">
      <c r="A17" s="110"/>
      <c r="B17" s="110"/>
      <c r="C17" s="110"/>
      <c r="D17" s="110"/>
      <c r="E17" s="110"/>
      <c r="F17" s="109"/>
    </row>
    <row r="18" spans="1:6" ht="15.75">
      <c r="A18" s="110" t="s">
        <v>786</v>
      </c>
      <c r="B18" s="110" t="s">
        <v>787</v>
      </c>
      <c r="C18" s="110"/>
      <c r="D18" s="110"/>
      <c r="E18" s="110"/>
      <c r="F18" s="109"/>
    </row>
    <row r="19" spans="1:6" ht="15.75">
      <c r="A19" s="110"/>
      <c r="B19" s="110"/>
      <c r="C19" s="110"/>
      <c r="D19" s="110"/>
      <c r="E19" s="110"/>
      <c r="F19" s="109"/>
    </row>
    <row r="20" spans="1:5" ht="15.75">
      <c r="A20" s="110" t="s">
        <v>408</v>
      </c>
      <c r="B20" s="114" t="s">
        <v>413</v>
      </c>
      <c r="C20" s="110"/>
      <c r="D20" s="110"/>
      <c r="E20" s="110"/>
    </row>
    <row r="21" spans="1:5" ht="15.75">
      <c r="A21" s="110"/>
      <c r="B21" s="110"/>
      <c r="C21" s="110"/>
      <c r="D21" s="110"/>
      <c r="E21" s="110"/>
    </row>
    <row r="22" spans="1:5" ht="15.75">
      <c r="A22" s="110" t="s">
        <v>409</v>
      </c>
      <c r="B22" s="110" t="s">
        <v>414</v>
      </c>
      <c r="C22" s="110"/>
      <c r="D22" s="110"/>
      <c r="E22" s="110"/>
    </row>
    <row r="23" spans="1:5" ht="15.75">
      <c r="A23" s="110"/>
      <c r="B23" s="110"/>
      <c r="C23" s="110"/>
      <c r="D23" s="110"/>
      <c r="E23" s="110"/>
    </row>
    <row r="24" spans="1:5" ht="15.75">
      <c r="A24" s="110" t="s">
        <v>410</v>
      </c>
      <c r="B24" s="110" t="s">
        <v>415</v>
      </c>
      <c r="C24" s="110"/>
      <c r="D24" s="110"/>
      <c r="E24" s="110"/>
    </row>
    <row r="25" spans="1:5" ht="15.75">
      <c r="A25" s="110"/>
      <c r="B25" s="110"/>
      <c r="C25" s="110"/>
      <c r="D25" s="110"/>
      <c r="E25" s="110"/>
    </row>
    <row r="26" spans="1:5" ht="15.75">
      <c r="A26" s="110" t="s">
        <v>411</v>
      </c>
      <c r="B26" s="110" t="s">
        <v>415</v>
      </c>
      <c r="C26" s="110"/>
      <c r="D26" s="110"/>
      <c r="E26" s="110"/>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121" t="s">
        <v>420</v>
      </c>
      <c r="B3" s="121"/>
      <c r="C3" s="121"/>
      <c r="D3" s="121"/>
      <c r="E3" s="121"/>
      <c r="F3" s="121"/>
      <c r="G3" s="121"/>
      <c r="H3" s="121"/>
      <c r="I3" s="121"/>
      <c r="J3" s="121"/>
      <c r="K3" s="121"/>
      <c r="L3" s="121"/>
    </row>
    <row r="5" ht="15">
      <c r="A5" s="122" t="s">
        <v>421</v>
      </c>
    </row>
    <row r="6" ht="15">
      <c r="A6" s="122" t="str">
        <f>CONCATENATE(inputPrYr!C5-2," 'total expenditures' exceed your ",inputPrYr!C5-2," 'budget authority.'")</f>
        <v>2010 'total expenditures' exceed your 2010 'budget authority.'</v>
      </c>
    </row>
    <row r="7" ht="15">
      <c r="A7" s="122"/>
    </row>
    <row r="8" ht="15">
      <c r="A8" s="122" t="s">
        <v>422</v>
      </c>
    </row>
    <row r="9" ht="15">
      <c r="A9" s="122" t="s">
        <v>423</v>
      </c>
    </row>
    <row r="10" ht="15">
      <c r="A10" s="122" t="s">
        <v>424</v>
      </c>
    </row>
    <row r="11" ht="15">
      <c r="A11" s="122"/>
    </row>
    <row r="12" ht="15">
      <c r="A12" s="122"/>
    </row>
    <row r="13" ht="15">
      <c r="A13" s="123" t="s">
        <v>425</v>
      </c>
    </row>
    <row r="15" ht="15">
      <c r="A15" s="122" t="s">
        <v>426</v>
      </c>
    </row>
    <row r="16" ht="15">
      <c r="A16" s="122" t="str">
        <f>CONCATENATE("(i.e. an audit has not been completed, or the ",inputPrYr!C5," adopted")</f>
        <v>(i.e. an audit has not been completed, or the 2012 adopted</v>
      </c>
    </row>
    <row r="17" ht="15">
      <c r="A17" s="122" t="s">
        <v>427</v>
      </c>
    </row>
    <row r="18" ht="15">
      <c r="A18" s="122" t="s">
        <v>428</v>
      </c>
    </row>
    <row r="19" ht="15">
      <c r="A19" s="122" t="s">
        <v>429</v>
      </c>
    </row>
    <row r="21" ht="15">
      <c r="A21" s="123" t="s">
        <v>430</v>
      </c>
    </row>
    <row r="22" ht="15">
      <c r="A22" s="123"/>
    </row>
    <row r="23" ht="15">
      <c r="A23" s="122" t="s">
        <v>431</v>
      </c>
    </row>
    <row r="24" ht="15">
      <c r="A24" s="122" t="s">
        <v>432</v>
      </c>
    </row>
    <row r="25" ht="15">
      <c r="A25" s="122" t="str">
        <f>CONCATENATE("particular fund.  If your ",inputPrYr!C5-2," budget was amended, did you")</f>
        <v>particular fund.  If your 2010 budget was amended, did you</v>
      </c>
    </row>
    <row r="26" ht="15">
      <c r="A26" s="122" t="s">
        <v>433</v>
      </c>
    </row>
    <row r="27" ht="15">
      <c r="A27" s="122"/>
    </row>
    <row r="28" ht="15">
      <c r="A28" s="122" t="str">
        <f>CONCATENATE("Next, look to see if any of your ",inputPrYr!C5-2," expenditures can be")</f>
        <v>Next, look to see if any of your 2010 expenditures can be</v>
      </c>
    </row>
    <row r="29" ht="15">
      <c r="A29" s="122" t="s">
        <v>434</v>
      </c>
    </row>
    <row r="30" ht="15">
      <c r="A30" s="122" t="s">
        <v>435</v>
      </c>
    </row>
    <row r="31" ht="15">
      <c r="A31" s="122" t="s">
        <v>436</v>
      </c>
    </row>
    <row r="32" ht="15">
      <c r="A32" s="122"/>
    </row>
    <row r="33" ht="15">
      <c r="A33" s="122" t="str">
        <f>CONCATENATE("Additionally, do your ",inputPrYr!C5-2," receipts contain a reimbursement")</f>
        <v>Additionally, do your 2010 receipts contain a reimbursement</v>
      </c>
    </row>
    <row r="34" ht="15">
      <c r="A34" s="122" t="s">
        <v>437</v>
      </c>
    </row>
    <row r="35" ht="15">
      <c r="A35" s="122" t="s">
        <v>438</v>
      </c>
    </row>
    <row r="36" ht="15">
      <c r="A36" s="122"/>
    </row>
    <row r="37" ht="15">
      <c r="A37" s="122" t="s">
        <v>439</v>
      </c>
    </row>
    <row r="38" ht="15">
      <c r="A38" s="122" t="s">
        <v>440</v>
      </c>
    </row>
    <row r="39" ht="15">
      <c r="A39" s="122" t="s">
        <v>441</v>
      </c>
    </row>
    <row r="40" ht="15">
      <c r="A40" s="122" t="s">
        <v>442</v>
      </c>
    </row>
    <row r="41" ht="15">
      <c r="A41" s="122" t="s">
        <v>443</v>
      </c>
    </row>
    <row r="42" ht="15">
      <c r="A42" s="122" t="s">
        <v>444</v>
      </c>
    </row>
    <row r="43" ht="15">
      <c r="A43" s="122" t="s">
        <v>445</v>
      </c>
    </row>
    <row r="44" ht="15">
      <c r="A44" s="122" t="s">
        <v>446</v>
      </c>
    </row>
    <row r="45" ht="15">
      <c r="A45" s="122"/>
    </row>
    <row r="46" ht="15">
      <c r="A46" s="122" t="s">
        <v>447</v>
      </c>
    </row>
    <row r="47" ht="15">
      <c r="A47" s="122" t="s">
        <v>448</v>
      </c>
    </row>
    <row r="48" ht="15">
      <c r="A48" s="122" t="s">
        <v>449</v>
      </c>
    </row>
    <row r="49" ht="15">
      <c r="A49" s="122"/>
    </row>
    <row r="50" ht="15">
      <c r="A50" s="122" t="s">
        <v>450</v>
      </c>
    </row>
    <row r="51" ht="15">
      <c r="A51" s="122" t="s">
        <v>451</v>
      </c>
    </row>
    <row r="52" ht="15">
      <c r="A52" s="122" t="s">
        <v>452</v>
      </c>
    </row>
    <row r="53" ht="15">
      <c r="A53" s="122"/>
    </row>
    <row r="54" ht="15">
      <c r="A54" s="123" t="s">
        <v>453</v>
      </c>
    </row>
    <row r="55" ht="15">
      <c r="A55" s="122"/>
    </row>
    <row r="56" ht="15">
      <c r="A56" s="122" t="s">
        <v>454</v>
      </c>
    </row>
    <row r="57" ht="15">
      <c r="A57" s="122" t="s">
        <v>455</v>
      </c>
    </row>
    <row r="58" ht="15">
      <c r="A58" s="122" t="s">
        <v>456</v>
      </c>
    </row>
    <row r="59" ht="15">
      <c r="A59" s="122" t="s">
        <v>457</v>
      </c>
    </row>
    <row r="60" ht="15">
      <c r="A60" s="122" t="s">
        <v>458</v>
      </c>
    </row>
    <row r="61" ht="15">
      <c r="A61" s="122" t="s">
        <v>459</v>
      </c>
    </row>
    <row r="62" ht="15">
      <c r="A62" s="122" t="s">
        <v>460</v>
      </c>
    </row>
    <row r="63" ht="15">
      <c r="A63" s="122" t="s">
        <v>461</v>
      </c>
    </row>
    <row r="64" ht="15">
      <c r="A64" s="122" t="s">
        <v>462</v>
      </c>
    </row>
    <row r="65" ht="15">
      <c r="A65" s="122" t="s">
        <v>463</v>
      </c>
    </row>
    <row r="66" ht="15">
      <c r="A66" s="122" t="s">
        <v>464</v>
      </c>
    </row>
    <row r="67" ht="15">
      <c r="A67" s="122" t="s">
        <v>465</v>
      </c>
    </row>
    <row r="68" ht="15">
      <c r="A68" s="122" t="s">
        <v>466</v>
      </c>
    </row>
    <row r="69" ht="15">
      <c r="A69" s="122"/>
    </row>
    <row r="70" ht="15">
      <c r="A70" s="122" t="s">
        <v>467</v>
      </c>
    </row>
    <row r="71" ht="15">
      <c r="A71" s="122" t="s">
        <v>468</v>
      </c>
    </row>
    <row r="72" ht="15">
      <c r="A72" s="122" t="s">
        <v>469</v>
      </c>
    </row>
    <row r="73" ht="15">
      <c r="A73" s="122"/>
    </row>
    <row r="74" ht="15">
      <c r="A74" s="123" t="str">
        <f>CONCATENATE("What if the ",inputPrYr!C5-2," financial records have been closed?")</f>
        <v>What if the 2010 financial records have been closed?</v>
      </c>
    </row>
    <row r="76" ht="15">
      <c r="A76" s="122" t="s">
        <v>470</v>
      </c>
    </row>
    <row r="77" ht="15">
      <c r="A77" s="122" t="str">
        <f>CONCATENATE("(i.e. an audit for ",inputPrYr!C5-2," has been completed, or the ",inputPrYr!C5)</f>
        <v>(i.e. an audit for 2010 has been completed, or the 2012</v>
      </c>
    </row>
    <row r="78" ht="15">
      <c r="A78" s="122" t="s">
        <v>471</v>
      </c>
    </row>
    <row r="79" ht="15">
      <c r="A79" s="122" t="s">
        <v>472</v>
      </c>
    </row>
    <row r="80" ht="15">
      <c r="A80" s="122"/>
    </row>
    <row r="81" ht="15">
      <c r="A81" s="122" t="s">
        <v>473</v>
      </c>
    </row>
    <row r="82" ht="15">
      <c r="A82" s="122" t="s">
        <v>474</v>
      </c>
    </row>
    <row r="83" ht="15">
      <c r="A83" s="122" t="s">
        <v>475</v>
      </c>
    </row>
    <row r="84" ht="15">
      <c r="A84" s="122"/>
    </row>
    <row r="85" ht="15">
      <c r="A85" s="122" t="s">
        <v>476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121" t="s">
        <v>477</v>
      </c>
      <c r="B3" s="121"/>
      <c r="C3" s="121"/>
      <c r="D3" s="121"/>
      <c r="E3" s="121"/>
      <c r="F3" s="121"/>
      <c r="G3" s="121"/>
      <c r="H3" s="124"/>
      <c r="I3" s="124"/>
      <c r="J3" s="124"/>
    </row>
    <row r="5" ht="15">
      <c r="A5" s="122" t="s">
        <v>478</v>
      </c>
    </row>
    <row r="6" ht="15">
      <c r="A6" t="str">
        <f>CONCATENATE(inputPrYr!C5-2," expenditures show that you finished the year with a ")</f>
        <v>2010 expenditures show that you finished the year with a </v>
      </c>
    </row>
    <row r="7" ht="15">
      <c r="A7" t="s">
        <v>479</v>
      </c>
    </row>
    <row r="9" ht="15">
      <c r="A9" t="s">
        <v>480</v>
      </c>
    </row>
    <row r="10" ht="15">
      <c r="A10" t="s">
        <v>481</v>
      </c>
    </row>
    <row r="11" ht="15">
      <c r="A11" t="s">
        <v>482</v>
      </c>
    </row>
    <row r="13" ht="15">
      <c r="A13" s="123" t="s">
        <v>483</v>
      </c>
    </row>
    <row r="14" ht="15">
      <c r="A14" s="123"/>
    </row>
    <row r="15" ht="15">
      <c r="A15" s="122" t="s">
        <v>484</v>
      </c>
    </row>
    <row r="16" ht="15">
      <c r="A16" s="122" t="s">
        <v>485</v>
      </c>
    </row>
    <row r="17" ht="15">
      <c r="A17" s="122" t="s">
        <v>486</v>
      </c>
    </row>
    <row r="18" ht="15">
      <c r="A18" s="122"/>
    </row>
    <row r="19" ht="15">
      <c r="A19" s="123" t="s">
        <v>487</v>
      </c>
    </row>
    <row r="20" ht="15">
      <c r="A20" s="123"/>
    </row>
    <row r="21" ht="15">
      <c r="A21" s="122" t="s">
        <v>488</v>
      </c>
    </row>
    <row r="22" ht="15">
      <c r="A22" s="122" t="s">
        <v>489</v>
      </c>
    </row>
    <row r="23" ht="15">
      <c r="A23" s="122" t="s">
        <v>490</v>
      </c>
    </row>
    <row r="24" ht="15">
      <c r="A24" s="122"/>
    </row>
    <row r="25" ht="15">
      <c r="A25" s="123" t="s">
        <v>491</v>
      </c>
    </row>
    <row r="26" ht="15">
      <c r="A26" s="123"/>
    </row>
    <row r="27" ht="15">
      <c r="A27" s="122" t="s">
        <v>492</v>
      </c>
    </row>
    <row r="28" ht="15">
      <c r="A28" s="122" t="s">
        <v>493</v>
      </c>
    </row>
    <row r="29" ht="15">
      <c r="A29" s="122" t="s">
        <v>494</v>
      </c>
    </row>
    <row r="30" ht="15">
      <c r="A30" s="122"/>
    </row>
    <row r="31" ht="15">
      <c r="A31" s="123" t="s">
        <v>495</v>
      </c>
    </row>
    <row r="32" ht="15">
      <c r="A32" s="123"/>
    </row>
    <row r="33" spans="1:8" ht="15">
      <c r="A33" s="122" t="str">
        <f>CONCATENATE("If your financial records for ",inputPrYr!C5-2," are not closed")</f>
        <v>If your financial records for 2010 are not closed</v>
      </c>
      <c r="B33" s="122"/>
      <c r="C33" s="122"/>
      <c r="D33" s="122"/>
      <c r="E33" s="122"/>
      <c r="F33" s="122"/>
      <c r="G33" s="122"/>
      <c r="H33" s="122"/>
    </row>
    <row r="34" spans="1:8" ht="15">
      <c r="A34" s="122" t="str">
        <f>CONCATENATE("(i.e. an audit has not been completed, or the ",inputPrYr!C5," adopted ")</f>
        <v>(i.e. an audit has not been completed, or the 2012 adopted </v>
      </c>
      <c r="B34" s="122"/>
      <c r="C34" s="122"/>
      <c r="D34" s="122"/>
      <c r="E34" s="122"/>
      <c r="F34" s="122"/>
      <c r="G34" s="122"/>
      <c r="H34" s="122"/>
    </row>
    <row r="35" spans="1:8" ht="15">
      <c r="A35" s="122" t="s">
        <v>496</v>
      </c>
      <c r="B35" s="122"/>
      <c r="C35" s="122"/>
      <c r="D35" s="122"/>
      <c r="E35" s="122"/>
      <c r="F35" s="122"/>
      <c r="G35" s="122"/>
      <c r="H35" s="122"/>
    </row>
    <row r="36" spans="1:8" ht="15">
      <c r="A36" s="122" t="s">
        <v>497</v>
      </c>
      <c r="B36" s="122"/>
      <c r="C36" s="122"/>
      <c r="D36" s="122"/>
      <c r="E36" s="122"/>
      <c r="F36" s="122"/>
      <c r="G36" s="122"/>
      <c r="H36" s="122"/>
    </row>
    <row r="37" spans="1:8" ht="15">
      <c r="A37" s="122" t="s">
        <v>498</v>
      </c>
      <c r="B37" s="122"/>
      <c r="C37" s="122"/>
      <c r="D37" s="122"/>
      <c r="E37" s="122"/>
      <c r="F37" s="122"/>
      <c r="G37" s="122"/>
      <c r="H37" s="122"/>
    </row>
    <row r="38" spans="1:8" ht="15">
      <c r="A38" s="122" t="s">
        <v>499</v>
      </c>
      <c r="B38" s="122"/>
      <c r="C38" s="122"/>
      <c r="D38" s="122"/>
      <c r="E38" s="122"/>
      <c r="F38" s="122"/>
      <c r="G38" s="122"/>
      <c r="H38" s="122"/>
    </row>
    <row r="39" spans="1:8" ht="15">
      <c r="A39" s="122" t="s">
        <v>500</v>
      </c>
      <c r="B39" s="122"/>
      <c r="C39" s="122"/>
      <c r="D39" s="122"/>
      <c r="E39" s="122"/>
      <c r="F39" s="122"/>
      <c r="G39" s="122"/>
      <c r="H39" s="122"/>
    </row>
    <row r="40" spans="1:8" ht="15">
      <c r="A40" s="122"/>
      <c r="B40" s="122"/>
      <c r="C40" s="122"/>
      <c r="D40" s="122"/>
      <c r="E40" s="122"/>
      <c r="F40" s="122"/>
      <c r="G40" s="122"/>
      <c r="H40" s="122"/>
    </row>
    <row r="41" spans="1:8" ht="15">
      <c r="A41" s="122" t="s">
        <v>501</v>
      </c>
      <c r="B41" s="122"/>
      <c r="C41" s="122"/>
      <c r="D41" s="122"/>
      <c r="E41" s="122"/>
      <c r="F41" s="122"/>
      <c r="G41" s="122"/>
      <c r="H41" s="122"/>
    </row>
    <row r="42" spans="1:8" ht="15">
      <c r="A42" s="122" t="s">
        <v>502</v>
      </c>
      <c r="B42" s="122"/>
      <c r="C42" s="122"/>
      <c r="D42" s="122"/>
      <c r="E42" s="122"/>
      <c r="F42" s="122"/>
      <c r="G42" s="122"/>
      <c r="H42" s="122"/>
    </row>
    <row r="43" spans="1:8" ht="15">
      <c r="A43" s="122" t="s">
        <v>503</v>
      </c>
      <c r="B43" s="122"/>
      <c r="C43" s="122"/>
      <c r="D43" s="122"/>
      <c r="E43" s="122"/>
      <c r="F43" s="122"/>
      <c r="G43" s="122"/>
      <c r="H43" s="122"/>
    </row>
    <row r="44" spans="1:8" ht="15">
      <c r="A44" s="122" t="s">
        <v>504</v>
      </c>
      <c r="B44" s="122"/>
      <c r="C44" s="122"/>
      <c r="D44" s="122"/>
      <c r="E44" s="122"/>
      <c r="F44" s="122"/>
      <c r="G44" s="122"/>
      <c r="H44" s="122"/>
    </row>
    <row r="45" spans="1:8" ht="15">
      <c r="A45" s="122"/>
      <c r="B45" s="122"/>
      <c r="C45" s="122"/>
      <c r="D45" s="122"/>
      <c r="E45" s="122"/>
      <c r="F45" s="122"/>
      <c r="G45" s="122"/>
      <c r="H45" s="122"/>
    </row>
    <row r="46" spans="1:8" ht="15">
      <c r="A46" s="122" t="s">
        <v>505</v>
      </c>
      <c r="B46" s="122"/>
      <c r="C46" s="122"/>
      <c r="D46" s="122"/>
      <c r="E46" s="122"/>
      <c r="F46" s="122"/>
      <c r="G46" s="122"/>
      <c r="H46" s="122"/>
    </row>
    <row r="47" spans="1:8" ht="15">
      <c r="A47" s="122" t="s">
        <v>506</v>
      </c>
      <c r="B47" s="122"/>
      <c r="C47" s="122"/>
      <c r="D47" s="122"/>
      <c r="E47" s="122"/>
      <c r="F47" s="122"/>
      <c r="G47" s="122"/>
      <c r="H47" s="122"/>
    </row>
    <row r="48" spans="1:8" ht="15">
      <c r="A48" s="122" t="s">
        <v>507</v>
      </c>
      <c r="B48" s="122"/>
      <c r="C48" s="122"/>
      <c r="D48" s="122"/>
      <c r="E48" s="122"/>
      <c r="F48" s="122"/>
      <c r="G48" s="122"/>
      <c r="H48" s="122"/>
    </row>
    <row r="49" spans="1:8" ht="15">
      <c r="A49" s="122" t="s">
        <v>508</v>
      </c>
      <c r="B49" s="122"/>
      <c r="C49" s="122"/>
      <c r="D49" s="122"/>
      <c r="E49" s="122"/>
      <c r="F49" s="122"/>
      <c r="G49" s="122"/>
      <c r="H49" s="122"/>
    </row>
    <row r="50" spans="1:8" ht="15">
      <c r="A50" s="122" t="s">
        <v>509</v>
      </c>
      <c r="B50" s="122"/>
      <c r="C50" s="122"/>
      <c r="D50" s="122"/>
      <c r="E50" s="122"/>
      <c r="F50" s="122"/>
      <c r="G50" s="122"/>
      <c r="H50" s="122"/>
    </row>
    <row r="51" spans="1:8" ht="15">
      <c r="A51" s="122"/>
      <c r="B51" s="122"/>
      <c r="C51" s="122"/>
      <c r="D51" s="122"/>
      <c r="E51" s="122"/>
      <c r="F51" s="122"/>
      <c r="G51" s="122"/>
      <c r="H51" s="122"/>
    </row>
    <row r="52" spans="1:8" ht="15">
      <c r="A52" s="123" t="s">
        <v>510</v>
      </c>
      <c r="B52" s="123"/>
      <c r="C52" s="123"/>
      <c r="D52" s="123"/>
      <c r="E52" s="123"/>
      <c r="F52" s="123"/>
      <c r="G52" s="123"/>
      <c r="H52" s="122"/>
    </row>
    <row r="53" spans="1:8" ht="15">
      <c r="A53" s="123" t="s">
        <v>511</v>
      </c>
      <c r="B53" s="123"/>
      <c r="C53" s="123"/>
      <c r="D53" s="123"/>
      <c r="E53" s="123"/>
      <c r="F53" s="123"/>
      <c r="G53" s="123"/>
      <c r="H53" s="122"/>
    </row>
    <row r="54" spans="1:8" ht="15">
      <c r="A54" s="122"/>
      <c r="B54" s="122"/>
      <c r="C54" s="122"/>
      <c r="D54" s="122"/>
      <c r="E54" s="122"/>
      <c r="F54" s="122"/>
      <c r="G54" s="122"/>
      <c r="H54" s="122"/>
    </row>
    <row r="55" spans="1:8" ht="15">
      <c r="A55" s="122" t="s">
        <v>512</v>
      </c>
      <c r="B55" s="122"/>
      <c r="C55" s="122"/>
      <c r="D55" s="122"/>
      <c r="E55" s="122"/>
      <c r="F55" s="122"/>
      <c r="G55" s="122"/>
      <c r="H55" s="122"/>
    </row>
    <row r="56" spans="1:8" ht="15">
      <c r="A56" s="122" t="s">
        <v>513</v>
      </c>
      <c r="B56" s="122"/>
      <c r="C56" s="122"/>
      <c r="D56" s="122"/>
      <c r="E56" s="122"/>
      <c r="F56" s="122"/>
      <c r="G56" s="122"/>
      <c r="H56" s="122"/>
    </row>
    <row r="57" spans="1:8" ht="15">
      <c r="A57" s="122" t="s">
        <v>514</v>
      </c>
      <c r="B57" s="122"/>
      <c r="C57" s="122"/>
      <c r="D57" s="122"/>
      <c r="E57" s="122"/>
      <c r="F57" s="122"/>
      <c r="G57" s="122"/>
      <c r="H57" s="122"/>
    </row>
    <row r="58" spans="1:8" ht="15">
      <c r="A58" s="122" t="s">
        <v>515</v>
      </c>
      <c r="B58" s="122"/>
      <c r="C58" s="122"/>
      <c r="D58" s="122"/>
      <c r="E58" s="122"/>
      <c r="F58" s="122"/>
      <c r="G58" s="122"/>
      <c r="H58" s="122"/>
    </row>
    <row r="59" spans="1:8" ht="15">
      <c r="A59" s="122"/>
      <c r="B59" s="122"/>
      <c r="C59" s="122"/>
      <c r="D59" s="122"/>
      <c r="E59" s="122"/>
      <c r="F59" s="122"/>
      <c r="G59" s="122"/>
      <c r="H59" s="122"/>
    </row>
    <row r="60" spans="1:8" ht="15">
      <c r="A60" s="122" t="s">
        <v>516</v>
      </c>
      <c r="B60" s="122"/>
      <c r="C60" s="122"/>
      <c r="D60" s="122"/>
      <c r="E60" s="122"/>
      <c r="F60" s="122"/>
      <c r="G60" s="122"/>
      <c r="H60" s="122"/>
    </row>
    <row r="61" spans="1:8" ht="15">
      <c r="A61" s="122" t="s">
        <v>517</v>
      </c>
      <c r="B61" s="122"/>
      <c r="C61" s="122"/>
      <c r="D61" s="122"/>
      <c r="E61" s="122"/>
      <c r="F61" s="122"/>
      <c r="G61" s="122"/>
      <c r="H61" s="122"/>
    </row>
    <row r="62" spans="1:8" ht="15">
      <c r="A62" s="122" t="s">
        <v>518</v>
      </c>
      <c r="B62" s="122"/>
      <c r="C62" s="122"/>
      <c r="D62" s="122"/>
      <c r="E62" s="122"/>
      <c r="F62" s="122"/>
      <c r="G62" s="122"/>
      <c r="H62" s="122"/>
    </row>
    <row r="63" spans="1:8" ht="15">
      <c r="A63" s="122" t="s">
        <v>519</v>
      </c>
      <c r="B63" s="122"/>
      <c r="C63" s="122"/>
      <c r="D63" s="122"/>
      <c r="E63" s="122"/>
      <c r="F63" s="122"/>
      <c r="G63" s="122"/>
      <c r="H63" s="122"/>
    </row>
    <row r="64" spans="1:8" ht="15">
      <c r="A64" s="122" t="s">
        <v>520</v>
      </c>
      <c r="B64" s="122"/>
      <c r="C64" s="122"/>
      <c r="D64" s="122"/>
      <c r="E64" s="122"/>
      <c r="F64" s="122"/>
      <c r="G64" s="122"/>
      <c r="H64" s="122"/>
    </row>
    <row r="65" spans="1:8" ht="15">
      <c r="A65" s="122" t="s">
        <v>521</v>
      </c>
      <c r="B65" s="122"/>
      <c r="C65" s="122"/>
      <c r="D65" s="122"/>
      <c r="E65" s="122"/>
      <c r="F65" s="122"/>
      <c r="G65" s="122"/>
      <c r="H65" s="122"/>
    </row>
    <row r="66" spans="1:8" ht="15">
      <c r="A66" s="122"/>
      <c r="B66" s="122"/>
      <c r="C66" s="122"/>
      <c r="D66" s="122"/>
      <c r="E66" s="122"/>
      <c r="F66" s="122"/>
      <c r="G66" s="122"/>
      <c r="H66" s="122"/>
    </row>
    <row r="67" spans="1:8" ht="15">
      <c r="A67" s="122" t="s">
        <v>522</v>
      </c>
      <c r="B67" s="122"/>
      <c r="C67" s="122"/>
      <c r="D67" s="122"/>
      <c r="E67" s="122"/>
      <c r="F67" s="122"/>
      <c r="G67" s="122"/>
      <c r="H67" s="122"/>
    </row>
    <row r="68" spans="1:8" ht="15">
      <c r="A68" s="122" t="s">
        <v>523</v>
      </c>
      <c r="B68" s="122"/>
      <c r="C68" s="122"/>
      <c r="D68" s="122"/>
      <c r="E68" s="122"/>
      <c r="F68" s="122"/>
      <c r="G68" s="122"/>
      <c r="H68" s="122"/>
    </row>
    <row r="69" spans="1:8" ht="15">
      <c r="A69" s="122" t="s">
        <v>524</v>
      </c>
      <c r="B69" s="122"/>
      <c r="C69" s="122"/>
      <c r="D69" s="122"/>
      <c r="E69" s="122"/>
      <c r="F69" s="122"/>
      <c r="G69" s="122"/>
      <c r="H69" s="122"/>
    </row>
    <row r="70" spans="1:8" ht="15">
      <c r="A70" s="122" t="s">
        <v>525</v>
      </c>
      <c r="B70" s="122"/>
      <c r="C70" s="122"/>
      <c r="D70" s="122"/>
      <c r="E70" s="122"/>
      <c r="F70" s="122"/>
      <c r="G70" s="122"/>
      <c r="H70" s="122"/>
    </row>
    <row r="71" spans="1:8" ht="15">
      <c r="A71" s="122" t="s">
        <v>526</v>
      </c>
      <c r="B71" s="122"/>
      <c r="C71" s="122"/>
      <c r="D71" s="122"/>
      <c r="E71" s="122"/>
      <c r="F71" s="122"/>
      <c r="G71" s="122"/>
      <c r="H71" s="122"/>
    </row>
    <row r="72" spans="1:8" ht="15">
      <c r="A72" s="122" t="s">
        <v>527</v>
      </c>
      <c r="B72" s="122"/>
      <c r="C72" s="122"/>
      <c r="D72" s="122"/>
      <c r="E72" s="122"/>
      <c r="F72" s="122"/>
      <c r="G72" s="122"/>
      <c r="H72" s="122"/>
    </row>
    <row r="73" spans="1:8" ht="15">
      <c r="A73" s="122" t="s">
        <v>528</v>
      </c>
      <c r="B73" s="122"/>
      <c r="C73" s="122"/>
      <c r="D73" s="122"/>
      <c r="E73" s="122"/>
      <c r="F73" s="122"/>
      <c r="G73" s="122"/>
      <c r="H73" s="122"/>
    </row>
    <row r="74" spans="1:8" ht="15">
      <c r="A74" s="122"/>
      <c r="B74" s="122"/>
      <c r="C74" s="122"/>
      <c r="D74" s="122"/>
      <c r="E74" s="122"/>
      <c r="F74" s="122"/>
      <c r="G74" s="122"/>
      <c r="H74" s="122"/>
    </row>
    <row r="75" spans="1:8" ht="15">
      <c r="A75" s="122" t="s">
        <v>529</v>
      </c>
      <c r="B75" s="122"/>
      <c r="C75" s="122"/>
      <c r="D75" s="122"/>
      <c r="E75" s="122"/>
      <c r="F75" s="122"/>
      <c r="G75" s="122"/>
      <c r="H75" s="122"/>
    </row>
    <row r="76" spans="1:8" ht="15">
      <c r="A76" s="122" t="s">
        <v>530</v>
      </c>
      <c r="B76" s="122"/>
      <c r="C76" s="122"/>
      <c r="D76" s="122"/>
      <c r="E76" s="122"/>
      <c r="F76" s="122"/>
      <c r="G76" s="122"/>
      <c r="H76" s="122"/>
    </row>
    <row r="77" spans="1:8" ht="15">
      <c r="A77" s="122" t="s">
        <v>531</v>
      </c>
      <c r="B77" s="122"/>
      <c r="C77" s="122"/>
      <c r="D77" s="122"/>
      <c r="E77" s="122"/>
      <c r="F77" s="122"/>
      <c r="G77" s="122"/>
      <c r="H77" s="122"/>
    </row>
    <row r="78" spans="1:8" ht="15">
      <c r="A78" s="122"/>
      <c r="B78" s="122"/>
      <c r="C78" s="122"/>
      <c r="D78" s="122"/>
      <c r="E78" s="122"/>
      <c r="F78" s="122"/>
      <c r="G78" s="122"/>
      <c r="H78" s="122"/>
    </row>
    <row r="79" ht="15">
      <c r="A79" s="122" t="s">
        <v>476</v>
      </c>
    </row>
    <row r="80" ht="15">
      <c r="A80" s="123"/>
    </row>
    <row r="81" ht="15">
      <c r="A81" s="122"/>
    </row>
    <row r="82" ht="15">
      <c r="A82" s="122"/>
    </row>
    <row r="83" ht="15">
      <c r="A83" s="122"/>
    </row>
    <row r="84" ht="15">
      <c r="A84" s="122"/>
    </row>
    <row r="85" ht="15">
      <c r="A85" s="122"/>
    </row>
    <row r="86" ht="15">
      <c r="A86" s="122"/>
    </row>
    <row r="87" ht="15">
      <c r="A87" s="122"/>
    </row>
    <row r="88" ht="15">
      <c r="A88" s="122"/>
    </row>
    <row r="89" ht="15">
      <c r="A89" s="122"/>
    </row>
    <row r="90" ht="15">
      <c r="A90" s="122"/>
    </row>
    <row r="91" ht="15">
      <c r="A91" s="122"/>
    </row>
    <row r="92" ht="15">
      <c r="A92" s="122"/>
    </row>
    <row r="93" ht="15">
      <c r="A93" s="122"/>
    </row>
    <row r="94" ht="15">
      <c r="A94" s="122"/>
    </row>
    <row r="95" ht="15">
      <c r="A95" s="122"/>
    </row>
    <row r="96" ht="15">
      <c r="A96" s="122"/>
    </row>
    <row r="97" ht="15">
      <c r="A97" s="122"/>
    </row>
    <row r="98" ht="15">
      <c r="A98" s="122"/>
    </row>
    <row r="99" ht="15">
      <c r="A99" s="122"/>
    </row>
    <row r="100" ht="15">
      <c r="A100" s="122"/>
    </row>
    <row r="101" ht="15">
      <c r="A101" s="122"/>
    </row>
    <row r="103" ht="15">
      <c r="A103" s="122"/>
    </row>
    <row r="104" ht="15">
      <c r="A104" s="122"/>
    </row>
    <row r="105" ht="15">
      <c r="A105" s="122"/>
    </row>
    <row r="107" ht="15">
      <c r="A107" s="123"/>
    </row>
    <row r="108" ht="15">
      <c r="A108" s="123"/>
    </row>
    <row r="109" ht="15">
      <c r="A109" s="12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0">
      <selection activeCell="A3" sqref="A3"/>
    </sheetView>
  </sheetViews>
  <sheetFormatPr defaultColWidth="8.796875" defaultRowHeight="15"/>
  <cols>
    <col min="1" max="1" width="71.296875" style="0" customWidth="1"/>
  </cols>
  <sheetData>
    <row r="3" spans="1:12" ht="15">
      <c r="A3" s="121" t="s">
        <v>532</v>
      </c>
      <c r="B3" s="121"/>
      <c r="C3" s="121"/>
      <c r="D3" s="121"/>
      <c r="E3" s="121"/>
      <c r="F3" s="121"/>
      <c r="G3" s="121"/>
      <c r="H3" s="121"/>
      <c r="I3" s="121"/>
      <c r="J3" s="121"/>
      <c r="K3" s="121"/>
      <c r="L3" s="121"/>
    </row>
    <row r="4" spans="1:12" ht="15">
      <c r="A4" s="121"/>
      <c r="B4" s="121"/>
      <c r="C4" s="121"/>
      <c r="D4" s="121"/>
      <c r="E4" s="121"/>
      <c r="F4" s="121"/>
      <c r="G4" s="121"/>
      <c r="H4" s="121"/>
      <c r="I4" s="121"/>
      <c r="J4" s="121"/>
      <c r="K4" s="121"/>
      <c r="L4" s="121"/>
    </row>
    <row r="5" spans="1:12" ht="15">
      <c r="A5" s="122" t="s">
        <v>421</v>
      </c>
      <c r="I5" s="121"/>
      <c r="J5" s="121"/>
      <c r="K5" s="121"/>
      <c r="L5" s="121"/>
    </row>
    <row r="6" spans="1:12" ht="15">
      <c r="A6" s="122" t="str">
        <f>CONCATENATE("estimated ",inputPrYr!C5-1," 'total expenditures' exceed your ",inputPrYr!C5-1,"")</f>
        <v>estimated 2011 'total expenditures' exceed your 2011</v>
      </c>
      <c r="I6" s="121"/>
      <c r="J6" s="121"/>
      <c r="K6" s="121"/>
      <c r="L6" s="121"/>
    </row>
    <row r="7" spans="1:12" ht="15">
      <c r="A7" s="125" t="s">
        <v>533</v>
      </c>
      <c r="I7" s="121"/>
      <c r="J7" s="121"/>
      <c r="K7" s="121"/>
      <c r="L7" s="121"/>
    </row>
    <row r="8" spans="1:12" ht="15">
      <c r="A8" s="122"/>
      <c r="I8" s="121"/>
      <c r="J8" s="121"/>
      <c r="K8" s="121"/>
      <c r="L8" s="121"/>
    </row>
    <row r="9" spans="1:12" ht="15">
      <c r="A9" s="122" t="s">
        <v>534</v>
      </c>
      <c r="I9" s="121"/>
      <c r="J9" s="121"/>
      <c r="K9" s="121"/>
      <c r="L9" s="121"/>
    </row>
    <row r="10" spans="1:12" ht="15">
      <c r="A10" s="122" t="s">
        <v>535</v>
      </c>
      <c r="I10" s="121"/>
      <c r="J10" s="121"/>
      <c r="K10" s="121"/>
      <c r="L10" s="121"/>
    </row>
    <row r="11" spans="1:12" ht="15">
      <c r="A11" s="122" t="s">
        <v>536</v>
      </c>
      <c r="I11" s="121"/>
      <c r="J11" s="121"/>
      <c r="K11" s="121"/>
      <c r="L11" s="121"/>
    </row>
    <row r="12" spans="1:12" ht="15">
      <c r="A12" s="122" t="s">
        <v>537</v>
      </c>
      <c r="I12" s="121"/>
      <c r="J12" s="121"/>
      <c r="K12" s="121"/>
      <c r="L12" s="121"/>
    </row>
    <row r="13" spans="1:12" ht="15">
      <c r="A13" s="122" t="s">
        <v>538</v>
      </c>
      <c r="I13" s="121"/>
      <c r="J13" s="121"/>
      <c r="K13" s="121"/>
      <c r="L13" s="121"/>
    </row>
    <row r="14" spans="1:12" ht="15">
      <c r="A14" s="121"/>
      <c r="B14" s="121"/>
      <c r="C14" s="121"/>
      <c r="D14" s="121"/>
      <c r="E14" s="121"/>
      <c r="F14" s="121"/>
      <c r="G14" s="121"/>
      <c r="H14" s="121"/>
      <c r="I14" s="121"/>
      <c r="J14" s="121"/>
      <c r="K14" s="121"/>
      <c r="L14" s="121"/>
    </row>
    <row r="15" ht="15">
      <c r="A15" s="123" t="s">
        <v>539</v>
      </c>
    </row>
    <row r="16" ht="15">
      <c r="A16" s="123" t="s">
        <v>540</v>
      </c>
    </row>
    <row r="17" ht="15">
      <c r="A17" s="123"/>
    </row>
    <row r="18" spans="1:7" ht="15">
      <c r="A18" s="122" t="s">
        <v>541</v>
      </c>
      <c r="B18" s="122"/>
      <c r="C18" s="122"/>
      <c r="D18" s="122"/>
      <c r="E18" s="122"/>
      <c r="F18" s="122"/>
      <c r="G18" s="122"/>
    </row>
    <row r="19" spans="1:7" ht="15">
      <c r="A19" s="122" t="str">
        <f>CONCATENATE("your ",inputPrYr!C5-1," numbers to see what steps might be necessary to")</f>
        <v>your 2011 numbers to see what steps might be necessary to</v>
      </c>
      <c r="B19" s="122"/>
      <c r="C19" s="122"/>
      <c r="D19" s="122"/>
      <c r="E19" s="122"/>
      <c r="F19" s="122"/>
      <c r="G19" s="122"/>
    </row>
    <row r="20" spans="1:7" ht="15">
      <c r="A20" s="122" t="s">
        <v>542</v>
      </c>
      <c r="B20" s="122"/>
      <c r="C20" s="122"/>
      <c r="D20" s="122"/>
      <c r="E20" s="122"/>
      <c r="F20" s="122"/>
      <c r="G20" s="122"/>
    </row>
    <row r="21" spans="1:7" ht="15">
      <c r="A21" s="122" t="s">
        <v>543</v>
      </c>
      <c r="B21" s="122"/>
      <c r="C21" s="122"/>
      <c r="D21" s="122"/>
      <c r="E21" s="122"/>
      <c r="F21" s="122"/>
      <c r="G21" s="122"/>
    </row>
    <row r="22" ht="15">
      <c r="A22" s="122"/>
    </row>
    <row r="23" ht="15">
      <c r="A23" s="123" t="s">
        <v>544</v>
      </c>
    </row>
    <row r="24" ht="15">
      <c r="A24" s="123"/>
    </row>
    <row r="25" ht="15">
      <c r="A25" s="122" t="s">
        <v>545</v>
      </c>
    </row>
    <row r="26" spans="1:6" ht="15">
      <c r="A26" s="122" t="s">
        <v>546</v>
      </c>
      <c r="B26" s="122"/>
      <c r="C26" s="122"/>
      <c r="D26" s="122"/>
      <c r="E26" s="122"/>
      <c r="F26" s="122"/>
    </row>
    <row r="27" spans="1:6" ht="15">
      <c r="A27" s="122" t="s">
        <v>547</v>
      </c>
      <c r="B27" s="122"/>
      <c r="C27" s="122"/>
      <c r="D27" s="122"/>
      <c r="E27" s="122"/>
      <c r="F27" s="122"/>
    </row>
    <row r="28" spans="1:6" ht="15">
      <c r="A28" s="122" t="s">
        <v>548</v>
      </c>
      <c r="B28" s="122"/>
      <c r="C28" s="122"/>
      <c r="D28" s="122"/>
      <c r="E28" s="122"/>
      <c r="F28" s="122"/>
    </row>
    <row r="29" spans="1:6" ht="15">
      <c r="A29" s="122"/>
      <c r="B29" s="122"/>
      <c r="C29" s="122"/>
      <c r="D29" s="122"/>
      <c r="E29" s="122"/>
      <c r="F29" s="122"/>
    </row>
    <row r="30" spans="1:7" ht="15">
      <c r="A30" s="123" t="s">
        <v>549</v>
      </c>
      <c r="B30" s="123"/>
      <c r="C30" s="123"/>
      <c r="D30" s="123"/>
      <c r="E30" s="123"/>
      <c r="F30" s="123"/>
      <c r="G30" s="123"/>
    </row>
    <row r="31" spans="1:7" ht="15">
      <c r="A31" s="123" t="s">
        <v>550</v>
      </c>
      <c r="B31" s="123"/>
      <c r="C31" s="123"/>
      <c r="D31" s="123"/>
      <c r="E31" s="123"/>
      <c r="F31" s="123"/>
      <c r="G31" s="123"/>
    </row>
    <row r="32" spans="1:6" ht="15">
      <c r="A32" s="122"/>
      <c r="B32" s="122"/>
      <c r="C32" s="122"/>
      <c r="D32" s="122"/>
      <c r="E32" s="122"/>
      <c r="F32" s="122"/>
    </row>
    <row r="33" spans="1:6" ht="15">
      <c r="A33" s="120" t="str">
        <f>CONCATENATE("Well, let's look to see if any of your ",inputPrYr!C5-1," expenditures can")</f>
        <v>Well, let's look to see if any of your 2011 expenditures can</v>
      </c>
      <c r="B33" s="122"/>
      <c r="C33" s="122"/>
      <c r="D33" s="122"/>
      <c r="E33" s="122"/>
      <c r="F33" s="122"/>
    </row>
    <row r="34" spans="1:6" ht="15">
      <c r="A34" s="120" t="s">
        <v>551</v>
      </c>
      <c r="B34" s="122"/>
      <c r="C34" s="122"/>
      <c r="D34" s="122"/>
      <c r="E34" s="122"/>
      <c r="F34" s="122"/>
    </row>
    <row r="35" spans="1:6" ht="15">
      <c r="A35" s="120" t="s">
        <v>435</v>
      </c>
      <c r="B35" s="122"/>
      <c r="C35" s="122"/>
      <c r="D35" s="122"/>
      <c r="E35" s="122"/>
      <c r="F35" s="122"/>
    </row>
    <row r="36" spans="1:6" ht="15">
      <c r="A36" s="120" t="s">
        <v>436</v>
      </c>
      <c r="B36" s="122"/>
      <c r="C36" s="122"/>
      <c r="D36" s="122"/>
      <c r="E36" s="122"/>
      <c r="F36" s="122"/>
    </row>
    <row r="37" spans="1:6" ht="15">
      <c r="A37" s="120"/>
      <c r="B37" s="122"/>
      <c r="C37" s="122"/>
      <c r="D37" s="122"/>
      <c r="E37" s="122"/>
      <c r="F37" s="122"/>
    </row>
    <row r="38" spans="1:6" ht="15">
      <c r="A38" s="120" t="str">
        <f>CONCATENATE("Additionally, do your ",inputPrYr!C5-1," receipts contain a reimbursement")</f>
        <v>Additionally, do your 2011 receipts contain a reimbursement</v>
      </c>
      <c r="B38" s="122"/>
      <c r="C38" s="122"/>
      <c r="D38" s="122"/>
      <c r="E38" s="122"/>
      <c r="F38" s="122"/>
    </row>
    <row r="39" spans="1:6" ht="15">
      <c r="A39" s="120" t="s">
        <v>437</v>
      </c>
      <c r="B39" s="122"/>
      <c r="C39" s="122"/>
      <c r="D39" s="122"/>
      <c r="E39" s="122"/>
      <c r="F39" s="122"/>
    </row>
    <row r="40" spans="1:6" ht="15">
      <c r="A40" s="120" t="s">
        <v>438</v>
      </c>
      <c r="B40" s="122"/>
      <c r="C40" s="122"/>
      <c r="D40" s="122"/>
      <c r="E40" s="122"/>
      <c r="F40" s="122"/>
    </row>
    <row r="41" spans="1:6" ht="15">
      <c r="A41" s="120"/>
      <c r="B41" s="122"/>
      <c r="C41" s="122"/>
      <c r="D41" s="122"/>
      <c r="E41" s="122"/>
      <c r="F41" s="122"/>
    </row>
    <row r="42" spans="1:6" ht="15">
      <c r="A42" s="120" t="s">
        <v>439</v>
      </c>
      <c r="B42" s="122"/>
      <c r="C42" s="122"/>
      <c r="D42" s="122"/>
      <c r="E42" s="122"/>
      <c r="F42" s="122"/>
    </row>
    <row r="43" spans="1:6" ht="15">
      <c r="A43" s="120" t="s">
        <v>440</v>
      </c>
      <c r="B43" s="122"/>
      <c r="C43" s="122"/>
      <c r="D43" s="122"/>
      <c r="E43" s="122"/>
      <c r="F43" s="122"/>
    </row>
    <row r="44" spans="1:6" ht="15">
      <c r="A44" s="120" t="s">
        <v>441</v>
      </c>
      <c r="B44" s="122"/>
      <c r="C44" s="122"/>
      <c r="D44" s="122"/>
      <c r="E44" s="122"/>
      <c r="F44" s="122"/>
    </row>
    <row r="45" spans="1:6" ht="15">
      <c r="A45" s="120" t="s">
        <v>552</v>
      </c>
      <c r="B45" s="122"/>
      <c r="C45" s="122"/>
      <c r="D45" s="122"/>
      <c r="E45" s="122"/>
      <c r="F45" s="122"/>
    </row>
    <row r="46" spans="1:6" ht="15">
      <c r="A46" s="120" t="s">
        <v>443</v>
      </c>
      <c r="B46" s="122"/>
      <c r="C46" s="122"/>
      <c r="D46" s="122"/>
      <c r="E46" s="122"/>
      <c r="F46" s="122"/>
    </row>
    <row r="47" spans="1:6" ht="15">
      <c r="A47" s="120" t="s">
        <v>553</v>
      </c>
      <c r="B47" s="122"/>
      <c r="C47" s="122"/>
      <c r="D47" s="122"/>
      <c r="E47" s="122"/>
      <c r="F47" s="122"/>
    </row>
    <row r="48" spans="1:6" ht="15">
      <c r="A48" s="120" t="s">
        <v>554</v>
      </c>
      <c r="B48" s="122"/>
      <c r="C48" s="122"/>
      <c r="D48" s="122"/>
      <c r="E48" s="122"/>
      <c r="F48" s="122"/>
    </row>
    <row r="49" spans="1:6" ht="15">
      <c r="A49" s="120" t="s">
        <v>446</v>
      </c>
      <c r="B49" s="122"/>
      <c r="C49" s="122"/>
      <c r="D49" s="122"/>
      <c r="E49" s="122"/>
      <c r="F49" s="122"/>
    </row>
    <row r="50" spans="1:6" ht="15">
      <c r="A50" s="120"/>
      <c r="B50" s="122"/>
      <c r="C50" s="122"/>
      <c r="D50" s="122"/>
      <c r="E50" s="122"/>
      <c r="F50" s="122"/>
    </row>
    <row r="51" spans="1:6" ht="15">
      <c r="A51" s="120" t="s">
        <v>447</v>
      </c>
      <c r="B51" s="122"/>
      <c r="C51" s="122"/>
      <c r="D51" s="122"/>
      <c r="E51" s="122"/>
      <c r="F51" s="122"/>
    </row>
    <row r="52" spans="1:6" ht="15">
      <c r="A52" s="120" t="s">
        <v>448</v>
      </c>
      <c r="B52" s="122"/>
      <c r="C52" s="122"/>
      <c r="D52" s="122"/>
      <c r="E52" s="122"/>
      <c r="F52" s="122"/>
    </row>
    <row r="53" spans="1:6" ht="15">
      <c r="A53" s="120" t="s">
        <v>449</v>
      </c>
      <c r="B53" s="122"/>
      <c r="C53" s="122"/>
      <c r="D53" s="122"/>
      <c r="E53" s="122"/>
      <c r="F53" s="122"/>
    </row>
    <row r="54" spans="1:6" ht="15">
      <c r="A54" s="120"/>
      <c r="B54" s="122"/>
      <c r="C54" s="122"/>
      <c r="D54" s="122"/>
      <c r="E54" s="122"/>
      <c r="F54" s="122"/>
    </row>
    <row r="55" spans="1:6" ht="15">
      <c r="A55" s="120" t="s">
        <v>555</v>
      </c>
      <c r="B55" s="122"/>
      <c r="C55" s="122"/>
      <c r="D55" s="122"/>
      <c r="E55" s="122"/>
      <c r="F55" s="122"/>
    </row>
    <row r="56" spans="1:6" ht="15">
      <c r="A56" s="120" t="s">
        <v>556</v>
      </c>
      <c r="B56" s="122"/>
      <c r="C56" s="122"/>
      <c r="D56" s="122"/>
      <c r="E56" s="122"/>
      <c r="F56" s="122"/>
    </row>
    <row r="57" spans="1:6" ht="15">
      <c r="A57" s="120" t="s">
        <v>557</v>
      </c>
      <c r="B57" s="122"/>
      <c r="C57" s="122"/>
      <c r="D57" s="122"/>
      <c r="E57" s="122"/>
      <c r="F57" s="122"/>
    </row>
    <row r="58" spans="1:6" ht="15">
      <c r="A58" s="120" t="s">
        <v>558</v>
      </c>
      <c r="B58" s="122"/>
      <c r="C58" s="122"/>
      <c r="D58" s="122"/>
      <c r="E58" s="122"/>
      <c r="F58" s="122"/>
    </row>
    <row r="59" spans="1:6" ht="15">
      <c r="A59" s="120" t="s">
        <v>559</v>
      </c>
      <c r="B59" s="122"/>
      <c r="C59" s="122"/>
      <c r="D59" s="122"/>
      <c r="E59" s="122"/>
      <c r="F59" s="122"/>
    </row>
    <row r="60" spans="1:6" ht="15">
      <c r="A60" s="120"/>
      <c r="B60" s="122"/>
      <c r="C60" s="122"/>
      <c r="D60" s="122"/>
      <c r="E60" s="122"/>
      <c r="F60" s="122"/>
    </row>
    <row r="61" spans="1:6" ht="15">
      <c r="A61" s="119" t="s">
        <v>560</v>
      </c>
      <c r="B61" s="122"/>
      <c r="C61" s="122"/>
      <c r="D61" s="122"/>
      <c r="E61" s="122"/>
      <c r="F61" s="122"/>
    </row>
    <row r="62" spans="1:6" ht="15">
      <c r="A62" s="119" t="s">
        <v>561</v>
      </c>
      <c r="B62" s="122"/>
      <c r="C62" s="122"/>
      <c r="D62" s="122"/>
      <c r="E62" s="122"/>
      <c r="F62" s="122"/>
    </row>
    <row r="63" spans="1:6" ht="15">
      <c r="A63" s="119" t="s">
        <v>562</v>
      </c>
      <c r="B63" s="122"/>
      <c r="C63" s="122"/>
      <c r="D63" s="122"/>
      <c r="E63" s="122"/>
      <c r="F63" s="122"/>
    </row>
    <row r="64" ht="15">
      <c r="A64" s="119" t="s">
        <v>563</v>
      </c>
    </row>
    <row r="65" ht="15">
      <c r="A65" s="119" t="s">
        <v>564</v>
      </c>
    </row>
    <row r="66" ht="15">
      <c r="A66" s="119" t="s">
        <v>565</v>
      </c>
    </row>
    <row r="68" ht="15">
      <c r="A68" s="122" t="s">
        <v>566</v>
      </c>
    </row>
    <row r="69" ht="15">
      <c r="A69" s="122" t="s">
        <v>567</v>
      </c>
    </row>
    <row r="70" ht="15">
      <c r="A70" s="122" t="s">
        <v>568</v>
      </c>
    </row>
    <row r="71" ht="15">
      <c r="A71" s="122" t="s">
        <v>569</v>
      </c>
    </row>
    <row r="72" ht="15">
      <c r="A72" s="122" t="s">
        <v>570</v>
      </c>
    </row>
    <row r="73" ht="15">
      <c r="A73" s="122" t="s">
        <v>571</v>
      </c>
    </row>
    <row r="75" ht="15">
      <c r="A75" s="122" t="s">
        <v>476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9"/>
  <sheetViews>
    <sheetView zoomScale="90" zoomScaleNormal="90" zoomScalePageLayoutView="0" workbookViewId="0" topLeftCell="A1">
      <selection activeCell="C8" sqref="C8"/>
    </sheetView>
  </sheetViews>
  <sheetFormatPr defaultColWidth="8.796875" defaultRowHeight="15"/>
  <cols>
    <col min="1" max="1" width="17.8984375" style="19" customWidth="1"/>
    <col min="2" max="2" width="16.09765625" style="19" customWidth="1"/>
    <col min="3" max="5" width="12.796875" style="19" customWidth="1"/>
    <col min="6" max="6" width="10.19921875" style="19" customWidth="1"/>
    <col min="7" max="16384" width="8.8984375" style="19" customWidth="1"/>
  </cols>
  <sheetData>
    <row r="1" spans="1:6" ht="15.75">
      <c r="A1" s="79" t="str">
        <f>inputPrYr!D2</f>
        <v>Kansas City</v>
      </c>
      <c r="B1" s="79"/>
      <c r="C1" s="21"/>
      <c r="D1" s="21"/>
      <c r="E1" s="21"/>
      <c r="F1" s="21">
        <f>inputPrYr!C5</f>
        <v>2012</v>
      </c>
    </row>
    <row r="2" spans="1:6" ht="15.75">
      <c r="A2" s="21"/>
      <c r="B2" s="21"/>
      <c r="C2" s="21"/>
      <c r="D2" s="21"/>
      <c r="E2" s="21"/>
      <c r="F2" s="21"/>
    </row>
    <row r="3" spans="1:6" ht="15.75">
      <c r="A3" s="705" t="s">
        <v>11</v>
      </c>
      <c r="B3" s="705"/>
      <c r="C3" s="705"/>
      <c r="D3" s="705"/>
      <c r="E3" s="705"/>
      <c r="F3" s="21"/>
    </row>
    <row r="4" spans="1:6" ht="15.75">
      <c r="A4" s="21"/>
      <c r="B4" s="80"/>
      <c r="C4" s="80"/>
      <c r="D4" s="80"/>
      <c r="E4" s="21"/>
      <c r="F4" s="21"/>
    </row>
    <row r="5" spans="1:6" ht="21" customHeight="1">
      <c r="A5" s="81" t="s">
        <v>289</v>
      </c>
      <c r="B5" s="82" t="s">
        <v>288</v>
      </c>
      <c r="C5" s="706" t="str">
        <f>CONCATENATE("Allocation for Year ",F1,"")</f>
        <v>Allocation for Year 2012</v>
      </c>
      <c r="D5" s="707"/>
      <c r="E5" s="707"/>
      <c r="F5" s="708"/>
    </row>
    <row r="6" spans="1:6" ht="15.75">
      <c r="A6" s="83" t="str">
        <f>CONCATENATE("for ",F1-1,"")</f>
        <v>for 2011</v>
      </c>
      <c r="B6" s="83" t="str">
        <f>CONCATENATE("for ",F1-2,"")</f>
        <v>for 2010</v>
      </c>
      <c r="C6" s="72" t="s">
        <v>174</v>
      </c>
      <c r="D6" s="72" t="s">
        <v>175</v>
      </c>
      <c r="E6" s="72" t="s">
        <v>173</v>
      </c>
      <c r="F6" s="74" t="s">
        <v>263</v>
      </c>
    </row>
    <row r="7" spans="1:6" ht="15.75">
      <c r="A7" s="38" t="str">
        <f>(inputPrYr!B17)</f>
        <v>General</v>
      </c>
      <c r="B7" s="73">
        <f>(inputPrYr!E17)</f>
        <v>24523999</v>
      </c>
      <c r="C7" s="73">
        <f>IF(inputPrYr!E17=0,0,C11-SUM(C8:C8))</f>
        <v>2626188</v>
      </c>
      <c r="D7" s="73">
        <f>IF(inputPrYr!E17=0,0,D12-SUM(D8:D8))</f>
        <v>12386</v>
      </c>
      <c r="E7" s="73">
        <f>IF(inputPrYr!E17=0,0,E13-SUM(E8:E8))</f>
        <v>23960</v>
      </c>
      <c r="F7" s="73">
        <f>IF(inputPrYr!E17=0,0,F14-SUM(F8:F8))</f>
        <v>0</v>
      </c>
    </row>
    <row r="8" spans="1:6" ht="15.75">
      <c r="A8" s="38" t="str">
        <f>IF(inputPrYr!$B18&gt;"  ",(inputPrYr!$B18),"  ")</f>
        <v>Debt Service</v>
      </c>
      <c r="B8" s="73">
        <f>IF(inputPrYr!$E18&gt;0,(inputPrYr!$E18),"  ")</f>
        <v>15521772</v>
      </c>
      <c r="C8" s="73">
        <f>IF(inputPrYr!E18&gt;0,ROUND(B8*$C$15,0),"  ")</f>
        <v>1662171</v>
      </c>
      <c r="D8" s="73">
        <f>IF(inputPrYr!E18&gt;0,ROUND(+B8*D$16,0)," ")</f>
        <v>7839</v>
      </c>
      <c r="E8" s="73">
        <f>IF(inputPrYr!E18&gt;0,ROUND(B8*E$17,0)," ")</f>
        <v>15164</v>
      </c>
      <c r="F8" s="73">
        <f>IF(inputPrYr!E18&gt;0,ROUND(B8*F$18,0)," ")</f>
        <v>0</v>
      </c>
    </row>
    <row r="9" spans="1:6" ht="16.5" thickBot="1">
      <c r="A9" s="21" t="s">
        <v>101</v>
      </c>
      <c r="B9" s="84">
        <f>SUM(B7:B8)</f>
        <v>40045771</v>
      </c>
      <c r="C9" s="84">
        <f>SUM(C7:C8)</f>
        <v>4288359</v>
      </c>
      <c r="D9" s="84">
        <f>SUM(D7:D8)</f>
        <v>20225</v>
      </c>
      <c r="E9" s="84">
        <f>SUM(E7:E8)</f>
        <v>39124</v>
      </c>
      <c r="F9" s="85">
        <f>SUM(F7:F8)</f>
        <v>0</v>
      </c>
    </row>
    <row r="10" spans="1:6" ht="16.5" thickTop="1">
      <c r="A10" s="21"/>
      <c r="B10" s="36"/>
      <c r="C10" s="36"/>
      <c r="D10" s="36"/>
      <c r="E10" s="36"/>
      <c r="F10" s="21"/>
    </row>
    <row r="11" spans="1:6" ht="15.75">
      <c r="A11" s="22" t="s">
        <v>102</v>
      </c>
      <c r="B11" s="86"/>
      <c r="C11" s="87">
        <f>(inputOth!E28)</f>
        <v>4288359</v>
      </c>
      <c r="D11" s="86"/>
      <c r="E11" s="21"/>
      <c r="F11" s="21"/>
    </row>
    <row r="12" spans="1:6" ht="15.75">
      <c r="A12" s="22" t="s">
        <v>103</v>
      </c>
      <c r="B12" s="21"/>
      <c r="C12" s="21"/>
      <c r="D12" s="87">
        <f>(inputOth!E29)</f>
        <v>20225</v>
      </c>
      <c r="E12" s="21"/>
      <c r="F12" s="21"/>
    </row>
    <row r="13" spans="1:6" ht="15.75">
      <c r="A13" s="22" t="s">
        <v>176</v>
      </c>
      <c r="B13" s="21"/>
      <c r="C13" s="21"/>
      <c r="D13" s="21"/>
      <c r="E13" s="87">
        <f>inputOth!E30</f>
        <v>39124</v>
      </c>
      <c r="F13" s="21"/>
    </row>
    <row r="14" spans="1:6" ht="15.75">
      <c r="A14" s="22" t="s">
        <v>7</v>
      </c>
      <c r="B14" s="21"/>
      <c r="C14" s="21"/>
      <c r="D14" s="21"/>
      <c r="E14" s="36"/>
      <c r="F14" s="78">
        <f>inputOth!E33</f>
        <v>0</v>
      </c>
    </row>
    <row r="15" spans="1:6" ht="15.75">
      <c r="A15" s="22" t="s">
        <v>104</v>
      </c>
      <c r="B15" s="21"/>
      <c r="C15" s="88">
        <f>IF(B9=0,0,C11/B9)</f>
        <v>0.10708643866539615</v>
      </c>
      <c r="D15" s="21"/>
      <c r="E15" s="21"/>
      <c r="F15" s="21"/>
    </row>
    <row r="16" spans="1:6" ht="15.75">
      <c r="A16" s="21"/>
      <c r="B16" s="22" t="s">
        <v>105</v>
      </c>
      <c r="C16" s="21"/>
      <c r="D16" s="88">
        <f>IF(B9=0,0,D12/B9)</f>
        <v>0.0005050470872442436</v>
      </c>
      <c r="E16" s="21"/>
      <c r="F16" s="21"/>
    </row>
    <row r="17" spans="1:6" ht="15.75">
      <c r="A17" s="21"/>
      <c r="B17" s="21"/>
      <c r="C17" s="22" t="s">
        <v>177</v>
      </c>
      <c r="D17" s="21"/>
      <c r="E17" s="88">
        <f>IF(B9=0,0,E13/B9)</f>
        <v>0.0009769820638488892</v>
      </c>
      <c r="F17" s="21"/>
    </row>
    <row r="18" spans="1:6" ht="15.75">
      <c r="A18" s="21"/>
      <c r="B18" s="21"/>
      <c r="C18" s="21"/>
      <c r="D18" s="21" t="s">
        <v>8</v>
      </c>
      <c r="E18" s="21"/>
      <c r="F18" s="88">
        <f>IF(B9=0,0,F14/B9)</f>
        <v>0</v>
      </c>
    </row>
    <row r="19" spans="1:6" ht="15.75">
      <c r="A19" s="29"/>
      <c r="B19" s="29"/>
      <c r="C19" s="29"/>
      <c r="D19" s="29"/>
      <c r="E19" s="29"/>
      <c r="F19" s="29"/>
    </row>
  </sheetData>
  <sheetProtection/>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&amp;C&amp;"Arial,Regular"&amp;10KC - &amp;P</oddFooter>
  </headerFooter>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121" t="s">
        <v>572</v>
      </c>
      <c r="B3" s="121"/>
      <c r="C3" s="121"/>
      <c r="D3" s="121"/>
      <c r="E3" s="121"/>
      <c r="F3" s="121"/>
      <c r="G3" s="121"/>
    </row>
    <row r="4" spans="1:7" ht="15">
      <c r="A4" s="121"/>
      <c r="B4" s="121"/>
      <c r="C4" s="121"/>
      <c r="D4" s="121"/>
      <c r="E4" s="121"/>
      <c r="F4" s="121"/>
      <c r="G4" s="121"/>
    </row>
    <row r="5" ht="15">
      <c r="A5" s="122" t="s">
        <v>478</v>
      </c>
    </row>
    <row r="6" ht="15">
      <c r="A6" s="122" t="str">
        <f>CONCATENATE(inputPrYr!C5," estimated expenditures show that at the end of this year")</f>
        <v>2012 estimated expenditures show that at the end of this year</v>
      </c>
    </row>
    <row r="7" ht="15">
      <c r="A7" s="122" t="s">
        <v>573</v>
      </c>
    </row>
    <row r="8" ht="15">
      <c r="A8" s="122" t="s">
        <v>574</v>
      </c>
    </row>
    <row r="10" ht="15">
      <c r="A10" t="s">
        <v>480</v>
      </c>
    </row>
    <row r="11" ht="15">
      <c r="A11" t="s">
        <v>481</v>
      </c>
    </row>
    <row r="12" ht="15">
      <c r="A12" t="s">
        <v>482</v>
      </c>
    </row>
    <row r="13" spans="1:7" ht="15">
      <c r="A13" s="121"/>
      <c r="B13" s="121"/>
      <c r="C13" s="121"/>
      <c r="D13" s="121"/>
      <c r="E13" s="121"/>
      <c r="F13" s="121"/>
      <c r="G13" s="121"/>
    </row>
    <row r="14" ht="15">
      <c r="A14" s="123" t="s">
        <v>575</v>
      </c>
    </row>
    <row r="15" ht="15">
      <c r="A15" s="122"/>
    </row>
    <row r="16" ht="15">
      <c r="A16" s="122" t="s">
        <v>576</v>
      </c>
    </row>
    <row r="17" ht="15">
      <c r="A17" s="122" t="s">
        <v>577</v>
      </c>
    </row>
    <row r="18" ht="15">
      <c r="A18" s="122" t="s">
        <v>578</v>
      </c>
    </row>
    <row r="19" ht="15">
      <c r="A19" s="122"/>
    </row>
    <row r="20" ht="15">
      <c r="A20" s="122" t="s">
        <v>579</v>
      </c>
    </row>
    <row r="21" ht="15">
      <c r="A21" s="122" t="s">
        <v>580</v>
      </c>
    </row>
    <row r="22" ht="15">
      <c r="A22" s="122" t="s">
        <v>581</v>
      </c>
    </row>
    <row r="23" ht="15">
      <c r="A23" s="122" t="s">
        <v>582</v>
      </c>
    </row>
    <row r="24" ht="15">
      <c r="A24" s="122"/>
    </row>
    <row r="25" ht="15">
      <c r="A25" s="123" t="s">
        <v>544</v>
      </c>
    </row>
    <row r="26" ht="15">
      <c r="A26" s="123"/>
    </row>
    <row r="27" ht="15">
      <c r="A27" s="122" t="s">
        <v>545</v>
      </c>
    </row>
    <row r="28" spans="1:6" ht="15">
      <c r="A28" s="122" t="s">
        <v>546</v>
      </c>
      <c r="B28" s="122"/>
      <c r="C28" s="122"/>
      <c r="D28" s="122"/>
      <c r="E28" s="122"/>
      <c r="F28" s="122"/>
    </row>
    <row r="29" spans="1:6" ht="15">
      <c r="A29" s="122" t="s">
        <v>547</v>
      </c>
      <c r="B29" s="122"/>
      <c r="C29" s="122"/>
      <c r="D29" s="122"/>
      <c r="E29" s="122"/>
      <c r="F29" s="122"/>
    </row>
    <row r="30" spans="1:6" ht="15">
      <c r="A30" s="122" t="s">
        <v>548</v>
      </c>
      <c r="B30" s="122"/>
      <c r="C30" s="122"/>
      <c r="D30" s="122"/>
      <c r="E30" s="122"/>
      <c r="F30" s="122"/>
    </row>
    <row r="31" ht="15">
      <c r="A31" s="122"/>
    </row>
    <row r="32" spans="1:7" ht="15">
      <c r="A32" s="123" t="s">
        <v>549</v>
      </c>
      <c r="B32" s="123"/>
      <c r="C32" s="123"/>
      <c r="D32" s="123"/>
      <c r="E32" s="123"/>
      <c r="F32" s="123"/>
      <c r="G32" s="123"/>
    </row>
    <row r="33" spans="1:7" ht="15">
      <c r="A33" s="123" t="s">
        <v>550</v>
      </c>
      <c r="B33" s="123"/>
      <c r="C33" s="123"/>
      <c r="D33" s="123"/>
      <c r="E33" s="123"/>
      <c r="F33" s="123"/>
      <c r="G33" s="123"/>
    </row>
    <row r="34" spans="1:7" ht="15">
      <c r="A34" s="123"/>
      <c r="B34" s="123"/>
      <c r="C34" s="123"/>
      <c r="D34" s="123"/>
      <c r="E34" s="123"/>
      <c r="F34" s="123"/>
      <c r="G34" s="123"/>
    </row>
    <row r="35" spans="1:7" ht="15">
      <c r="A35" s="122" t="s">
        <v>583</v>
      </c>
      <c r="B35" s="122"/>
      <c r="C35" s="122"/>
      <c r="D35" s="122"/>
      <c r="E35" s="122"/>
      <c r="F35" s="122"/>
      <c r="G35" s="122"/>
    </row>
    <row r="36" spans="1:7" ht="15">
      <c r="A36" s="122" t="s">
        <v>584</v>
      </c>
      <c r="B36" s="122"/>
      <c r="C36" s="122"/>
      <c r="D36" s="122"/>
      <c r="E36" s="122"/>
      <c r="F36" s="122"/>
      <c r="G36" s="122"/>
    </row>
    <row r="37" spans="1:7" ht="15">
      <c r="A37" s="122" t="s">
        <v>585</v>
      </c>
      <c r="B37" s="122"/>
      <c r="C37" s="122"/>
      <c r="D37" s="122"/>
      <c r="E37" s="122"/>
      <c r="F37" s="122"/>
      <c r="G37" s="122"/>
    </row>
    <row r="38" spans="1:7" ht="15">
      <c r="A38" s="122" t="s">
        <v>586</v>
      </c>
      <c r="B38" s="122"/>
      <c r="C38" s="122"/>
      <c r="D38" s="122"/>
      <c r="E38" s="122"/>
      <c r="F38" s="122"/>
      <c r="G38" s="122"/>
    </row>
    <row r="39" spans="1:7" ht="15">
      <c r="A39" s="122" t="s">
        <v>587</v>
      </c>
      <c r="B39" s="122"/>
      <c r="C39" s="122"/>
      <c r="D39" s="122"/>
      <c r="E39" s="122"/>
      <c r="F39" s="122"/>
      <c r="G39" s="122"/>
    </row>
    <row r="40" spans="1:7" ht="15">
      <c r="A40" s="123"/>
      <c r="B40" s="123"/>
      <c r="C40" s="123"/>
      <c r="D40" s="123"/>
      <c r="E40" s="123"/>
      <c r="F40" s="123"/>
      <c r="G40" s="123"/>
    </row>
    <row r="41" spans="1:6" ht="15">
      <c r="A41" s="120" t="str">
        <f>CONCATENATE("So, let's look to see if any of your ",inputPrYr!C5-1," expenditures can")</f>
        <v>So, let's look to see if any of your 2011 expenditures can</v>
      </c>
      <c r="B41" s="122"/>
      <c r="C41" s="122"/>
      <c r="D41" s="122"/>
      <c r="E41" s="122"/>
      <c r="F41" s="122"/>
    </row>
    <row r="42" spans="1:6" ht="15">
      <c r="A42" s="120" t="s">
        <v>551</v>
      </c>
      <c r="B42" s="122"/>
      <c r="C42" s="122"/>
      <c r="D42" s="122"/>
      <c r="E42" s="122"/>
      <c r="F42" s="122"/>
    </row>
    <row r="43" spans="1:6" ht="15">
      <c r="A43" s="120" t="s">
        <v>435</v>
      </c>
      <c r="B43" s="122"/>
      <c r="C43" s="122"/>
      <c r="D43" s="122"/>
      <c r="E43" s="122"/>
      <c r="F43" s="122"/>
    </row>
    <row r="44" spans="1:6" ht="15">
      <c r="A44" s="120" t="s">
        <v>436</v>
      </c>
      <c r="B44" s="122"/>
      <c r="C44" s="122"/>
      <c r="D44" s="122"/>
      <c r="E44" s="122"/>
      <c r="F44" s="122"/>
    </row>
    <row r="45" ht="15">
      <c r="A45" s="122"/>
    </row>
    <row r="46" spans="1:6" ht="15">
      <c r="A46" s="120" t="str">
        <f>CONCATENATE("Additionally, do your ",inputPrYr!C5-1," receipts contain a reimbursement")</f>
        <v>Additionally, do your 2011 receipts contain a reimbursement</v>
      </c>
      <c r="B46" s="122"/>
      <c r="C46" s="122"/>
      <c r="D46" s="122"/>
      <c r="E46" s="122"/>
      <c r="F46" s="122"/>
    </row>
    <row r="47" spans="1:6" ht="15">
      <c r="A47" s="120" t="s">
        <v>437</v>
      </c>
      <c r="B47" s="122"/>
      <c r="C47" s="122"/>
      <c r="D47" s="122"/>
      <c r="E47" s="122"/>
      <c r="F47" s="122"/>
    </row>
    <row r="48" spans="1:6" ht="15">
      <c r="A48" s="120" t="s">
        <v>438</v>
      </c>
      <c r="B48" s="122"/>
      <c r="C48" s="122"/>
      <c r="D48" s="122"/>
      <c r="E48" s="122"/>
      <c r="F48" s="122"/>
    </row>
    <row r="49" spans="1:7" ht="15">
      <c r="A49" s="122"/>
      <c r="B49" s="122"/>
      <c r="C49" s="122"/>
      <c r="D49" s="122"/>
      <c r="E49" s="122"/>
      <c r="F49" s="122"/>
      <c r="G49" s="122"/>
    </row>
    <row r="50" spans="1:7" ht="15">
      <c r="A50" s="122" t="s">
        <v>505</v>
      </c>
      <c r="B50" s="122"/>
      <c r="C50" s="122"/>
      <c r="D50" s="122"/>
      <c r="E50" s="122"/>
      <c r="F50" s="122"/>
      <c r="G50" s="122"/>
    </row>
    <row r="51" spans="1:7" ht="15">
      <c r="A51" s="122" t="s">
        <v>506</v>
      </c>
      <c r="B51" s="122"/>
      <c r="C51" s="122"/>
      <c r="D51" s="122"/>
      <c r="E51" s="122"/>
      <c r="F51" s="122"/>
      <c r="G51" s="122"/>
    </row>
    <row r="52" spans="1:7" ht="15">
      <c r="A52" s="122" t="s">
        <v>507</v>
      </c>
      <c r="B52" s="122"/>
      <c r="C52" s="122"/>
      <c r="D52" s="122"/>
      <c r="E52" s="122"/>
      <c r="F52" s="122"/>
      <c r="G52" s="122"/>
    </row>
    <row r="53" spans="1:7" ht="15">
      <c r="A53" s="122" t="s">
        <v>508</v>
      </c>
      <c r="B53" s="122"/>
      <c r="C53" s="122"/>
      <c r="D53" s="122"/>
      <c r="E53" s="122"/>
      <c r="F53" s="122"/>
      <c r="G53" s="122"/>
    </row>
    <row r="54" spans="1:7" ht="15">
      <c r="A54" s="122" t="s">
        <v>509</v>
      </c>
      <c r="B54" s="122"/>
      <c r="C54" s="122"/>
      <c r="D54" s="122"/>
      <c r="E54" s="122"/>
      <c r="F54" s="122"/>
      <c r="G54" s="122"/>
    </row>
    <row r="55" spans="1:7" ht="15">
      <c r="A55" s="122"/>
      <c r="B55" s="122"/>
      <c r="C55" s="122"/>
      <c r="D55" s="122"/>
      <c r="E55" s="122"/>
      <c r="F55" s="122"/>
      <c r="G55" s="122"/>
    </row>
    <row r="56" spans="1:6" ht="15">
      <c r="A56" s="120" t="s">
        <v>447</v>
      </c>
      <c r="B56" s="122"/>
      <c r="C56" s="122"/>
      <c r="D56" s="122"/>
      <c r="E56" s="122"/>
      <c r="F56" s="122"/>
    </row>
    <row r="57" spans="1:6" ht="15">
      <c r="A57" s="120" t="s">
        <v>448</v>
      </c>
      <c r="B57" s="122"/>
      <c r="C57" s="122"/>
      <c r="D57" s="122"/>
      <c r="E57" s="122"/>
      <c r="F57" s="122"/>
    </row>
    <row r="58" spans="1:6" ht="15">
      <c r="A58" s="120" t="s">
        <v>449</v>
      </c>
      <c r="B58" s="122"/>
      <c r="C58" s="122"/>
      <c r="D58" s="122"/>
      <c r="E58" s="122"/>
      <c r="F58" s="122"/>
    </row>
    <row r="59" spans="1:6" ht="15">
      <c r="A59" s="120"/>
      <c r="B59" s="122"/>
      <c r="C59" s="122"/>
      <c r="D59" s="122"/>
      <c r="E59" s="122"/>
      <c r="F59" s="122"/>
    </row>
    <row r="60" spans="1:7" ht="15">
      <c r="A60" s="122" t="s">
        <v>588</v>
      </c>
      <c r="B60" s="122"/>
      <c r="C60" s="122"/>
      <c r="D60" s="122"/>
      <c r="E60" s="122"/>
      <c r="F60" s="122"/>
      <c r="G60" s="122"/>
    </row>
    <row r="61" spans="1:7" ht="15">
      <c r="A61" s="122" t="s">
        <v>589</v>
      </c>
      <c r="B61" s="122"/>
      <c r="C61" s="122"/>
      <c r="D61" s="122"/>
      <c r="E61" s="122"/>
      <c r="F61" s="122"/>
      <c r="G61" s="122"/>
    </row>
    <row r="62" spans="1:7" ht="15">
      <c r="A62" s="122" t="s">
        <v>590</v>
      </c>
      <c r="B62" s="122"/>
      <c r="C62" s="122"/>
      <c r="D62" s="122"/>
      <c r="E62" s="122"/>
      <c r="F62" s="122"/>
      <c r="G62" s="122"/>
    </row>
    <row r="63" spans="1:7" ht="15">
      <c r="A63" s="122" t="s">
        <v>591</v>
      </c>
      <c r="B63" s="122"/>
      <c r="C63" s="122"/>
      <c r="D63" s="122"/>
      <c r="E63" s="122"/>
      <c r="F63" s="122"/>
      <c r="G63" s="122"/>
    </row>
    <row r="64" spans="1:7" ht="15">
      <c r="A64" s="122" t="s">
        <v>592</v>
      </c>
      <c r="B64" s="122"/>
      <c r="C64" s="122"/>
      <c r="D64" s="122"/>
      <c r="E64" s="122"/>
      <c r="F64" s="122"/>
      <c r="G64" s="122"/>
    </row>
    <row r="66" spans="1:6" ht="15">
      <c r="A66" s="120" t="s">
        <v>555</v>
      </c>
      <c r="B66" s="122"/>
      <c r="C66" s="122"/>
      <c r="D66" s="122"/>
      <c r="E66" s="122"/>
      <c r="F66" s="122"/>
    </row>
    <row r="67" spans="1:6" ht="15">
      <c r="A67" s="120" t="s">
        <v>556</v>
      </c>
      <c r="B67" s="122"/>
      <c r="C67" s="122"/>
      <c r="D67" s="122"/>
      <c r="E67" s="122"/>
      <c r="F67" s="122"/>
    </row>
    <row r="68" spans="1:6" ht="15">
      <c r="A68" s="120" t="s">
        <v>557</v>
      </c>
      <c r="B68" s="122"/>
      <c r="C68" s="122"/>
      <c r="D68" s="122"/>
      <c r="E68" s="122"/>
      <c r="F68" s="122"/>
    </row>
    <row r="69" spans="1:6" ht="15">
      <c r="A69" s="120" t="s">
        <v>558</v>
      </c>
      <c r="B69" s="122"/>
      <c r="C69" s="122"/>
      <c r="D69" s="122"/>
      <c r="E69" s="122"/>
      <c r="F69" s="122"/>
    </row>
    <row r="70" spans="1:6" ht="15">
      <c r="A70" s="120" t="s">
        <v>559</v>
      </c>
      <c r="B70" s="122"/>
      <c r="C70" s="122"/>
      <c r="D70" s="122"/>
      <c r="E70" s="122"/>
      <c r="F70" s="122"/>
    </row>
    <row r="71" ht="15">
      <c r="A71" s="122"/>
    </row>
    <row r="72" ht="15">
      <c r="A72" s="122" t="s">
        <v>476</v>
      </c>
    </row>
    <row r="73" ht="15">
      <c r="A73" s="122"/>
    </row>
    <row r="74" ht="15">
      <c r="A74" s="122"/>
    </row>
    <row r="75" ht="15">
      <c r="A75" s="122"/>
    </row>
    <row r="78" ht="15">
      <c r="A78" s="123"/>
    </row>
    <row r="80" ht="15">
      <c r="A80" s="122"/>
    </row>
    <row r="81" ht="15">
      <c r="A81" s="122"/>
    </row>
    <row r="82" ht="15">
      <c r="A82" s="122"/>
    </row>
    <row r="83" ht="15">
      <c r="A83" s="122"/>
    </row>
    <row r="84" ht="15">
      <c r="A84" s="122"/>
    </row>
    <row r="85" ht="15">
      <c r="A85" s="122"/>
    </row>
    <row r="86" ht="15">
      <c r="A86" s="122"/>
    </row>
    <row r="87" ht="15">
      <c r="A87" s="122"/>
    </row>
    <row r="88" ht="15">
      <c r="A88" s="122"/>
    </row>
    <row r="89" ht="15">
      <c r="A89" s="122"/>
    </row>
    <row r="90" ht="15">
      <c r="A90" s="122"/>
    </row>
    <row r="92" ht="15">
      <c r="A92" s="122"/>
    </row>
    <row r="93" ht="15">
      <c r="A93" s="122"/>
    </row>
    <row r="94" ht="15">
      <c r="A94" s="122"/>
    </row>
    <row r="95" ht="15">
      <c r="A95" s="122"/>
    </row>
    <row r="96" ht="15">
      <c r="A96" s="122"/>
    </row>
    <row r="97" ht="15">
      <c r="A97" s="122"/>
    </row>
    <row r="98" ht="15">
      <c r="A98" s="122"/>
    </row>
    <row r="99" ht="15">
      <c r="A99" s="122"/>
    </row>
    <row r="100" ht="15">
      <c r="A100" s="122"/>
    </row>
    <row r="101" ht="15">
      <c r="A101" s="122"/>
    </row>
    <row r="102" ht="15">
      <c r="A102" s="122"/>
    </row>
    <row r="103" ht="15">
      <c r="A103" s="122"/>
    </row>
    <row r="104" ht="15">
      <c r="A104" s="122"/>
    </row>
    <row r="105" ht="15">
      <c r="A105" s="122"/>
    </row>
    <row r="106" ht="15">
      <c r="A106" s="12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121" t="s">
        <v>593</v>
      </c>
      <c r="B3" s="121"/>
      <c r="C3" s="121"/>
      <c r="D3" s="121"/>
      <c r="E3" s="121"/>
      <c r="F3" s="121"/>
      <c r="G3" s="121"/>
    </row>
    <row r="4" spans="1:7" ht="15">
      <c r="A4" s="121" t="s">
        <v>594</v>
      </c>
      <c r="B4" s="121"/>
      <c r="C4" s="121"/>
      <c r="D4" s="121"/>
      <c r="E4" s="121"/>
      <c r="F4" s="121"/>
      <c r="G4" s="121"/>
    </row>
    <row r="5" spans="1:7" ht="15">
      <c r="A5" s="121"/>
      <c r="B5" s="121"/>
      <c r="C5" s="121"/>
      <c r="D5" s="121"/>
      <c r="E5" s="121"/>
      <c r="F5" s="121"/>
      <c r="G5" s="121"/>
    </row>
    <row r="6" spans="1:7" ht="15">
      <c r="A6" s="121"/>
      <c r="B6" s="121"/>
      <c r="C6" s="121"/>
      <c r="D6" s="121"/>
      <c r="E6" s="121"/>
      <c r="F6" s="121"/>
      <c r="G6" s="121"/>
    </row>
    <row r="7" ht="15">
      <c r="A7" s="122" t="s">
        <v>421</v>
      </c>
    </row>
    <row r="8" ht="15">
      <c r="A8" s="122" t="str">
        <f>CONCATENATE("estimated ",inputPrYr!C5," 'total expenditures' exceed your ",inputPrYr!C5,"")</f>
        <v>estimated 2012 'total expenditures' exceed your 2012</v>
      </c>
    </row>
    <row r="9" ht="15">
      <c r="A9" s="125" t="s">
        <v>595</v>
      </c>
    </row>
    <row r="10" ht="15">
      <c r="A10" s="122"/>
    </row>
    <row r="11" ht="15">
      <c r="A11" s="122" t="s">
        <v>596</v>
      </c>
    </row>
    <row r="12" ht="15">
      <c r="A12" s="122" t="s">
        <v>597</v>
      </c>
    </row>
    <row r="13" ht="15">
      <c r="A13" s="122" t="s">
        <v>598</v>
      </c>
    </row>
    <row r="14" ht="15">
      <c r="A14" s="122"/>
    </row>
    <row r="15" ht="15">
      <c r="A15" s="123" t="s">
        <v>599</v>
      </c>
    </row>
    <row r="16" spans="1:7" ht="15">
      <c r="A16" s="121"/>
      <c r="B16" s="121"/>
      <c r="C16" s="121"/>
      <c r="D16" s="121"/>
      <c r="E16" s="121"/>
      <c r="F16" s="121"/>
      <c r="G16" s="121"/>
    </row>
    <row r="17" spans="1:8" ht="15">
      <c r="A17" s="126" t="s">
        <v>600</v>
      </c>
      <c r="B17" s="127"/>
      <c r="C17" s="127"/>
      <c r="D17" s="127"/>
      <c r="E17" s="127"/>
      <c r="F17" s="127"/>
      <c r="G17" s="127"/>
      <c r="H17" s="127"/>
    </row>
    <row r="18" spans="1:7" ht="15">
      <c r="A18" s="122" t="s">
        <v>601</v>
      </c>
      <c r="B18" s="128"/>
      <c r="C18" s="128"/>
      <c r="D18" s="128"/>
      <c r="E18" s="128"/>
      <c r="F18" s="128"/>
      <c r="G18" s="128"/>
    </row>
    <row r="19" ht="15">
      <c r="A19" s="122" t="s">
        <v>602</v>
      </c>
    </row>
    <row r="20" ht="15">
      <c r="A20" s="122" t="s">
        <v>603</v>
      </c>
    </row>
    <row r="22" ht="15">
      <c r="A22" s="123" t="s">
        <v>604</v>
      </c>
    </row>
    <row r="24" ht="15">
      <c r="A24" s="122" t="s">
        <v>605</v>
      </c>
    </row>
    <row r="25" ht="15">
      <c r="A25" s="122" t="s">
        <v>606</v>
      </c>
    </row>
    <row r="26" ht="15">
      <c r="A26" s="122" t="s">
        <v>607</v>
      </c>
    </row>
    <row r="28" ht="15">
      <c r="A28" s="123" t="s">
        <v>608</v>
      </c>
    </row>
    <row r="30" ht="15">
      <c r="A30" t="s">
        <v>609</v>
      </c>
    </row>
    <row r="31" ht="15">
      <c r="A31" t="s">
        <v>610</v>
      </c>
    </row>
    <row r="32" ht="15">
      <c r="A32" t="s">
        <v>611</v>
      </c>
    </row>
    <row r="33" ht="15">
      <c r="A33" s="122" t="s">
        <v>612</v>
      </c>
    </row>
    <row r="35" ht="15">
      <c r="A35" t="s">
        <v>613</v>
      </c>
    </row>
    <row r="36" ht="15">
      <c r="A36" t="s">
        <v>614</v>
      </c>
    </row>
    <row r="37" ht="15">
      <c r="A37" t="s">
        <v>615</v>
      </c>
    </row>
    <row r="38" ht="15">
      <c r="A38" t="s">
        <v>616</v>
      </c>
    </row>
    <row r="40" ht="15">
      <c r="A40" t="s">
        <v>617</v>
      </c>
    </row>
    <row r="41" ht="15">
      <c r="A41" t="s">
        <v>618</v>
      </c>
    </row>
    <row r="42" ht="15">
      <c r="A42" t="s">
        <v>619</v>
      </c>
    </row>
    <row r="43" ht="15">
      <c r="A43" t="s">
        <v>620</v>
      </c>
    </row>
    <row r="44" ht="15">
      <c r="A44" t="s">
        <v>621</v>
      </c>
    </row>
    <row r="45" ht="15">
      <c r="A45" t="s">
        <v>622</v>
      </c>
    </row>
    <row r="47" ht="15">
      <c r="A47" t="s">
        <v>623</v>
      </c>
    </row>
    <row r="48" ht="15">
      <c r="A48" t="s">
        <v>624</v>
      </c>
    </row>
    <row r="49" ht="15">
      <c r="A49" s="122" t="s">
        <v>625</v>
      </c>
    </row>
    <row r="50" ht="15">
      <c r="A50" s="122" t="s">
        <v>626</v>
      </c>
    </row>
    <row r="52" ht="15">
      <c r="A52" t="s">
        <v>476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A1" sqref="A1:IV16384"/>
    </sheetView>
  </sheetViews>
  <sheetFormatPr defaultColWidth="8.796875" defaultRowHeight="15"/>
  <cols>
    <col min="1" max="1" width="7.59765625" style="137" customWidth="1"/>
    <col min="2" max="2" width="11.19921875" style="139" customWidth="1"/>
    <col min="3" max="3" width="7.3984375" style="139" customWidth="1"/>
    <col min="4" max="4" width="8.8984375" style="139" customWidth="1"/>
    <col min="5" max="5" width="1.59765625" style="139" customWidth="1"/>
    <col min="6" max="6" width="14.296875" style="139" customWidth="1"/>
    <col min="7" max="7" width="2.59765625" style="139" customWidth="1"/>
    <col min="8" max="8" width="9.796875" style="139" customWidth="1"/>
    <col min="9" max="9" width="2" style="139" customWidth="1"/>
    <col min="10" max="10" width="8.59765625" style="139" customWidth="1"/>
    <col min="11" max="11" width="11.69921875" style="139" customWidth="1"/>
    <col min="12" max="12" width="7.59765625" style="137" customWidth="1"/>
    <col min="13" max="14" width="8.8984375" style="137" customWidth="1"/>
    <col min="15" max="15" width="9.8984375" style="137" bestFit="1" customWidth="1"/>
    <col min="16" max="16384" width="8.8984375" style="137" customWidth="1"/>
  </cols>
  <sheetData>
    <row r="1" spans="1:12" ht="14.25">
      <c r="A1" s="138"/>
      <c r="B1" s="138"/>
      <c r="C1" s="138"/>
      <c r="D1" s="138"/>
      <c r="E1" s="138"/>
      <c r="F1" s="138"/>
      <c r="G1" s="138"/>
      <c r="H1" s="138"/>
      <c r="I1" s="138"/>
      <c r="J1" s="138"/>
      <c r="K1" s="138"/>
      <c r="L1" s="138"/>
    </row>
    <row r="2" spans="1:12" ht="14.25">
      <c r="A2" s="138"/>
      <c r="B2" s="138"/>
      <c r="C2" s="138"/>
      <c r="D2" s="138"/>
      <c r="E2" s="138"/>
      <c r="F2" s="138"/>
      <c r="G2" s="138"/>
      <c r="H2" s="138"/>
      <c r="I2" s="138"/>
      <c r="J2" s="138"/>
      <c r="K2" s="138"/>
      <c r="L2" s="138"/>
    </row>
    <row r="3" spans="1:12" ht="14.25">
      <c r="A3" s="138"/>
      <c r="B3" s="138"/>
      <c r="C3" s="138"/>
      <c r="D3" s="138"/>
      <c r="E3" s="138"/>
      <c r="F3" s="138"/>
      <c r="G3" s="138"/>
      <c r="H3" s="138"/>
      <c r="I3" s="138"/>
      <c r="J3" s="138"/>
      <c r="K3" s="138"/>
      <c r="L3" s="138"/>
    </row>
    <row r="4" spans="1:12" ht="14.25">
      <c r="A4" s="138"/>
      <c r="L4" s="138"/>
    </row>
    <row r="5" spans="1:12" ht="15" customHeight="1">
      <c r="A5" s="138"/>
      <c r="L5" s="138"/>
    </row>
    <row r="6" spans="1:12" ht="33" customHeight="1">
      <c r="A6" s="138"/>
      <c r="B6" s="776" t="s">
        <v>668</v>
      </c>
      <c r="C6" s="780"/>
      <c r="D6" s="780"/>
      <c r="E6" s="780"/>
      <c r="F6" s="780"/>
      <c r="G6" s="780"/>
      <c r="H6" s="780"/>
      <c r="I6" s="780"/>
      <c r="J6" s="780"/>
      <c r="K6" s="780"/>
      <c r="L6" s="140"/>
    </row>
    <row r="7" spans="1:12" ht="40.5" customHeight="1">
      <c r="A7" s="138"/>
      <c r="B7" s="792" t="s">
        <v>669</v>
      </c>
      <c r="C7" s="793"/>
      <c r="D7" s="793"/>
      <c r="E7" s="793"/>
      <c r="F7" s="793"/>
      <c r="G7" s="793"/>
      <c r="H7" s="793"/>
      <c r="I7" s="793"/>
      <c r="J7" s="793"/>
      <c r="K7" s="793"/>
      <c r="L7" s="138"/>
    </row>
    <row r="8" spans="1:12" ht="14.25">
      <c r="A8" s="138"/>
      <c r="B8" s="786" t="s">
        <v>670</v>
      </c>
      <c r="C8" s="786"/>
      <c r="D8" s="786"/>
      <c r="E8" s="786"/>
      <c r="F8" s="786"/>
      <c r="G8" s="786"/>
      <c r="H8" s="786"/>
      <c r="I8" s="786"/>
      <c r="J8" s="786"/>
      <c r="K8" s="786"/>
      <c r="L8" s="138"/>
    </row>
    <row r="9" spans="1:12" ht="14.25">
      <c r="A9" s="138"/>
      <c r="L9" s="138"/>
    </row>
    <row r="10" spans="1:12" ht="14.25">
      <c r="A10" s="138"/>
      <c r="B10" s="786" t="s">
        <v>671</v>
      </c>
      <c r="C10" s="786"/>
      <c r="D10" s="786"/>
      <c r="E10" s="786"/>
      <c r="F10" s="786"/>
      <c r="G10" s="786"/>
      <c r="H10" s="786"/>
      <c r="I10" s="786"/>
      <c r="J10" s="786"/>
      <c r="K10" s="786"/>
      <c r="L10" s="138"/>
    </row>
    <row r="11" spans="1:12" ht="14.25">
      <c r="A11" s="138"/>
      <c r="B11" s="211"/>
      <c r="C11" s="211"/>
      <c r="D11" s="211"/>
      <c r="E11" s="211"/>
      <c r="F11" s="211"/>
      <c r="G11" s="211"/>
      <c r="H11" s="211"/>
      <c r="I11" s="211"/>
      <c r="J11" s="211"/>
      <c r="K11" s="211"/>
      <c r="L11" s="138"/>
    </row>
    <row r="12" spans="1:12" ht="32.25" customHeight="1">
      <c r="A12" s="138"/>
      <c r="B12" s="778" t="s">
        <v>672</v>
      </c>
      <c r="C12" s="778"/>
      <c r="D12" s="778"/>
      <c r="E12" s="778"/>
      <c r="F12" s="778"/>
      <c r="G12" s="778"/>
      <c r="H12" s="778"/>
      <c r="I12" s="778"/>
      <c r="J12" s="778"/>
      <c r="K12" s="778"/>
      <c r="L12" s="138"/>
    </row>
    <row r="13" spans="1:12" ht="14.25">
      <c r="A13" s="138"/>
      <c r="L13" s="138"/>
    </row>
    <row r="14" spans="1:12" ht="14.25">
      <c r="A14" s="138"/>
      <c r="B14" s="141" t="s">
        <v>673</v>
      </c>
      <c r="L14" s="138"/>
    </row>
    <row r="15" spans="1:12" ht="14.25">
      <c r="A15" s="138"/>
      <c r="L15" s="138"/>
    </row>
    <row r="16" spans="1:12" ht="14.25">
      <c r="A16" s="138"/>
      <c r="B16" s="139" t="s">
        <v>674</v>
      </c>
      <c r="L16" s="138"/>
    </row>
    <row r="17" spans="1:12" ht="14.25">
      <c r="A17" s="138"/>
      <c r="B17" s="139" t="s">
        <v>675</v>
      </c>
      <c r="L17" s="138"/>
    </row>
    <row r="18" spans="1:12" ht="14.25">
      <c r="A18" s="138"/>
      <c r="L18" s="138"/>
    </row>
    <row r="19" spans="1:12" ht="14.25">
      <c r="A19" s="138"/>
      <c r="B19" s="141" t="s">
        <v>676</v>
      </c>
      <c r="L19" s="138"/>
    </row>
    <row r="20" spans="1:12" ht="14.25">
      <c r="A20" s="138"/>
      <c r="B20" s="141"/>
      <c r="L20" s="138"/>
    </row>
    <row r="21" spans="1:12" ht="14.25">
      <c r="A21" s="138"/>
      <c r="B21" s="139" t="s">
        <v>677</v>
      </c>
      <c r="L21" s="138"/>
    </row>
    <row r="22" spans="1:12" ht="14.25">
      <c r="A22" s="138"/>
      <c r="L22" s="138"/>
    </row>
    <row r="23" spans="1:12" ht="14.25">
      <c r="A23" s="138"/>
      <c r="B23" s="139" t="s">
        <v>678</v>
      </c>
      <c r="E23" s="139" t="s">
        <v>679</v>
      </c>
      <c r="F23" s="784">
        <v>133685008</v>
      </c>
      <c r="G23" s="784"/>
      <c r="L23" s="138"/>
    </row>
    <row r="24" spans="1:12" ht="14.25">
      <c r="A24" s="138"/>
      <c r="L24" s="138"/>
    </row>
    <row r="25" spans="1:12" ht="14.25">
      <c r="A25" s="138"/>
      <c r="C25" s="794">
        <f>F23</f>
        <v>133685008</v>
      </c>
      <c r="D25" s="794"/>
      <c r="E25" s="139" t="s">
        <v>680</v>
      </c>
      <c r="F25" s="142">
        <v>1000</v>
      </c>
      <c r="G25" s="142" t="s">
        <v>679</v>
      </c>
      <c r="H25" s="212">
        <f>F23/F25</f>
        <v>133685.008</v>
      </c>
      <c r="L25" s="138"/>
    </row>
    <row r="26" spans="1:12" ht="15" thickBot="1">
      <c r="A26" s="138"/>
      <c r="L26" s="138"/>
    </row>
    <row r="27" spans="1:12" ht="14.25">
      <c r="A27" s="138"/>
      <c r="B27" s="143" t="s">
        <v>673</v>
      </c>
      <c r="C27" s="144"/>
      <c r="D27" s="144"/>
      <c r="E27" s="144"/>
      <c r="F27" s="144"/>
      <c r="G27" s="144"/>
      <c r="H27" s="144"/>
      <c r="I27" s="144"/>
      <c r="J27" s="144"/>
      <c r="K27" s="145"/>
      <c r="L27" s="138"/>
    </row>
    <row r="28" spans="1:12" ht="14.25">
      <c r="A28" s="138"/>
      <c r="B28" s="146">
        <f>F23</f>
        <v>133685008</v>
      </c>
      <c r="C28" s="147" t="s">
        <v>681</v>
      </c>
      <c r="D28" s="147"/>
      <c r="E28" s="147" t="s">
        <v>680</v>
      </c>
      <c r="F28" s="216">
        <v>1000</v>
      </c>
      <c r="G28" s="216" t="s">
        <v>679</v>
      </c>
      <c r="H28" s="148">
        <f>B28/F28</f>
        <v>133685.008</v>
      </c>
      <c r="I28" s="147" t="s">
        <v>682</v>
      </c>
      <c r="J28" s="147"/>
      <c r="K28" s="149"/>
      <c r="L28" s="138"/>
    </row>
    <row r="29" spans="1:12" ht="15" thickBot="1">
      <c r="A29" s="138"/>
      <c r="B29" s="150"/>
      <c r="C29" s="151"/>
      <c r="D29" s="151"/>
      <c r="E29" s="151"/>
      <c r="F29" s="151"/>
      <c r="G29" s="151"/>
      <c r="H29" s="151"/>
      <c r="I29" s="151"/>
      <c r="J29" s="151"/>
      <c r="K29" s="152"/>
      <c r="L29" s="138"/>
    </row>
    <row r="30" spans="1:12" ht="40.5" customHeight="1">
      <c r="A30" s="138"/>
      <c r="B30" s="775" t="s">
        <v>669</v>
      </c>
      <c r="C30" s="775"/>
      <c r="D30" s="775"/>
      <c r="E30" s="775"/>
      <c r="F30" s="775"/>
      <c r="G30" s="775"/>
      <c r="H30" s="775"/>
      <c r="I30" s="775"/>
      <c r="J30" s="775"/>
      <c r="K30" s="775"/>
      <c r="L30" s="138"/>
    </row>
    <row r="31" spans="1:12" ht="14.25">
      <c r="A31" s="138"/>
      <c r="B31" s="786" t="s">
        <v>683</v>
      </c>
      <c r="C31" s="786"/>
      <c r="D31" s="786"/>
      <c r="E31" s="786"/>
      <c r="F31" s="786"/>
      <c r="G31" s="786"/>
      <c r="H31" s="786"/>
      <c r="I31" s="786"/>
      <c r="J31" s="786"/>
      <c r="K31" s="786"/>
      <c r="L31" s="138"/>
    </row>
    <row r="32" spans="1:12" ht="14.25">
      <c r="A32" s="138"/>
      <c r="L32" s="138"/>
    </row>
    <row r="33" spans="1:12" ht="14.25">
      <c r="A33" s="138"/>
      <c r="B33" s="786" t="s">
        <v>684</v>
      </c>
      <c r="C33" s="786"/>
      <c r="D33" s="786"/>
      <c r="E33" s="786"/>
      <c r="F33" s="786"/>
      <c r="G33" s="786"/>
      <c r="H33" s="786"/>
      <c r="I33" s="786"/>
      <c r="J33" s="786"/>
      <c r="K33" s="786"/>
      <c r="L33" s="138"/>
    </row>
    <row r="34" spans="1:12" ht="14.25">
      <c r="A34" s="138"/>
      <c r="L34" s="138"/>
    </row>
    <row r="35" spans="1:12" ht="89.25" customHeight="1">
      <c r="A35" s="138"/>
      <c r="B35" s="778" t="s">
        <v>685</v>
      </c>
      <c r="C35" s="783"/>
      <c r="D35" s="783"/>
      <c r="E35" s="783"/>
      <c r="F35" s="783"/>
      <c r="G35" s="783"/>
      <c r="H35" s="783"/>
      <c r="I35" s="783"/>
      <c r="J35" s="783"/>
      <c r="K35" s="783"/>
      <c r="L35" s="138"/>
    </row>
    <row r="36" spans="1:12" ht="14.25">
      <c r="A36" s="138"/>
      <c r="L36" s="138"/>
    </row>
    <row r="37" spans="1:12" ht="14.25">
      <c r="A37" s="138"/>
      <c r="B37" s="141" t="s">
        <v>686</v>
      </c>
      <c r="L37" s="138"/>
    </row>
    <row r="38" spans="1:12" ht="14.25">
      <c r="A38" s="138"/>
      <c r="L38" s="138"/>
    </row>
    <row r="39" spans="1:12" ht="14.25">
      <c r="A39" s="138"/>
      <c r="B39" s="139" t="s">
        <v>687</v>
      </c>
      <c r="L39" s="138"/>
    </row>
    <row r="40" spans="1:12" ht="14.25">
      <c r="A40" s="138"/>
      <c r="L40" s="138"/>
    </row>
    <row r="41" spans="1:12" ht="14.25">
      <c r="A41" s="138"/>
      <c r="C41" s="787">
        <v>3120000</v>
      </c>
      <c r="D41" s="787"/>
      <c r="E41" s="139" t="s">
        <v>680</v>
      </c>
      <c r="F41" s="142">
        <v>1000</v>
      </c>
      <c r="G41" s="142" t="s">
        <v>679</v>
      </c>
      <c r="H41" s="153">
        <f>C41/F41</f>
        <v>3120</v>
      </c>
      <c r="L41" s="138"/>
    </row>
    <row r="42" spans="1:12" ht="14.25">
      <c r="A42" s="138"/>
      <c r="L42" s="138"/>
    </row>
    <row r="43" spans="1:12" ht="14.25">
      <c r="A43" s="138"/>
      <c r="B43" s="139" t="s">
        <v>688</v>
      </c>
      <c r="L43" s="138"/>
    </row>
    <row r="44" spans="1:12" ht="14.25">
      <c r="A44" s="138"/>
      <c r="L44" s="138"/>
    </row>
    <row r="45" spans="1:12" ht="14.25">
      <c r="A45" s="138"/>
      <c r="B45" s="139" t="s">
        <v>689</v>
      </c>
      <c r="L45" s="138"/>
    </row>
    <row r="46" spans="1:12" ht="15" thickBot="1">
      <c r="A46" s="138"/>
      <c r="L46" s="138"/>
    </row>
    <row r="47" spans="1:12" ht="14.25">
      <c r="A47" s="138"/>
      <c r="B47" s="154" t="s">
        <v>673</v>
      </c>
      <c r="C47" s="144"/>
      <c r="D47" s="144"/>
      <c r="E47" s="144"/>
      <c r="F47" s="144"/>
      <c r="G47" s="144"/>
      <c r="H47" s="144"/>
      <c r="I47" s="144"/>
      <c r="J47" s="144"/>
      <c r="K47" s="145"/>
      <c r="L47" s="138"/>
    </row>
    <row r="48" spans="1:12" ht="14.25">
      <c r="A48" s="138"/>
      <c r="B48" s="784">
        <v>133685008</v>
      </c>
      <c r="C48" s="784"/>
      <c r="D48" s="147" t="s">
        <v>690</v>
      </c>
      <c r="E48" s="147" t="s">
        <v>680</v>
      </c>
      <c r="F48" s="216">
        <v>1000</v>
      </c>
      <c r="G48" s="216" t="s">
        <v>679</v>
      </c>
      <c r="H48" s="148">
        <f>B48/F48</f>
        <v>133685.008</v>
      </c>
      <c r="I48" s="147" t="s">
        <v>691</v>
      </c>
      <c r="J48" s="147"/>
      <c r="K48" s="149"/>
      <c r="L48" s="138"/>
    </row>
    <row r="49" spans="1:12" ht="14.25">
      <c r="A49" s="138"/>
      <c r="B49" s="155"/>
      <c r="C49" s="147"/>
      <c r="D49" s="147"/>
      <c r="E49" s="147"/>
      <c r="F49" s="147"/>
      <c r="G49" s="147"/>
      <c r="H49" s="147"/>
      <c r="I49" s="147"/>
      <c r="J49" s="147"/>
      <c r="K49" s="149"/>
      <c r="L49" s="138"/>
    </row>
    <row r="50" spans="1:12" ht="14.25">
      <c r="A50" s="138"/>
      <c r="B50" s="156">
        <v>7067793</v>
      </c>
      <c r="C50" s="147" t="s">
        <v>692</v>
      </c>
      <c r="D50" s="147"/>
      <c r="E50" s="147" t="s">
        <v>680</v>
      </c>
      <c r="F50" s="148">
        <f>H48</f>
        <v>133685.008</v>
      </c>
      <c r="G50" s="788" t="s">
        <v>693</v>
      </c>
      <c r="H50" s="789"/>
      <c r="I50" s="216" t="s">
        <v>679</v>
      </c>
      <c r="J50" s="157">
        <f>B50/F50</f>
        <v>52.8690023342034</v>
      </c>
      <c r="K50" s="149"/>
      <c r="L50" s="138"/>
    </row>
    <row r="51" spans="1:15" ht="15" thickBot="1">
      <c r="A51" s="138"/>
      <c r="B51" s="150"/>
      <c r="C51" s="151"/>
      <c r="D51" s="151"/>
      <c r="E51" s="151"/>
      <c r="F51" s="151"/>
      <c r="G51" s="151"/>
      <c r="H51" s="151"/>
      <c r="I51" s="790" t="s">
        <v>694</v>
      </c>
      <c r="J51" s="790"/>
      <c r="K51" s="791"/>
      <c r="L51" s="138"/>
      <c r="O51" s="235"/>
    </row>
    <row r="52" spans="1:12" ht="40.5" customHeight="1">
      <c r="A52" s="138"/>
      <c r="B52" s="775" t="s">
        <v>669</v>
      </c>
      <c r="C52" s="775"/>
      <c r="D52" s="775"/>
      <c r="E52" s="775"/>
      <c r="F52" s="775"/>
      <c r="G52" s="775"/>
      <c r="H52" s="775"/>
      <c r="I52" s="775"/>
      <c r="J52" s="775"/>
      <c r="K52" s="775"/>
      <c r="L52" s="138"/>
    </row>
    <row r="53" spans="1:12" ht="14.25">
      <c r="A53" s="138"/>
      <c r="B53" s="786" t="s">
        <v>695</v>
      </c>
      <c r="C53" s="786"/>
      <c r="D53" s="786"/>
      <c r="E53" s="786"/>
      <c r="F53" s="786"/>
      <c r="G53" s="786"/>
      <c r="H53" s="786"/>
      <c r="I53" s="786"/>
      <c r="J53" s="786"/>
      <c r="K53" s="786"/>
      <c r="L53" s="138"/>
    </row>
    <row r="54" spans="1:12" ht="14.25">
      <c r="A54" s="138"/>
      <c r="B54" s="211"/>
      <c r="C54" s="211"/>
      <c r="D54" s="211"/>
      <c r="E54" s="211"/>
      <c r="F54" s="211"/>
      <c r="G54" s="211"/>
      <c r="H54" s="211"/>
      <c r="I54" s="211"/>
      <c r="J54" s="211"/>
      <c r="K54" s="211"/>
      <c r="L54" s="138"/>
    </row>
    <row r="55" spans="1:12" ht="14.25">
      <c r="A55" s="138"/>
      <c r="B55" s="776" t="s">
        <v>696</v>
      </c>
      <c r="C55" s="776"/>
      <c r="D55" s="776"/>
      <c r="E55" s="776"/>
      <c r="F55" s="776"/>
      <c r="G55" s="776"/>
      <c r="H55" s="776"/>
      <c r="I55" s="776"/>
      <c r="J55" s="776"/>
      <c r="K55" s="776"/>
      <c r="L55" s="138"/>
    </row>
    <row r="56" spans="1:12" ht="15" customHeight="1">
      <c r="A56" s="138"/>
      <c r="L56" s="138"/>
    </row>
    <row r="57" spans="1:24" ht="74.25" customHeight="1">
      <c r="A57" s="138"/>
      <c r="B57" s="778" t="s">
        <v>697</v>
      </c>
      <c r="C57" s="783"/>
      <c r="D57" s="783"/>
      <c r="E57" s="783"/>
      <c r="F57" s="783"/>
      <c r="G57" s="783"/>
      <c r="H57" s="783"/>
      <c r="I57" s="783"/>
      <c r="J57" s="783"/>
      <c r="K57" s="783"/>
      <c r="L57" s="138"/>
      <c r="M57" s="158"/>
      <c r="N57" s="159"/>
      <c r="O57" s="159"/>
      <c r="P57" s="159"/>
      <c r="Q57" s="159"/>
      <c r="R57" s="159"/>
      <c r="S57" s="159"/>
      <c r="T57" s="159"/>
      <c r="U57" s="159"/>
      <c r="V57" s="159"/>
      <c r="W57" s="159"/>
      <c r="X57" s="159"/>
    </row>
    <row r="58" spans="1:24" ht="15" customHeight="1">
      <c r="A58" s="138"/>
      <c r="B58" s="778"/>
      <c r="C58" s="783"/>
      <c r="D58" s="783"/>
      <c r="E58" s="783"/>
      <c r="F58" s="783"/>
      <c r="G58" s="783"/>
      <c r="H58" s="783"/>
      <c r="I58" s="783"/>
      <c r="J58" s="783"/>
      <c r="K58" s="783"/>
      <c r="L58" s="138"/>
      <c r="M58" s="158"/>
      <c r="N58" s="159"/>
      <c r="O58" s="159"/>
      <c r="P58" s="159"/>
      <c r="Q58" s="159"/>
      <c r="R58" s="159"/>
      <c r="S58" s="159"/>
      <c r="T58" s="159"/>
      <c r="U58" s="159"/>
      <c r="V58" s="159"/>
      <c r="W58" s="159"/>
      <c r="X58" s="159"/>
    </row>
    <row r="59" spans="1:24" ht="14.25">
      <c r="A59" s="138"/>
      <c r="B59" s="141" t="s">
        <v>686</v>
      </c>
      <c r="L59" s="138"/>
      <c r="M59" s="159"/>
      <c r="N59" s="159"/>
      <c r="O59" s="159"/>
      <c r="P59" s="159"/>
      <c r="Q59" s="159"/>
      <c r="R59" s="159"/>
      <c r="S59" s="159"/>
      <c r="T59" s="159"/>
      <c r="U59" s="159"/>
      <c r="V59" s="159"/>
      <c r="W59" s="159"/>
      <c r="X59" s="159"/>
    </row>
    <row r="60" spans="1:24" ht="14.25">
      <c r="A60" s="138"/>
      <c r="L60" s="138"/>
      <c r="M60" s="159"/>
      <c r="N60" s="159"/>
      <c r="O60" s="159"/>
      <c r="P60" s="159"/>
      <c r="Q60" s="159"/>
      <c r="R60" s="159"/>
      <c r="S60" s="159"/>
      <c r="T60" s="159"/>
      <c r="U60" s="159"/>
      <c r="V60" s="159"/>
      <c r="W60" s="159"/>
      <c r="X60" s="159"/>
    </row>
    <row r="61" spans="1:24" ht="14.25">
      <c r="A61" s="138"/>
      <c r="B61" s="139" t="s">
        <v>698</v>
      </c>
      <c r="L61" s="138"/>
      <c r="M61" s="159"/>
      <c r="N61" s="159"/>
      <c r="O61" s="159"/>
      <c r="P61" s="159"/>
      <c r="Q61" s="159"/>
      <c r="R61" s="159"/>
      <c r="S61" s="159"/>
      <c r="T61" s="159"/>
      <c r="U61" s="159"/>
      <c r="V61" s="159"/>
      <c r="W61" s="159"/>
      <c r="X61" s="159"/>
    </row>
    <row r="62" spans="1:24" ht="14.25">
      <c r="A62" s="138"/>
      <c r="B62" s="139" t="s">
        <v>699</v>
      </c>
      <c r="L62" s="138"/>
      <c r="M62" s="159"/>
      <c r="N62" s="159"/>
      <c r="O62" s="159"/>
      <c r="P62" s="159"/>
      <c r="Q62" s="159"/>
      <c r="R62" s="159"/>
      <c r="S62" s="159"/>
      <c r="T62" s="159"/>
      <c r="U62" s="159"/>
      <c r="V62" s="159"/>
      <c r="W62" s="159"/>
      <c r="X62" s="159"/>
    </row>
    <row r="63" spans="1:24" ht="14.25">
      <c r="A63" s="138"/>
      <c r="B63" s="139" t="s">
        <v>700</v>
      </c>
      <c r="L63" s="138"/>
      <c r="M63" s="159"/>
      <c r="N63" s="159"/>
      <c r="O63" s="159"/>
      <c r="P63" s="159"/>
      <c r="Q63" s="159"/>
      <c r="R63" s="159"/>
      <c r="S63" s="159"/>
      <c r="T63" s="159"/>
      <c r="U63" s="159"/>
      <c r="V63" s="159"/>
      <c r="W63" s="159"/>
      <c r="X63" s="159"/>
    </row>
    <row r="64" spans="1:24" ht="14.25">
      <c r="A64" s="138"/>
      <c r="L64" s="138"/>
      <c r="M64" s="159"/>
      <c r="N64" s="159"/>
      <c r="O64" s="159"/>
      <c r="P64" s="159"/>
      <c r="Q64" s="159"/>
      <c r="R64" s="159"/>
      <c r="S64" s="159"/>
      <c r="T64" s="159"/>
      <c r="U64" s="159"/>
      <c r="V64" s="159"/>
      <c r="W64" s="159"/>
      <c r="X64" s="159"/>
    </row>
    <row r="65" spans="1:24" ht="14.25">
      <c r="A65" s="138"/>
      <c r="B65" s="139" t="s">
        <v>701</v>
      </c>
      <c r="L65" s="138"/>
      <c r="M65" s="159"/>
      <c r="N65" s="159"/>
      <c r="O65" s="159"/>
      <c r="P65" s="159"/>
      <c r="Q65" s="159"/>
      <c r="R65" s="159"/>
      <c r="S65" s="159"/>
      <c r="T65" s="159"/>
      <c r="U65" s="159"/>
      <c r="V65" s="159"/>
      <c r="W65" s="159"/>
      <c r="X65" s="159"/>
    </row>
    <row r="66" spans="1:24" ht="14.25">
      <c r="A66" s="138"/>
      <c r="B66" s="139" t="s">
        <v>702</v>
      </c>
      <c r="L66" s="138"/>
      <c r="M66" s="159"/>
      <c r="N66" s="159"/>
      <c r="O66" s="159"/>
      <c r="P66" s="159"/>
      <c r="Q66" s="159"/>
      <c r="R66" s="159"/>
      <c r="S66" s="159"/>
      <c r="T66" s="159"/>
      <c r="U66" s="159"/>
      <c r="V66" s="159"/>
      <c r="W66" s="159"/>
      <c r="X66" s="159"/>
    </row>
    <row r="67" spans="1:24" ht="14.25">
      <c r="A67" s="138"/>
      <c r="L67" s="138"/>
      <c r="M67" s="159"/>
      <c r="N67" s="159"/>
      <c r="O67" s="159"/>
      <c r="P67" s="159"/>
      <c r="Q67" s="159"/>
      <c r="R67" s="159"/>
      <c r="S67" s="159"/>
      <c r="T67" s="159"/>
      <c r="U67" s="159"/>
      <c r="V67" s="159"/>
      <c r="W67" s="159"/>
      <c r="X67" s="159"/>
    </row>
    <row r="68" spans="1:24" ht="14.25">
      <c r="A68" s="138"/>
      <c r="B68" s="139" t="s">
        <v>703</v>
      </c>
      <c r="L68" s="138"/>
      <c r="M68" s="160"/>
      <c r="N68" s="161"/>
      <c r="O68" s="161"/>
      <c r="P68" s="161"/>
      <c r="Q68" s="161"/>
      <c r="R68" s="161"/>
      <c r="S68" s="161"/>
      <c r="T68" s="161"/>
      <c r="U68" s="161"/>
      <c r="V68" s="161"/>
      <c r="W68" s="161"/>
      <c r="X68" s="159"/>
    </row>
    <row r="69" spans="1:24" ht="14.25">
      <c r="A69" s="138"/>
      <c r="B69" s="139" t="s">
        <v>704</v>
      </c>
      <c r="L69" s="138"/>
      <c r="M69" s="159"/>
      <c r="N69" s="159"/>
      <c r="O69" s="159"/>
      <c r="P69" s="159"/>
      <c r="Q69" s="159"/>
      <c r="R69" s="159"/>
      <c r="S69" s="159"/>
      <c r="T69" s="159"/>
      <c r="U69" s="159"/>
      <c r="V69" s="159"/>
      <c r="W69" s="159"/>
      <c r="X69" s="159"/>
    </row>
    <row r="70" spans="1:24" ht="14.25">
      <c r="A70" s="138"/>
      <c r="B70" s="139" t="s">
        <v>705</v>
      </c>
      <c r="L70" s="138"/>
      <c r="M70" s="159"/>
      <c r="N70" s="159"/>
      <c r="O70" s="159"/>
      <c r="P70" s="159"/>
      <c r="Q70" s="159"/>
      <c r="R70" s="159"/>
      <c r="S70" s="159"/>
      <c r="T70" s="159"/>
      <c r="U70" s="159"/>
      <c r="V70" s="159"/>
      <c r="W70" s="159"/>
      <c r="X70" s="159"/>
    </row>
    <row r="71" spans="1:12" ht="15" thickBot="1">
      <c r="A71" s="138"/>
      <c r="B71" s="147"/>
      <c r="C71" s="147"/>
      <c r="D71" s="147"/>
      <c r="E71" s="147"/>
      <c r="F71" s="147"/>
      <c r="G71" s="147"/>
      <c r="H71" s="147"/>
      <c r="I71" s="147"/>
      <c r="J71" s="147"/>
      <c r="K71" s="147"/>
      <c r="L71" s="138"/>
    </row>
    <row r="72" spans="1:12" ht="14.25">
      <c r="A72" s="138"/>
      <c r="B72" s="143" t="s">
        <v>673</v>
      </c>
      <c r="C72" s="144"/>
      <c r="D72" s="144"/>
      <c r="E72" s="144"/>
      <c r="F72" s="144"/>
      <c r="G72" s="144"/>
      <c r="H72" s="144"/>
      <c r="I72" s="144"/>
      <c r="J72" s="144"/>
      <c r="K72" s="145"/>
      <c r="L72" s="162"/>
    </row>
    <row r="73" spans="1:12" ht="14.25">
      <c r="A73" s="138"/>
      <c r="B73" s="155"/>
      <c r="C73" s="147" t="s">
        <v>681</v>
      </c>
      <c r="D73" s="147"/>
      <c r="E73" s="147"/>
      <c r="F73" s="147"/>
      <c r="G73" s="147"/>
      <c r="H73" s="147"/>
      <c r="I73" s="147"/>
      <c r="J73" s="147"/>
      <c r="K73" s="149"/>
      <c r="L73" s="162"/>
    </row>
    <row r="74" spans="1:12" ht="14.25">
      <c r="A74" s="138"/>
      <c r="B74" s="155" t="s">
        <v>706</v>
      </c>
      <c r="C74" s="784">
        <v>133685008</v>
      </c>
      <c r="D74" s="784"/>
      <c r="E74" s="216" t="s">
        <v>680</v>
      </c>
      <c r="F74" s="216">
        <v>1000</v>
      </c>
      <c r="G74" s="216" t="s">
        <v>679</v>
      </c>
      <c r="H74" s="217">
        <f>C74/F74</f>
        <v>133685.008</v>
      </c>
      <c r="I74" s="147" t="s">
        <v>707</v>
      </c>
      <c r="J74" s="147"/>
      <c r="K74" s="149"/>
      <c r="L74" s="162"/>
    </row>
    <row r="75" spans="1:12" ht="14.25">
      <c r="A75" s="138"/>
      <c r="B75" s="155"/>
      <c r="C75" s="147"/>
      <c r="D75" s="147"/>
      <c r="E75" s="216"/>
      <c r="F75" s="147"/>
      <c r="G75" s="147"/>
      <c r="H75" s="147"/>
      <c r="I75" s="147"/>
      <c r="J75" s="147"/>
      <c r="K75" s="149"/>
      <c r="L75" s="162"/>
    </row>
    <row r="76" spans="1:12" ht="14.25">
      <c r="A76" s="138"/>
      <c r="B76" s="155"/>
      <c r="C76" s="147" t="s">
        <v>708</v>
      </c>
      <c r="D76" s="147"/>
      <c r="E76" s="216"/>
      <c r="F76" s="147" t="s">
        <v>707</v>
      </c>
      <c r="G76" s="147"/>
      <c r="H76" s="147"/>
      <c r="I76" s="147"/>
      <c r="J76" s="147"/>
      <c r="K76" s="149"/>
      <c r="L76" s="162"/>
    </row>
    <row r="77" spans="1:12" ht="14.25">
      <c r="A77" s="138"/>
      <c r="B77" s="155" t="s">
        <v>711</v>
      </c>
      <c r="C77" s="784">
        <v>5000</v>
      </c>
      <c r="D77" s="784"/>
      <c r="E77" s="216" t="s">
        <v>680</v>
      </c>
      <c r="F77" s="217">
        <f>H74</f>
        <v>133685.008</v>
      </c>
      <c r="G77" s="216" t="s">
        <v>679</v>
      </c>
      <c r="H77" s="157">
        <f>C77/F77</f>
        <v>0.03740135169083432</v>
      </c>
      <c r="I77" s="147" t="s">
        <v>709</v>
      </c>
      <c r="J77" s="147"/>
      <c r="K77" s="149"/>
      <c r="L77" s="162"/>
    </row>
    <row r="78" spans="1:12" ht="14.25">
      <c r="A78" s="138"/>
      <c r="B78" s="155"/>
      <c r="C78" s="147"/>
      <c r="D78" s="147"/>
      <c r="E78" s="216"/>
      <c r="F78" s="147"/>
      <c r="G78" s="147"/>
      <c r="H78" s="147"/>
      <c r="I78" s="147"/>
      <c r="J78" s="147"/>
      <c r="K78" s="149"/>
      <c r="L78" s="162"/>
    </row>
    <row r="79" spans="1:12" ht="14.25">
      <c r="A79" s="138"/>
      <c r="B79" s="163"/>
      <c r="C79" s="164" t="s">
        <v>710</v>
      </c>
      <c r="D79" s="164"/>
      <c r="E79" s="218"/>
      <c r="F79" s="164"/>
      <c r="G79" s="164"/>
      <c r="H79" s="164"/>
      <c r="I79" s="164"/>
      <c r="J79" s="164"/>
      <c r="K79" s="165"/>
      <c r="L79" s="162"/>
    </row>
    <row r="80" spans="1:12" ht="14.25">
      <c r="A80" s="138"/>
      <c r="B80" s="155" t="s">
        <v>793</v>
      </c>
      <c r="C80" s="784">
        <v>100000</v>
      </c>
      <c r="D80" s="784"/>
      <c r="E80" s="216" t="s">
        <v>95</v>
      </c>
      <c r="F80" s="216">
        <v>0.115</v>
      </c>
      <c r="G80" s="216" t="s">
        <v>679</v>
      </c>
      <c r="H80" s="217">
        <f>C80*F80</f>
        <v>11500</v>
      </c>
      <c r="I80" s="147" t="s">
        <v>712</v>
      </c>
      <c r="J80" s="147"/>
      <c r="K80" s="149"/>
      <c r="L80" s="162"/>
    </row>
    <row r="81" spans="1:12" ht="14.25">
      <c r="A81" s="138"/>
      <c r="B81" s="155"/>
      <c r="C81" s="147"/>
      <c r="D81" s="147"/>
      <c r="E81" s="216"/>
      <c r="F81" s="147"/>
      <c r="G81" s="147"/>
      <c r="H81" s="147"/>
      <c r="I81" s="147"/>
      <c r="J81" s="147"/>
      <c r="K81" s="149"/>
      <c r="L81" s="162"/>
    </row>
    <row r="82" spans="1:12" ht="14.25">
      <c r="A82" s="138"/>
      <c r="B82" s="163"/>
      <c r="C82" s="164" t="s">
        <v>713</v>
      </c>
      <c r="D82" s="164"/>
      <c r="E82" s="218"/>
      <c r="F82" s="164" t="s">
        <v>709</v>
      </c>
      <c r="G82" s="164"/>
      <c r="H82" s="164"/>
      <c r="I82" s="164"/>
      <c r="J82" s="164" t="s">
        <v>714</v>
      </c>
      <c r="K82" s="165"/>
      <c r="L82" s="162"/>
    </row>
    <row r="83" spans="1:12" ht="14.25">
      <c r="A83" s="138"/>
      <c r="B83" s="155" t="s">
        <v>794</v>
      </c>
      <c r="C83" s="785">
        <f>H80</f>
        <v>11500</v>
      </c>
      <c r="D83" s="785"/>
      <c r="E83" s="216" t="s">
        <v>95</v>
      </c>
      <c r="F83" s="157">
        <f>H77</f>
        <v>0.03740135169083432</v>
      </c>
      <c r="G83" s="216" t="s">
        <v>680</v>
      </c>
      <c r="H83" s="216">
        <v>1000</v>
      </c>
      <c r="I83" s="216" t="s">
        <v>679</v>
      </c>
      <c r="J83" s="166">
        <f>C83*F83/H83</f>
        <v>0.43011554444459466</v>
      </c>
      <c r="K83" s="149"/>
      <c r="L83" s="162"/>
    </row>
    <row r="84" spans="1:12" ht="15" thickBot="1">
      <c r="A84" s="138"/>
      <c r="B84" s="150"/>
      <c r="C84" s="167"/>
      <c r="D84" s="167"/>
      <c r="E84" s="168"/>
      <c r="F84" s="169"/>
      <c r="G84" s="168"/>
      <c r="H84" s="168"/>
      <c r="I84" s="168"/>
      <c r="J84" s="170"/>
      <c r="K84" s="152"/>
      <c r="L84" s="162"/>
    </row>
    <row r="85" spans="1:12" ht="40.5" customHeight="1">
      <c r="A85" s="138"/>
      <c r="B85" s="775" t="s">
        <v>669</v>
      </c>
      <c r="C85" s="775"/>
      <c r="D85" s="775"/>
      <c r="E85" s="775"/>
      <c r="F85" s="775"/>
      <c r="G85" s="775"/>
      <c r="H85" s="775"/>
      <c r="I85" s="775"/>
      <c r="J85" s="775"/>
      <c r="K85" s="775"/>
      <c r="L85" s="138"/>
    </row>
    <row r="86" spans="1:12" ht="14.25">
      <c r="A86" s="138"/>
      <c r="B86" s="776" t="s">
        <v>715</v>
      </c>
      <c r="C86" s="776"/>
      <c r="D86" s="776"/>
      <c r="E86" s="776"/>
      <c r="F86" s="776"/>
      <c r="G86" s="776"/>
      <c r="H86" s="776"/>
      <c r="I86" s="776"/>
      <c r="J86" s="776"/>
      <c r="K86" s="776"/>
      <c r="L86" s="138"/>
    </row>
    <row r="87" spans="1:12" ht="14.25">
      <c r="A87" s="138"/>
      <c r="B87" s="171"/>
      <c r="C87" s="171"/>
      <c r="D87" s="171"/>
      <c r="E87" s="171"/>
      <c r="F87" s="171"/>
      <c r="G87" s="171"/>
      <c r="H87" s="171"/>
      <c r="I87" s="171"/>
      <c r="J87" s="171"/>
      <c r="K87" s="171"/>
      <c r="L87" s="138"/>
    </row>
    <row r="88" spans="1:12" ht="14.25">
      <c r="A88" s="138"/>
      <c r="B88" s="776" t="s">
        <v>716</v>
      </c>
      <c r="C88" s="776"/>
      <c r="D88" s="776"/>
      <c r="E88" s="776"/>
      <c r="F88" s="776"/>
      <c r="G88" s="776"/>
      <c r="H88" s="776"/>
      <c r="I88" s="776"/>
      <c r="J88" s="776"/>
      <c r="K88" s="776"/>
      <c r="L88" s="138"/>
    </row>
    <row r="89" spans="1:12" ht="14.25">
      <c r="A89" s="138"/>
      <c r="B89" s="210"/>
      <c r="C89" s="210"/>
      <c r="D89" s="210"/>
      <c r="E89" s="210"/>
      <c r="F89" s="210"/>
      <c r="G89" s="210"/>
      <c r="H89" s="210"/>
      <c r="I89" s="210"/>
      <c r="J89" s="210"/>
      <c r="K89" s="210"/>
      <c r="L89" s="138"/>
    </row>
    <row r="90" spans="1:12" ht="45" customHeight="1">
      <c r="A90" s="138"/>
      <c r="B90" s="778" t="s">
        <v>717</v>
      </c>
      <c r="C90" s="778"/>
      <c r="D90" s="778"/>
      <c r="E90" s="778"/>
      <c r="F90" s="778"/>
      <c r="G90" s="778"/>
      <c r="H90" s="778"/>
      <c r="I90" s="778"/>
      <c r="J90" s="778"/>
      <c r="K90" s="778"/>
      <c r="L90" s="138"/>
    </row>
    <row r="91" spans="1:12" ht="15" customHeight="1" thickBot="1">
      <c r="A91" s="138"/>
      <c r="L91" s="138"/>
    </row>
    <row r="92" spans="1:12" ht="15" customHeight="1">
      <c r="A92" s="138"/>
      <c r="B92" s="172" t="s">
        <v>673</v>
      </c>
      <c r="C92" s="173"/>
      <c r="D92" s="173"/>
      <c r="E92" s="173"/>
      <c r="F92" s="173"/>
      <c r="G92" s="173"/>
      <c r="H92" s="173"/>
      <c r="I92" s="173"/>
      <c r="J92" s="173"/>
      <c r="K92" s="174"/>
      <c r="L92" s="138"/>
    </row>
    <row r="93" spans="1:12" ht="15" customHeight="1">
      <c r="A93" s="138"/>
      <c r="B93" s="175"/>
      <c r="C93" s="214" t="s">
        <v>681</v>
      </c>
      <c r="D93" s="214"/>
      <c r="E93" s="214"/>
      <c r="F93" s="214"/>
      <c r="G93" s="214"/>
      <c r="H93" s="214"/>
      <c r="I93" s="214"/>
      <c r="J93" s="214"/>
      <c r="K93" s="176"/>
      <c r="L93" s="138"/>
    </row>
    <row r="94" spans="1:12" ht="15" customHeight="1">
      <c r="A94" s="138"/>
      <c r="B94" s="175" t="s">
        <v>706</v>
      </c>
      <c r="C94" s="784">
        <v>133685008</v>
      </c>
      <c r="D94" s="784"/>
      <c r="E94" s="216" t="s">
        <v>680</v>
      </c>
      <c r="F94" s="216">
        <v>1000</v>
      </c>
      <c r="G94" s="216" t="s">
        <v>679</v>
      </c>
      <c r="H94" s="217">
        <f>C94/F94</f>
        <v>133685.008</v>
      </c>
      <c r="I94" s="214" t="s">
        <v>707</v>
      </c>
      <c r="J94" s="214"/>
      <c r="K94" s="176"/>
      <c r="L94" s="138"/>
    </row>
    <row r="95" spans="1:12" ht="15" customHeight="1">
      <c r="A95" s="138"/>
      <c r="B95" s="175"/>
      <c r="C95" s="214"/>
      <c r="D95" s="214"/>
      <c r="E95" s="216"/>
      <c r="F95" s="214"/>
      <c r="G95" s="214"/>
      <c r="H95" s="214"/>
      <c r="I95" s="214"/>
      <c r="J95" s="214"/>
      <c r="K95" s="176"/>
      <c r="L95" s="138"/>
    </row>
    <row r="96" spans="1:12" ht="15" customHeight="1">
      <c r="A96" s="138"/>
      <c r="B96" s="175"/>
      <c r="C96" s="214" t="s">
        <v>708</v>
      </c>
      <c r="D96" s="214"/>
      <c r="E96" s="216"/>
      <c r="F96" s="214" t="s">
        <v>707</v>
      </c>
      <c r="G96" s="214"/>
      <c r="H96" s="214"/>
      <c r="I96" s="214"/>
      <c r="J96" s="214"/>
      <c r="K96" s="176"/>
      <c r="L96" s="138"/>
    </row>
    <row r="97" spans="1:12" ht="15" customHeight="1">
      <c r="A97" s="138"/>
      <c r="B97" s="175" t="s">
        <v>711</v>
      </c>
      <c r="C97" s="784">
        <v>50000</v>
      </c>
      <c r="D97" s="784"/>
      <c r="E97" s="216" t="s">
        <v>680</v>
      </c>
      <c r="F97" s="217">
        <f>H94</f>
        <v>133685.008</v>
      </c>
      <c r="G97" s="216" t="s">
        <v>679</v>
      </c>
      <c r="H97" s="157">
        <f>C97/F97</f>
        <v>0.3740135169083432</v>
      </c>
      <c r="I97" s="214" t="s">
        <v>709</v>
      </c>
      <c r="J97" s="214"/>
      <c r="K97" s="176"/>
      <c r="L97" s="138"/>
    </row>
    <row r="98" spans="1:12" ht="15" customHeight="1">
      <c r="A98" s="138"/>
      <c r="B98" s="175"/>
      <c r="C98" s="214"/>
      <c r="D98" s="214"/>
      <c r="E98" s="216"/>
      <c r="F98" s="214"/>
      <c r="G98" s="214"/>
      <c r="H98" s="214"/>
      <c r="I98" s="214"/>
      <c r="J98" s="214"/>
      <c r="K98" s="176"/>
      <c r="L98" s="138"/>
    </row>
    <row r="99" spans="1:12" ht="15" customHeight="1">
      <c r="A99" s="138"/>
      <c r="B99" s="177"/>
      <c r="C99" s="178" t="s">
        <v>718</v>
      </c>
      <c r="D99" s="178"/>
      <c r="E99" s="218"/>
      <c r="F99" s="178"/>
      <c r="G99" s="178"/>
      <c r="H99" s="178"/>
      <c r="I99" s="178"/>
      <c r="J99" s="178"/>
      <c r="K99" s="179"/>
      <c r="L99" s="138"/>
    </row>
    <row r="100" spans="1:12" ht="15" customHeight="1">
      <c r="A100" s="138"/>
      <c r="B100" s="175" t="s">
        <v>793</v>
      </c>
      <c r="C100" s="784">
        <v>2500000</v>
      </c>
      <c r="D100" s="784"/>
      <c r="E100" s="216" t="s">
        <v>95</v>
      </c>
      <c r="F100" s="180">
        <v>0.3</v>
      </c>
      <c r="G100" s="216" t="s">
        <v>679</v>
      </c>
      <c r="H100" s="217">
        <f>C100*F100</f>
        <v>750000</v>
      </c>
      <c r="I100" s="214" t="s">
        <v>712</v>
      </c>
      <c r="J100" s="214"/>
      <c r="K100" s="176"/>
      <c r="L100" s="138"/>
    </row>
    <row r="101" spans="1:12" ht="15" customHeight="1">
      <c r="A101" s="138"/>
      <c r="B101" s="175"/>
      <c r="C101" s="214"/>
      <c r="D101" s="214"/>
      <c r="E101" s="216"/>
      <c r="F101" s="214"/>
      <c r="G101" s="214"/>
      <c r="H101" s="214"/>
      <c r="I101" s="214"/>
      <c r="J101" s="214"/>
      <c r="K101" s="176"/>
      <c r="L101" s="138"/>
    </row>
    <row r="102" spans="1:12" ht="15" customHeight="1">
      <c r="A102" s="138"/>
      <c r="B102" s="177"/>
      <c r="C102" s="178" t="s">
        <v>713</v>
      </c>
      <c r="D102" s="178"/>
      <c r="E102" s="218"/>
      <c r="F102" s="178" t="s">
        <v>709</v>
      </c>
      <c r="G102" s="178"/>
      <c r="H102" s="178"/>
      <c r="I102" s="178"/>
      <c r="J102" s="178" t="s">
        <v>714</v>
      </c>
      <c r="K102" s="179"/>
      <c r="L102" s="138"/>
    </row>
    <row r="103" spans="1:12" ht="15" customHeight="1">
      <c r="A103" s="138"/>
      <c r="B103" s="175" t="s">
        <v>794</v>
      </c>
      <c r="C103" s="785">
        <f>H100</f>
        <v>750000</v>
      </c>
      <c r="D103" s="785"/>
      <c r="E103" s="216" t="s">
        <v>95</v>
      </c>
      <c r="F103" s="157">
        <f>H97</f>
        <v>0.3740135169083432</v>
      </c>
      <c r="G103" s="216" t="s">
        <v>680</v>
      </c>
      <c r="H103" s="216">
        <v>1000</v>
      </c>
      <c r="I103" s="216" t="s">
        <v>679</v>
      </c>
      <c r="J103" s="166">
        <f>C103*F103/H103</f>
        <v>280.51013768125745</v>
      </c>
      <c r="K103" s="176"/>
      <c r="L103" s="138"/>
    </row>
    <row r="104" spans="1:12" ht="15" customHeight="1" thickBot="1">
      <c r="A104" s="138"/>
      <c r="B104" s="181"/>
      <c r="C104" s="167"/>
      <c r="D104" s="167"/>
      <c r="E104" s="168"/>
      <c r="F104" s="169"/>
      <c r="G104" s="168"/>
      <c r="H104" s="168"/>
      <c r="I104" s="168"/>
      <c r="J104" s="170"/>
      <c r="K104" s="215"/>
      <c r="L104" s="138"/>
    </row>
    <row r="105" spans="1:12" ht="40.5" customHeight="1">
      <c r="A105" s="138"/>
      <c r="B105" s="775" t="s">
        <v>669</v>
      </c>
      <c r="C105" s="796"/>
      <c r="D105" s="796"/>
      <c r="E105" s="796"/>
      <c r="F105" s="796"/>
      <c r="G105" s="796"/>
      <c r="H105" s="796"/>
      <c r="I105" s="796"/>
      <c r="J105" s="796"/>
      <c r="K105" s="796"/>
      <c r="L105" s="138"/>
    </row>
    <row r="106" spans="1:12" ht="15" customHeight="1">
      <c r="A106" s="138"/>
      <c r="B106" s="779" t="s">
        <v>719</v>
      </c>
      <c r="C106" s="780"/>
      <c r="D106" s="780"/>
      <c r="E106" s="780"/>
      <c r="F106" s="780"/>
      <c r="G106" s="780"/>
      <c r="H106" s="780"/>
      <c r="I106" s="780"/>
      <c r="J106" s="780"/>
      <c r="K106" s="780"/>
      <c r="L106" s="138"/>
    </row>
    <row r="107" spans="1:12" ht="15" customHeight="1">
      <c r="A107" s="138"/>
      <c r="B107" s="214"/>
      <c r="C107" s="182"/>
      <c r="D107" s="182"/>
      <c r="E107" s="216"/>
      <c r="F107" s="157"/>
      <c r="G107" s="216"/>
      <c r="H107" s="216"/>
      <c r="I107" s="216"/>
      <c r="J107" s="166"/>
      <c r="K107" s="214"/>
      <c r="L107" s="138"/>
    </row>
    <row r="108" spans="1:12" ht="15" customHeight="1">
      <c r="A108" s="138"/>
      <c r="B108" s="779" t="s">
        <v>720</v>
      </c>
      <c r="C108" s="781"/>
      <c r="D108" s="781"/>
      <c r="E108" s="781"/>
      <c r="F108" s="781"/>
      <c r="G108" s="781"/>
      <c r="H108" s="781"/>
      <c r="I108" s="781"/>
      <c r="J108" s="781"/>
      <c r="K108" s="781"/>
      <c r="L108" s="138"/>
    </row>
    <row r="109" spans="1:12" ht="15" customHeight="1">
      <c r="A109" s="138"/>
      <c r="B109" s="214"/>
      <c r="C109" s="182"/>
      <c r="D109" s="182"/>
      <c r="E109" s="216"/>
      <c r="F109" s="157"/>
      <c r="G109" s="216"/>
      <c r="H109" s="216"/>
      <c r="I109" s="216"/>
      <c r="J109" s="166"/>
      <c r="K109" s="214"/>
      <c r="L109" s="138"/>
    </row>
    <row r="110" spans="1:12" ht="59.25" customHeight="1">
      <c r="A110" s="138"/>
      <c r="B110" s="782" t="s">
        <v>721</v>
      </c>
      <c r="C110" s="783"/>
      <c r="D110" s="783"/>
      <c r="E110" s="783"/>
      <c r="F110" s="783"/>
      <c r="G110" s="783"/>
      <c r="H110" s="783"/>
      <c r="I110" s="783"/>
      <c r="J110" s="783"/>
      <c r="K110" s="783"/>
      <c r="L110" s="138"/>
    </row>
    <row r="111" spans="1:12" ht="15" thickBot="1">
      <c r="A111" s="138"/>
      <c r="B111" s="211"/>
      <c r="C111" s="211"/>
      <c r="D111" s="211"/>
      <c r="E111" s="211"/>
      <c r="F111" s="211"/>
      <c r="G111" s="211"/>
      <c r="H111" s="211"/>
      <c r="I111" s="211"/>
      <c r="J111" s="211"/>
      <c r="K111" s="211"/>
      <c r="L111" s="183"/>
    </row>
    <row r="112" spans="1:12" ht="14.25">
      <c r="A112" s="138"/>
      <c r="B112" s="143" t="s">
        <v>673</v>
      </c>
      <c r="C112" s="144"/>
      <c r="D112" s="144"/>
      <c r="E112" s="144"/>
      <c r="F112" s="144"/>
      <c r="G112" s="144"/>
      <c r="H112" s="144"/>
      <c r="I112" s="144"/>
      <c r="J112" s="144"/>
      <c r="K112" s="145"/>
      <c r="L112" s="138"/>
    </row>
    <row r="113" spans="1:12" ht="14.25">
      <c r="A113" s="138"/>
      <c r="B113" s="155"/>
      <c r="C113" s="147" t="s">
        <v>681</v>
      </c>
      <c r="D113" s="147"/>
      <c r="E113" s="147"/>
      <c r="F113" s="147"/>
      <c r="G113" s="147"/>
      <c r="H113" s="147"/>
      <c r="I113" s="147"/>
      <c r="J113" s="147"/>
      <c r="K113" s="149"/>
      <c r="L113" s="138"/>
    </row>
    <row r="114" spans="1:12" ht="14.25">
      <c r="A114" s="138"/>
      <c r="B114" s="155" t="s">
        <v>706</v>
      </c>
      <c r="C114" s="784">
        <v>133685008</v>
      </c>
      <c r="D114" s="784"/>
      <c r="E114" s="216" t="s">
        <v>680</v>
      </c>
      <c r="F114" s="216">
        <v>1000</v>
      </c>
      <c r="G114" s="216" t="s">
        <v>679</v>
      </c>
      <c r="H114" s="217">
        <f>C114/F114</f>
        <v>133685.008</v>
      </c>
      <c r="I114" s="147" t="s">
        <v>707</v>
      </c>
      <c r="J114" s="147"/>
      <c r="K114" s="149"/>
      <c r="L114" s="138"/>
    </row>
    <row r="115" spans="1:12" ht="14.25">
      <c r="A115" s="138"/>
      <c r="B115" s="155"/>
      <c r="C115" s="147"/>
      <c r="D115" s="147"/>
      <c r="E115" s="216"/>
      <c r="F115" s="147"/>
      <c r="G115" s="147"/>
      <c r="H115" s="147"/>
      <c r="I115" s="147"/>
      <c r="J115" s="147"/>
      <c r="K115" s="149"/>
      <c r="L115" s="138"/>
    </row>
    <row r="116" spans="1:12" ht="14.25">
      <c r="A116" s="138"/>
      <c r="B116" s="155"/>
      <c r="C116" s="147" t="s">
        <v>708</v>
      </c>
      <c r="D116" s="147"/>
      <c r="E116" s="216"/>
      <c r="F116" s="147" t="s">
        <v>707</v>
      </c>
      <c r="G116" s="147"/>
      <c r="H116" s="147"/>
      <c r="I116" s="147"/>
      <c r="J116" s="147"/>
      <c r="K116" s="149"/>
      <c r="L116" s="138"/>
    </row>
    <row r="117" spans="1:12" ht="14.25">
      <c r="A117" s="138"/>
      <c r="B117" s="155" t="s">
        <v>711</v>
      </c>
      <c r="C117" s="784">
        <v>50000</v>
      </c>
      <c r="D117" s="784"/>
      <c r="E117" s="216" t="s">
        <v>680</v>
      </c>
      <c r="F117" s="217">
        <f>H114</f>
        <v>133685.008</v>
      </c>
      <c r="G117" s="216" t="s">
        <v>679</v>
      </c>
      <c r="H117" s="157">
        <f>C117/F117</f>
        <v>0.3740135169083432</v>
      </c>
      <c r="I117" s="147" t="s">
        <v>709</v>
      </c>
      <c r="J117" s="147"/>
      <c r="K117" s="149"/>
      <c r="L117" s="138"/>
    </row>
    <row r="118" spans="1:12" ht="14.25">
      <c r="A118" s="138"/>
      <c r="B118" s="155"/>
      <c r="C118" s="147"/>
      <c r="D118" s="147"/>
      <c r="E118" s="216"/>
      <c r="F118" s="147"/>
      <c r="G118" s="147"/>
      <c r="H118" s="147"/>
      <c r="I118" s="147"/>
      <c r="J118" s="147"/>
      <c r="K118" s="149"/>
      <c r="L118" s="138"/>
    </row>
    <row r="119" spans="1:12" ht="14.25">
      <c r="A119" s="138"/>
      <c r="B119" s="163"/>
      <c r="C119" s="164" t="s">
        <v>718</v>
      </c>
      <c r="D119" s="164"/>
      <c r="E119" s="218"/>
      <c r="F119" s="164"/>
      <c r="G119" s="164"/>
      <c r="H119" s="164"/>
      <c r="I119" s="164"/>
      <c r="J119" s="164"/>
      <c r="K119" s="165"/>
      <c r="L119" s="138"/>
    </row>
    <row r="120" spans="1:12" ht="14.25">
      <c r="A120" s="138"/>
      <c r="B120" s="155" t="s">
        <v>793</v>
      </c>
      <c r="C120" s="784">
        <v>2500000</v>
      </c>
      <c r="D120" s="784"/>
      <c r="E120" s="216" t="s">
        <v>95</v>
      </c>
      <c r="F120" s="180">
        <v>0.25</v>
      </c>
      <c r="G120" s="216" t="s">
        <v>679</v>
      </c>
      <c r="H120" s="217">
        <f>C120*F120</f>
        <v>625000</v>
      </c>
      <c r="I120" s="147" t="s">
        <v>712</v>
      </c>
      <c r="J120" s="147"/>
      <c r="K120" s="149"/>
      <c r="L120" s="138"/>
    </row>
    <row r="121" spans="1:12" ht="14.25">
      <c r="A121" s="138"/>
      <c r="B121" s="155"/>
      <c r="C121" s="147"/>
      <c r="D121" s="147"/>
      <c r="E121" s="216"/>
      <c r="F121" s="147"/>
      <c r="G121" s="147"/>
      <c r="H121" s="147"/>
      <c r="I121" s="147"/>
      <c r="J121" s="147"/>
      <c r="K121" s="149"/>
      <c r="L121" s="138"/>
    </row>
    <row r="122" spans="1:12" ht="14.25">
      <c r="A122" s="138"/>
      <c r="B122" s="163"/>
      <c r="C122" s="164" t="s">
        <v>713</v>
      </c>
      <c r="D122" s="164"/>
      <c r="E122" s="218"/>
      <c r="F122" s="164" t="s">
        <v>709</v>
      </c>
      <c r="G122" s="164"/>
      <c r="H122" s="164"/>
      <c r="I122" s="164"/>
      <c r="J122" s="164" t="s">
        <v>714</v>
      </c>
      <c r="K122" s="165"/>
      <c r="L122" s="138"/>
    </row>
    <row r="123" spans="1:12" ht="14.25">
      <c r="A123" s="138"/>
      <c r="B123" s="155" t="s">
        <v>794</v>
      </c>
      <c r="C123" s="785">
        <f>H120</f>
        <v>625000</v>
      </c>
      <c r="D123" s="785"/>
      <c r="E123" s="216" t="s">
        <v>95</v>
      </c>
      <c r="F123" s="157">
        <f>H117</f>
        <v>0.3740135169083432</v>
      </c>
      <c r="G123" s="216" t="s">
        <v>680</v>
      </c>
      <c r="H123" s="216">
        <v>1000</v>
      </c>
      <c r="I123" s="216" t="s">
        <v>679</v>
      </c>
      <c r="J123" s="166">
        <f>C123*F123/H123</f>
        <v>233.7584480677145</v>
      </c>
      <c r="K123" s="149"/>
      <c r="L123" s="138"/>
    </row>
    <row r="124" spans="1:12" ht="15" thickBot="1">
      <c r="A124" s="138"/>
      <c r="B124" s="150"/>
      <c r="C124" s="167"/>
      <c r="D124" s="167"/>
      <c r="E124" s="168"/>
      <c r="F124" s="169"/>
      <c r="G124" s="168"/>
      <c r="H124" s="168"/>
      <c r="I124" s="168"/>
      <c r="J124" s="170"/>
      <c r="K124" s="152"/>
      <c r="L124" s="138"/>
    </row>
    <row r="125" spans="1:12" ht="40.5" customHeight="1">
      <c r="A125" s="138"/>
      <c r="B125" s="775" t="s">
        <v>669</v>
      </c>
      <c r="C125" s="775"/>
      <c r="D125" s="775"/>
      <c r="E125" s="775"/>
      <c r="F125" s="775"/>
      <c r="G125" s="775"/>
      <c r="H125" s="775"/>
      <c r="I125" s="775"/>
      <c r="J125" s="775"/>
      <c r="K125" s="775"/>
      <c r="L125" s="183"/>
    </row>
    <row r="126" spans="1:12" ht="14.25">
      <c r="A126" s="138"/>
      <c r="B126" s="776" t="s">
        <v>722</v>
      </c>
      <c r="C126" s="776"/>
      <c r="D126" s="776"/>
      <c r="E126" s="776"/>
      <c r="F126" s="776"/>
      <c r="G126" s="776"/>
      <c r="H126" s="776"/>
      <c r="I126" s="776"/>
      <c r="J126" s="776"/>
      <c r="K126" s="776"/>
      <c r="L126" s="183"/>
    </row>
    <row r="127" spans="1:12" ht="14.25">
      <c r="A127" s="138"/>
      <c r="B127" s="211"/>
      <c r="C127" s="211"/>
      <c r="D127" s="211"/>
      <c r="E127" s="211"/>
      <c r="F127" s="211"/>
      <c r="G127" s="211"/>
      <c r="H127" s="211"/>
      <c r="I127" s="211"/>
      <c r="J127" s="211"/>
      <c r="K127" s="211"/>
      <c r="L127" s="183"/>
    </row>
    <row r="128" spans="1:12" ht="14.25">
      <c r="A128" s="138"/>
      <c r="B128" s="776" t="s">
        <v>723</v>
      </c>
      <c r="C128" s="776"/>
      <c r="D128" s="776"/>
      <c r="E128" s="776"/>
      <c r="F128" s="776"/>
      <c r="G128" s="776"/>
      <c r="H128" s="776"/>
      <c r="I128" s="776"/>
      <c r="J128" s="776"/>
      <c r="K128" s="776"/>
      <c r="L128" s="183"/>
    </row>
    <row r="129" spans="1:12" ht="14.25">
      <c r="A129" s="138"/>
      <c r="B129" s="210"/>
      <c r="C129" s="210"/>
      <c r="D129" s="210"/>
      <c r="E129" s="210"/>
      <c r="F129" s="210"/>
      <c r="G129" s="210"/>
      <c r="H129" s="210"/>
      <c r="I129" s="210"/>
      <c r="J129" s="210"/>
      <c r="K129" s="210"/>
      <c r="L129" s="183"/>
    </row>
    <row r="130" spans="1:12" ht="74.25" customHeight="1">
      <c r="A130" s="138"/>
      <c r="B130" s="778" t="s">
        <v>795</v>
      </c>
      <c r="C130" s="778"/>
      <c r="D130" s="778"/>
      <c r="E130" s="778"/>
      <c r="F130" s="778"/>
      <c r="G130" s="778"/>
      <c r="H130" s="778"/>
      <c r="I130" s="778"/>
      <c r="J130" s="778"/>
      <c r="K130" s="778"/>
      <c r="L130" s="183"/>
    </row>
    <row r="131" spans="1:12" ht="15" thickBot="1">
      <c r="A131" s="138"/>
      <c r="L131" s="138"/>
    </row>
    <row r="132" spans="1:12" ht="14.25">
      <c r="A132" s="138"/>
      <c r="B132" s="143" t="s">
        <v>673</v>
      </c>
      <c r="C132" s="144"/>
      <c r="D132" s="144"/>
      <c r="E132" s="144"/>
      <c r="F132" s="144"/>
      <c r="G132" s="144"/>
      <c r="H132" s="144"/>
      <c r="I132" s="144"/>
      <c r="J132" s="144"/>
      <c r="K132" s="145"/>
      <c r="L132" s="138"/>
    </row>
    <row r="133" spans="1:12" ht="14.25">
      <c r="A133" s="138"/>
      <c r="B133" s="155"/>
      <c r="C133" s="777" t="s">
        <v>724</v>
      </c>
      <c r="D133" s="777"/>
      <c r="E133" s="147"/>
      <c r="F133" s="216" t="s">
        <v>725</v>
      </c>
      <c r="G133" s="147"/>
      <c r="H133" s="777" t="s">
        <v>712</v>
      </c>
      <c r="I133" s="777"/>
      <c r="J133" s="147"/>
      <c r="K133" s="149"/>
      <c r="L133" s="138"/>
    </row>
    <row r="134" spans="1:12" ht="14.25">
      <c r="A134" s="138"/>
      <c r="B134" s="155" t="s">
        <v>706</v>
      </c>
      <c r="C134" s="784">
        <v>100000</v>
      </c>
      <c r="D134" s="784"/>
      <c r="E134" s="216" t="s">
        <v>95</v>
      </c>
      <c r="F134" s="216">
        <v>0.115</v>
      </c>
      <c r="G134" s="216" t="s">
        <v>679</v>
      </c>
      <c r="H134" s="767">
        <f>C134*F134</f>
        <v>11500</v>
      </c>
      <c r="I134" s="767"/>
      <c r="J134" s="147"/>
      <c r="K134" s="149"/>
      <c r="L134" s="138"/>
    </row>
    <row r="135" spans="1:12" ht="14.25">
      <c r="A135" s="138"/>
      <c r="B135" s="155"/>
      <c r="C135" s="147"/>
      <c r="D135" s="147"/>
      <c r="E135" s="147"/>
      <c r="F135" s="147"/>
      <c r="G135" s="147"/>
      <c r="H135" s="147"/>
      <c r="I135" s="147"/>
      <c r="J135" s="147"/>
      <c r="K135" s="149"/>
      <c r="L135" s="138"/>
    </row>
    <row r="136" spans="1:12" ht="14.25">
      <c r="A136" s="138"/>
      <c r="B136" s="163"/>
      <c r="C136" s="795" t="s">
        <v>712</v>
      </c>
      <c r="D136" s="795"/>
      <c r="E136" s="164"/>
      <c r="F136" s="218" t="s">
        <v>726</v>
      </c>
      <c r="G136" s="218"/>
      <c r="H136" s="164"/>
      <c r="I136" s="164"/>
      <c r="J136" s="164" t="s">
        <v>727</v>
      </c>
      <c r="K136" s="165"/>
      <c r="L136" s="138"/>
    </row>
    <row r="137" spans="1:12" ht="14.25">
      <c r="A137" s="138"/>
      <c r="B137" s="155" t="s">
        <v>711</v>
      </c>
      <c r="C137" s="767">
        <f>H134</f>
        <v>11500</v>
      </c>
      <c r="D137" s="767"/>
      <c r="E137" s="216" t="s">
        <v>95</v>
      </c>
      <c r="F137" s="184">
        <v>52.869</v>
      </c>
      <c r="G137" s="216" t="s">
        <v>680</v>
      </c>
      <c r="H137" s="216">
        <v>1000</v>
      </c>
      <c r="I137" s="216" t="s">
        <v>679</v>
      </c>
      <c r="J137" s="185">
        <f>C137*F137/H137</f>
        <v>607.9935</v>
      </c>
      <c r="K137" s="149"/>
      <c r="L137" s="138"/>
    </row>
    <row r="138" spans="1:12" ht="15" thickBot="1">
      <c r="A138" s="138"/>
      <c r="B138" s="150"/>
      <c r="C138" s="236"/>
      <c r="D138" s="236"/>
      <c r="E138" s="168"/>
      <c r="F138" s="237"/>
      <c r="G138" s="168"/>
      <c r="H138" s="168"/>
      <c r="I138" s="168"/>
      <c r="J138" s="238"/>
      <c r="K138" s="152"/>
      <c r="L138" s="138"/>
    </row>
    <row r="139" spans="1:12" ht="40.5" customHeight="1">
      <c r="A139" s="138"/>
      <c r="B139" s="223" t="s">
        <v>669</v>
      </c>
      <c r="C139" s="224"/>
      <c r="D139" s="224"/>
      <c r="E139" s="225"/>
      <c r="F139" s="226"/>
      <c r="G139" s="225"/>
      <c r="H139" s="225"/>
      <c r="I139" s="225"/>
      <c r="J139" s="227"/>
      <c r="K139" s="228"/>
      <c r="L139" s="138"/>
    </row>
    <row r="140" spans="1:12" ht="14.25">
      <c r="A140" s="138"/>
      <c r="B140" s="229" t="s">
        <v>796</v>
      </c>
      <c r="C140" s="230"/>
      <c r="D140" s="230"/>
      <c r="E140" s="231"/>
      <c r="F140" s="232"/>
      <c r="G140" s="231"/>
      <c r="H140" s="231"/>
      <c r="I140" s="231"/>
      <c r="J140" s="233"/>
      <c r="K140" s="234"/>
      <c r="L140" s="138"/>
    </row>
    <row r="141" spans="1:12" ht="14.25">
      <c r="A141" s="138"/>
      <c r="B141" s="155"/>
      <c r="C141" s="217"/>
      <c r="D141" s="217"/>
      <c r="E141" s="216"/>
      <c r="F141" s="239"/>
      <c r="G141" s="216"/>
      <c r="H141" s="216"/>
      <c r="I141" s="216"/>
      <c r="J141" s="185"/>
      <c r="K141" s="149"/>
      <c r="L141" s="138"/>
    </row>
    <row r="142" spans="1:12" ht="14.25">
      <c r="A142" s="138"/>
      <c r="B142" s="229" t="s">
        <v>797</v>
      </c>
      <c r="C142" s="230"/>
      <c r="D142" s="230"/>
      <c r="E142" s="231"/>
      <c r="F142" s="232"/>
      <c r="G142" s="231"/>
      <c r="H142" s="231"/>
      <c r="I142" s="231"/>
      <c r="J142" s="233"/>
      <c r="K142" s="234"/>
      <c r="L142" s="138"/>
    </row>
    <row r="143" spans="1:12" ht="14.25">
      <c r="A143" s="138"/>
      <c r="B143" s="155"/>
      <c r="C143" s="217"/>
      <c r="D143" s="217"/>
      <c r="E143" s="216"/>
      <c r="F143" s="239"/>
      <c r="G143" s="216"/>
      <c r="H143" s="216"/>
      <c r="I143" s="216"/>
      <c r="J143" s="185"/>
      <c r="K143" s="149"/>
      <c r="L143" s="138"/>
    </row>
    <row r="144" spans="1:12" ht="76.5" customHeight="1">
      <c r="A144" s="138"/>
      <c r="B144" s="768" t="s">
        <v>798</v>
      </c>
      <c r="C144" s="769"/>
      <c r="D144" s="769"/>
      <c r="E144" s="769"/>
      <c r="F144" s="769"/>
      <c r="G144" s="769"/>
      <c r="H144" s="769"/>
      <c r="I144" s="769"/>
      <c r="J144" s="769"/>
      <c r="K144" s="770"/>
      <c r="L144" s="138"/>
    </row>
    <row r="145" spans="1:12" ht="15" thickBot="1">
      <c r="A145" s="138"/>
      <c r="B145" s="155"/>
      <c r="C145" s="217"/>
      <c r="D145" s="217"/>
      <c r="E145" s="216"/>
      <c r="F145" s="239"/>
      <c r="G145" s="216"/>
      <c r="H145" s="216"/>
      <c r="I145" s="216"/>
      <c r="J145" s="185"/>
      <c r="K145" s="149"/>
      <c r="L145" s="138"/>
    </row>
    <row r="146" spans="1:12" ht="14.25">
      <c r="A146" s="138"/>
      <c r="B146" s="143" t="s">
        <v>673</v>
      </c>
      <c r="C146" s="240"/>
      <c r="D146" s="240"/>
      <c r="E146" s="241"/>
      <c r="F146" s="242"/>
      <c r="G146" s="241"/>
      <c r="H146" s="241"/>
      <c r="I146" s="241"/>
      <c r="J146" s="243"/>
      <c r="K146" s="145"/>
      <c r="L146" s="138"/>
    </row>
    <row r="147" spans="1:12" ht="14.25">
      <c r="A147" s="138"/>
      <c r="B147" s="155"/>
      <c r="C147" s="767" t="s">
        <v>799</v>
      </c>
      <c r="D147" s="767"/>
      <c r="E147" s="216"/>
      <c r="F147" s="239" t="s">
        <v>800</v>
      </c>
      <c r="G147" s="216"/>
      <c r="H147" s="216"/>
      <c r="I147" s="216"/>
      <c r="J147" s="771" t="s">
        <v>801</v>
      </c>
      <c r="K147" s="772"/>
      <c r="L147" s="138"/>
    </row>
    <row r="148" spans="1:12" ht="14.25">
      <c r="A148" s="138"/>
      <c r="B148" s="155"/>
      <c r="C148" s="773">
        <v>52.869</v>
      </c>
      <c r="D148" s="773"/>
      <c r="E148" s="216" t="s">
        <v>95</v>
      </c>
      <c r="F148" s="213">
        <v>133685008</v>
      </c>
      <c r="G148" s="244" t="s">
        <v>680</v>
      </c>
      <c r="H148" s="216">
        <v>1000</v>
      </c>
      <c r="I148" s="216" t="s">
        <v>679</v>
      </c>
      <c r="J148" s="767">
        <f>C148*(F148/1000)</f>
        <v>7067792.687952</v>
      </c>
      <c r="K148" s="774"/>
      <c r="L148" s="138"/>
    </row>
    <row r="149" spans="1:12" ht="15" thickBot="1">
      <c r="A149" s="138"/>
      <c r="B149" s="150"/>
      <c r="C149" s="236"/>
      <c r="D149" s="236"/>
      <c r="E149" s="168"/>
      <c r="F149" s="237"/>
      <c r="G149" s="168"/>
      <c r="H149" s="168"/>
      <c r="I149" s="168"/>
      <c r="J149" s="238"/>
      <c r="K149" s="152"/>
      <c r="L149" s="138"/>
    </row>
    <row r="150" spans="1:12" ht="15" thickBot="1">
      <c r="A150" s="138"/>
      <c r="B150" s="150"/>
      <c r="C150" s="151"/>
      <c r="D150" s="151"/>
      <c r="E150" s="151"/>
      <c r="F150" s="151"/>
      <c r="G150" s="151"/>
      <c r="H150" s="151"/>
      <c r="I150" s="151"/>
      <c r="J150" s="151"/>
      <c r="K150" s="152"/>
      <c r="L150" s="138"/>
    </row>
    <row r="151" spans="1:12" ht="14.25">
      <c r="A151" s="138"/>
      <c r="B151" s="138"/>
      <c r="C151" s="138"/>
      <c r="D151" s="138"/>
      <c r="E151" s="138"/>
      <c r="F151" s="138"/>
      <c r="G151" s="138"/>
      <c r="H151" s="138"/>
      <c r="I151" s="138"/>
      <c r="J151" s="138"/>
      <c r="K151" s="138"/>
      <c r="L151" s="138"/>
    </row>
    <row r="152" spans="1:12" ht="14.25">
      <c r="A152" s="138"/>
      <c r="B152" s="138"/>
      <c r="C152" s="138"/>
      <c r="D152" s="138"/>
      <c r="E152" s="138"/>
      <c r="F152" s="138"/>
      <c r="G152" s="138"/>
      <c r="H152" s="138"/>
      <c r="I152" s="138"/>
      <c r="J152" s="138"/>
      <c r="K152" s="138"/>
      <c r="L152" s="138"/>
    </row>
    <row r="153" spans="1:12" ht="14.25">
      <c r="A153" s="138"/>
      <c r="B153" s="138"/>
      <c r="C153" s="138"/>
      <c r="D153" s="138"/>
      <c r="E153" s="138"/>
      <c r="F153" s="138"/>
      <c r="G153" s="138"/>
      <c r="H153" s="138"/>
      <c r="I153" s="138"/>
      <c r="J153" s="138"/>
      <c r="K153" s="138"/>
      <c r="L153" s="138"/>
    </row>
    <row r="154" spans="1:12" ht="14.25">
      <c r="A154" s="186"/>
      <c r="B154" s="186"/>
      <c r="C154" s="186"/>
      <c r="D154" s="186"/>
      <c r="E154" s="186"/>
      <c r="F154" s="186"/>
      <c r="G154" s="186"/>
      <c r="H154" s="186"/>
      <c r="I154" s="186"/>
      <c r="J154" s="186"/>
      <c r="K154" s="186"/>
      <c r="L154" s="186"/>
    </row>
    <row r="155" spans="1:12" ht="14.25">
      <c r="A155" s="186"/>
      <c r="B155" s="186"/>
      <c r="C155" s="186"/>
      <c r="D155" s="186"/>
      <c r="E155" s="186"/>
      <c r="F155" s="186"/>
      <c r="G155" s="186"/>
      <c r="H155" s="186"/>
      <c r="I155" s="186"/>
      <c r="J155" s="186"/>
      <c r="K155" s="186"/>
      <c r="L155" s="186"/>
    </row>
    <row r="156" spans="1:12" ht="14.25">
      <c r="A156" s="186"/>
      <c r="B156" s="186"/>
      <c r="C156" s="186"/>
      <c r="D156" s="186"/>
      <c r="E156" s="186"/>
      <c r="F156" s="186"/>
      <c r="G156" s="186"/>
      <c r="H156" s="186"/>
      <c r="I156" s="186"/>
      <c r="J156" s="186"/>
      <c r="K156" s="186"/>
      <c r="L156" s="186"/>
    </row>
    <row r="157" spans="1:12" ht="14.25">
      <c r="A157" s="186"/>
      <c r="B157" s="186"/>
      <c r="C157" s="186"/>
      <c r="D157" s="186"/>
      <c r="E157" s="186"/>
      <c r="F157" s="186"/>
      <c r="G157" s="186"/>
      <c r="H157" s="186"/>
      <c r="I157" s="186"/>
      <c r="J157" s="186"/>
      <c r="K157" s="186"/>
      <c r="L157" s="186"/>
    </row>
    <row r="158" spans="1:12" ht="14.25">
      <c r="A158" s="186"/>
      <c r="B158" s="186"/>
      <c r="C158" s="186"/>
      <c r="D158" s="186"/>
      <c r="E158" s="186"/>
      <c r="F158" s="186"/>
      <c r="G158" s="186"/>
      <c r="H158" s="186"/>
      <c r="I158" s="186"/>
      <c r="J158" s="186"/>
      <c r="K158" s="186"/>
      <c r="L158" s="186"/>
    </row>
    <row r="159" spans="1:12" ht="14.25">
      <c r="A159" s="186"/>
      <c r="B159" s="186"/>
      <c r="C159" s="186"/>
      <c r="D159" s="186"/>
      <c r="E159" s="186"/>
      <c r="F159" s="186"/>
      <c r="G159" s="186"/>
      <c r="H159" s="186"/>
      <c r="I159" s="186"/>
      <c r="J159" s="186"/>
      <c r="K159" s="186"/>
      <c r="L159" s="186"/>
    </row>
    <row r="160" spans="1:12" ht="14.25">
      <c r="A160" s="186"/>
      <c r="B160" s="186"/>
      <c r="C160" s="186"/>
      <c r="D160" s="186"/>
      <c r="E160" s="186"/>
      <c r="F160" s="186"/>
      <c r="G160" s="186"/>
      <c r="H160" s="186"/>
      <c r="I160" s="186"/>
      <c r="J160" s="186"/>
      <c r="K160" s="186"/>
      <c r="L160" s="186"/>
    </row>
    <row r="161" spans="1:12" ht="14.25">
      <c r="A161" s="186"/>
      <c r="B161" s="186"/>
      <c r="C161" s="186"/>
      <c r="D161" s="186"/>
      <c r="E161" s="186"/>
      <c r="F161" s="186"/>
      <c r="G161" s="186"/>
      <c r="H161" s="186"/>
      <c r="I161" s="186"/>
      <c r="J161" s="186"/>
      <c r="K161" s="186"/>
      <c r="L161" s="186"/>
    </row>
    <row r="162" spans="1:12" ht="14.25">
      <c r="A162" s="186"/>
      <c r="B162" s="186"/>
      <c r="C162" s="186"/>
      <c r="D162" s="186"/>
      <c r="E162" s="186"/>
      <c r="F162" s="186"/>
      <c r="G162" s="186"/>
      <c r="H162" s="186"/>
      <c r="I162" s="186"/>
      <c r="J162" s="186"/>
      <c r="K162" s="186"/>
      <c r="L162" s="186"/>
    </row>
    <row r="163" spans="1:12" ht="14.25">
      <c r="A163" s="186"/>
      <c r="B163" s="186"/>
      <c r="C163" s="186"/>
      <c r="D163" s="186"/>
      <c r="E163" s="186"/>
      <c r="F163" s="186"/>
      <c r="G163" s="186"/>
      <c r="H163" s="186"/>
      <c r="I163" s="186"/>
      <c r="J163" s="186"/>
      <c r="K163" s="186"/>
      <c r="L163" s="186"/>
    </row>
    <row r="164" spans="1:12" ht="14.25">
      <c r="A164" s="186"/>
      <c r="B164" s="186"/>
      <c r="C164" s="186"/>
      <c r="D164" s="186"/>
      <c r="E164" s="186"/>
      <c r="F164" s="186"/>
      <c r="G164" s="186"/>
      <c r="H164" s="186"/>
      <c r="I164" s="186"/>
      <c r="J164" s="186"/>
      <c r="K164" s="186"/>
      <c r="L164" s="186"/>
    </row>
    <row r="165" spans="1:12" ht="14.25">
      <c r="A165" s="186"/>
      <c r="B165" s="186"/>
      <c r="C165" s="186"/>
      <c r="D165" s="186"/>
      <c r="E165" s="186"/>
      <c r="F165" s="186"/>
      <c r="G165" s="186"/>
      <c r="H165" s="186"/>
      <c r="I165" s="186"/>
      <c r="J165" s="186"/>
      <c r="K165" s="186"/>
      <c r="L165" s="186"/>
    </row>
    <row r="166" spans="1:12" ht="14.25">
      <c r="A166" s="186"/>
      <c r="B166" s="186"/>
      <c r="C166" s="186"/>
      <c r="D166" s="186"/>
      <c r="E166" s="186"/>
      <c r="F166" s="186"/>
      <c r="G166" s="186"/>
      <c r="H166" s="186"/>
      <c r="I166" s="186"/>
      <c r="J166" s="186"/>
      <c r="K166" s="186"/>
      <c r="L166" s="186"/>
    </row>
    <row r="167" spans="1:12" ht="14.25">
      <c r="A167" s="186"/>
      <c r="B167" s="186"/>
      <c r="C167" s="186"/>
      <c r="D167" s="186"/>
      <c r="E167" s="186"/>
      <c r="F167" s="186"/>
      <c r="G167" s="186"/>
      <c r="H167" s="186"/>
      <c r="I167" s="186"/>
      <c r="J167" s="186"/>
      <c r="K167" s="186"/>
      <c r="L167" s="186"/>
    </row>
    <row r="168" spans="1:12" ht="14.25">
      <c r="A168" s="186"/>
      <c r="B168" s="186"/>
      <c r="C168" s="186"/>
      <c r="D168" s="186"/>
      <c r="E168" s="186"/>
      <c r="F168" s="186"/>
      <c r="G168" s="186"/>
      <c r="H168" s="186"/>
      <c r="I168" s="186"/>
      <c r="J168" s="186"/>
      <c r="K168" s="186"/>
      <c r="L168" s="186"/>
    </row>
    <row r="169" spans="1:12" ht="14.25">
      <c r="A169" s="186"/>
      <c r="B169" s="186"/>
      <c r="C169" s="186"/>
      <c r="D169" s="186"/>
      <c r="E169" s="186"/>
      <c r="F169" s="186"/>
      <c r="G169" s="186"/>
      <c r="H169" s="186"/>
      <c r="I169" s="186"/>
      <c r="J169" s="186"/>
      <c r="K169" s="186"/>
      <c r="L169" s="186"/>
    </row>
    <row r="170" spans="1:12" ht="14.25">
      <c r="A170" s="186"/>
      <c r="B170" s="186"/>
      <c r="C170" s="186"/>
      <c r="D170" s="186"/>
      <c r="E170" s="186"/>
      <c r="F170" s="186"/>
      <c r="G170" s="186"/>
      <c r="H170" s="186"/>
      <c r="I170" s="186"/>
      <c r="J170" s="186"/>
      <c r="K170" s="186"/>
      <c r="L170" s="186"/>
    </row>
    <row r="171" spans="1:12" ht="14.25">
      <c r="A171" s="186"/>
      <c r="B171" s="186"/>
      <c r="C171" s="186"/>
      <c r="D171" s="186"/>
      <c r="E171" s="186"/>
      <c r="F171" s="186"/>
      <c r="G171" s="186"/>
      <c r="H171" s="186"/>
      <c r="I171" s="186"/>
      <c r="J171" s="186"/>
      <c r="K171" s="186"/>
      <c r="L171" s="186"/>
    </row>
    <row r="172" spans="1:12" ht="14.25">
      <c r="A172" s="186"/>
      <c r="B172" s="186"/>
      <c r="C172" s="186"/>
      <c r="D172" s="186"/>
      <c r="E172" s="186"/>
      <c r="F172" s="186"/>
      <c r="G172" s="186"/>
      <c r="H172" s="186"/>
      <c r="I172" s="186"/>
      <c r="J172" s="186"/>
      <c r="K172" s="186"/>
      <c r="L172" s="186"/>
    </row>
    <row r="173" spans="1:12" ht="14.25">
      <c r="A173" s="186"/>
      <c r="B173" s="186"/>
      <c r="C173" s="186"/>
      <c r="D173" s="186"/>
      <c r="E173" s="186"/>
      <c r="F173" s="186"/>
      <c r="G173" s="186"/>
      <c r="H173" s="186"/>
      <c r="I173" s="186"/>
      <c r="J173" s="186"/>
      <c r="K173" s="186"/>
      <c r="L173" s="186"/>
    </row>
    <row r="174" spans="1:12" ht="14.25">
      <c r="A174" s="186"/>
      <c r="B174" s="186"/>
      <c r="C174" s="186"/>
      <c r="D174" s="186"/>
      <c r="E174" s="186"/>
      <c r="F174" s="186"/>
      <c r="G174" s="186"/>
      <c r="H174" s="186"/>
      <c r="I174" s="186"/>
      <c r="J174" s="186"/>
      <c r="K174" s="186"/>
      <c r="L174" s="186"/>
    </row>
    <row r="175" spans="1:12" ht="14.25">
      <c r="A175" s="186"/>
      <c r="B175" s="186"/>
      <c r="C175" s="186"/>
      <c r="D175" s="186"/>
      <c r="E175" s="186"/>
      <c r="F175" s="186"/>
      <c r="G175" s="186"/>
      <c r="H175" s="186"/>
      <c r="I175" s="186"/>
      <c r="J175" s="186"/>
      <c r="K175" s="186"/>
      <c r="L175" s="186"/>
    </row>
    <row r="176" spans="1:12" ht="14.25">
      <c r="A176" s="186"/>
      <c r="B176" s="186"/>
      <c r="C176" s="186"/>
      <c r="D176" s="186"/>
      <c r="E176" s="186"/>
      <c r="F176" s="186"/>
      <c r="G176" s="186"/>
      <c r="H176" s="186"/>
      <c r="I176" s="186"/>
      <c r="J176" s="186"/>
      <c r="K176" s="186"/>
      <c r="L176" s="186"/>
    </row>
    <row r="177" spans="1:12" ht="14.25">
      <c r="A177" s="186"/>
      <c r="B177" s="186"/>
      <c r="C177" s="186"/>
      <c r="D177" s="186"/>
      <c r="E177" s="186"/>
      <c r="F177" s="186"/>
      <c r="G177" s="186"/>
      <c r="H177" s="186"/>
      <c r="I177" s="186"/>
      <c r="J177" s="186"/>
      <c r="K177" s="186"/>
      <c r="L177" s="186"/>
    </row>
    <row r="178" spans="1:12" ht="14.25">
      <c r="A178" s="186"/>
      <c r="B178" s="186"/>
      <c r="C178" s="186"/>
      <c r="D178" s="186"/>
      <c r="E178" s="186"/>
      <c r="F178" s="186"/>
      <c r="G178" s="186"/>
      <c r="H178" s="186"/>
      <c r="I178" s="186"/>
      <c r="J178" s="186"/>
      <c r="K178" s="186"/>
      <c r="L178" s="186"/>
    </row>
    <row r="179" spans="1:12" ht="14.25">
      <c r="A179" s="186"/>
      <c r="B179" s="186"/>
      <c r="C179" s="186"/>
      <c r="D179" s="186"/>
      <c r="E179" s="186"/>
      <c r="F179" s="186"/>
      <c r="G179" s="186"/>
      <c r="H179" s="186"/>
      <c r="I179" s="186"/>
      <c r="J179" s="186"/>
      <c r="K179" s="186"/>
      <c r="L179" s="186"/>
    </row>
    <row r="180" spans="1:12" ht="14.25">
      <c r="A180" s="186"/>
      <c r="B180" s="186"/>
      <c r="C180" s="186"/>
      <c r="D180" s="186"/>
      <c r="E180" s="186"/>
      <c r="F180" s="186"/>
      <c r="G180" s="186"/>
      <c r="H180" s="186"/>
      <c r="I180" s="186"/>
      <c r="J180" s="186"/>
      <c r="K180" s="186"/>
      <c r="L180" s="186"/>
    </row>
    <row r="181" spans="1:12" ht="14.25">
      <c r="A181" s="186"/>
      <c r="B181" s="186"/>
      <c r="C181" s="186"/>
      <c r="D181" s="186"/>
      <c r="E181" s="186"/>
      <c r="F181" s="186"/>
      <c r="G181" s="186"/>
      <c r="H181" s="186"/>
      <c r="I181" s="186"/>
      <c r="J181" s="186"/>
      <c r="K181" s="186"/>
      <c r="L181" s="186"/>
    </row>
    <row r="182" spans="1:12" ht="14.25">
      <c r="A182" s="186"/>
      <c r="B182" s="186"/>
      <c r="C182" s="186"/>
      <c r="D182" s="186"/>
      <c r="E182" s="186"/>
      <c r="F182" s="186"/>
      <c r="G182" s="186"/>
      <c r="H182" s="186"/>
      <c r="I182" s="186"/>
      <c r="J182" s="186"/>
      <c r="K182" s="186"/>
      <c r="L182" s="186"/>
    </row>
    <row r="183" spans="1:12" ht="14.25">
      <c r="A183" s="186"/>
      <c r="B183" s="186"/>
      <c r="C183" s="186"/>
      <c r="D183" s="186"/>
      <c r="E183" s="186"/>
      <c r="F183" s="186"/>
      <c r="G183" s="186"/>
      <c r="H183" s="186"/>
      <c r="I183" s="186"/>
      <c r="J183" s="186"/>
      <c r="K183" s="186"/>
      <c r="L183" s="186"/>
    </row>
    <row r="184" spans="1:12" ht="14.25">
      <c r="A184" s="186"/>
      <c r="B184" s="186"/>
      <c r="C184" s="186"/>
      <c r="D184" s="186"/>
      <c r="E184" s="186"/>
      <c r="F184" s="186"/>
      <c r="G184" s="186"/>
      <c r="H184" s="186"/>
      <c r="I184" s="186"/>
      <c r="J184" s="186"/>
      <c r="K184" s="186"/>
      <c r="L184" s="186"/>
    </row>
    <row r="185" spans="1:12" ht="14.25">
      <c r="A185" s="186"/>
      <c r="B185" s="186"/>
      <c r="C185" s="186"/>
      <c r="D185" s="186"/>
      <c r="E185" s="186"/>
      <c r="F185" s="186"/>
      <c r="G185" s="186"/>
      <c r="H185" s="186"/>
      <c r="I185" s="186"/>
      <c r="J185" s="186"/>
      <c r="K185" s="186"/>
      <c r="L185" s="186"/>
    </row>
    <row r="186" spans="1:12" ht="14.25">
      <c r="A186" s="186"/>
      <c r="B186" s="186"/>
      <c r="C186" s="186"/>
      <c r="D186" s="186"/>
      <c r="E186" s="186"/>
      <c r="F186" s="186"/>
      <c r="G186" s="186"/>
      <c r="H186" s="186"/>
      <c r="I186" s="186"/>
      <c r="J186" s="186"/>
      <c r="K186" s="186"/>
      <c r="L186" s="186"/>
    </row>
    <row r="187" spans="1:12" ht="14.25">
      <c r="A187" s="186"/>
      <c r="B187" s="186"/>
      <c r="C187" s="186"/>
      <c r="D187" s="186"/>
      <c r="E187" s="186"/>
      <c r="F187" s="186"/>
      <c r="G187" s="186"/>
      <c r="H187" s="186"/>
      <c r="I187" s="186"/>
      <c r="J187" s="186"/>
      <c r="K187" s="186"/>
      <c r="L187" s="186"/>
    </row>
    <row r="188" spans="1:12" ht="14.25">
      <c r="A188" s="186"/>
      <c r="B188" s="186"/>
      <c r="C188" s="186"/>
      <c r="D188" s="186"/>
      <c r="E188" s="186"/>
      <c r="F188" s="186"/>
      <c r="G188" s="186"/>
      <c r="H188" s="186"/>
      <c r="I188" s="186"/>
      <c r="J188" s="186"/>
      <c r="K188" s="186"/>
      <c r="L188" s="186"/>
    </row>
    <row r="189" spans="1:12" ht="14.25">
      <c r="A189" s="186"/>
      <c r="B189" s="186"/>
      <c r="C189" s="186"/>
      <c r="D189" s="186"/>
      <c r="E189" s="186"/>
      <c r="F189" s="186"/>
      <c r="G189" s="186"/>
      <c r="H189" s="186"/>
      <c r="I189" s="186"/>
      <c r="J189" s="186"/>
      <c r="K189" s="186"/>
      <c r="L189" s="186"/>
    </row>
    <row r="190" spans="1:12" ht="14.25">
      <c r="A190" s="186"/>
      <c r="B190" s="186"/>
      <c r="C190" s="186"/>
      <c r="D190" s="186"/>
      <c r="E190" s="186"/>
      <c r="F190" s="186"/>
      <c r="G190" s="186"/>
      <c r="H190" s="186"/>
      <c r="I190" s="186"/>
      <c r="J190" s="186"/>
      <c r="K190" s="186"/>
      <c r="L190" s="186"/>
    </row>
    <row r="191" spans="1:12" ht="14.25">
      <c r="A191" s="186"/>
      <c r="B191" s="186"/>
      <c r="C191" s="186"/>
      <c r="D191" s="186"/>
      <c r="E191" s="186"/>
      <c r="F191" s="186"/>
      <c r="G191" s="186"/>
      <c r="H191" s="186"/>
      <c r="I191" s="186"/>
      <c r="J191" s="186"/>
      <c r="K191" s="186"/>
      <c r="L191" s="186"/>
    </row>
    <row r="192" spans="1:12" ht="14.25">
      <c r="A192" s="186"/>
      <c r="B192" s="186"/>
      <c r="C192" s="186"/>
      <c r="D192" s="186"/>
      <c r="E192" s="186"/>
      <c r="F192" s="186"/>
      <c r="G192" s="186"/>
      <c r="H192" s="186"/>
      <c r="I192" s="186"/>
      <c r="J192" s="186"/>
      <c r="K192" s="186"/>
      <c r="L192" s="186"/>
    </row>
    <row r="193" spans="1:12" ht="14.25">
      <c r="A193" s="186"/>
      <c r="B193" s="186"/>
      <c r="C193" s="186"/>
      <c r="D193" s="186"/>
      <c r="E193" s="186"/>
      <c r="F193" s="186"/>
      <c r="G193" s="186"/>
      <c r="H193" s="186"/>
      <c r="I193" s="186"/>
      <c r="J193" s="186"/>
      <c r="K193" s="186"/>
      <c r="L193" s="186"/>
    </row>
    <row r="194" spans="1:12" ht="14.25">
      <c r="A194" s="186"/>
      <c r="B194" s="186"/>
      <c r="C194" s="186"/>
      <c r="D194" s="186"/>
      <c r="E194" s="186"/>
      <c r="F194" s="186"/>
      <c r="G194" s="186"/>
      <c r="H194" s="186"/>
      <c r="I194" s="186"/>
      <c r="J194" s="186"/>
      <c r="K194" s="186"/>
      <c r="L194" s="186"/>
    </row>
    <row r="195" spans="1:12" ht="14.25">
      <c r="A195" s="186"/>
      <c r="B195" s="186"/>
      <c r="C195" s="186"/>
      <c r="D195" s="186"/>
      <c r="E195" s="186"/>
      <c r="F195" s="186"/>
      <c r="G195" s="186"/>
      <c r="H195" s="186"/>
      <c r="I195" s="186"/>
      <c r="J195" s="186"/>
      <c r="K195" s="186"/>
      <c r="L195" s="186"/>
    </row>
    <row r="196" spans="1:12" ht="14.25">
      <c r="A196" s="186"/>
      <c r="B196" s="186"/>
      <c r="C196" s="186"/>
      <c r="D196" s="186"/>
      <c r="E196" s="186"/>
      <c r="F196" s="186"/>
      <c r="G196" s="186"/>
      <c r="H196" s="186"/>
      <c r="I196" s="186"/>
      <c r="J196" s="186"/>
      <c r="K196" s="186"/>
      <c r="L196" s="186"/>
    </row>
    <row r="197" spans="1:12" ht="14.25">
      <c r="A197" s="186"/>
      <c r="B197" s="186"/>
      <c r="C197" s="186"/>
      <c r="D197" s="186"/>
      <c r="E197" s="186"/>
      <c r="F197" s="186"/>
      <c r="G197" s="186"/>
      <c r="H197" s="186"/>
      <c r="I197" s="186"/>
      <c r="J197" s="186"/>
      <c r="K197" s="186"/>
      <c r="L197" s="186"/>
    </row>
    <row r="198" spans="1:12" ht="14.25">
      <c r="A198" s="186"/>
      <c r="B198" s="186"/>
      <c r="C198" s="186"/>
      <c r="D198" s="186"/>
      <c r="E198" s="186"/>
      <c r="F198" s="186"/>
      <c r="G198" s="186"/>
      <c r="H198" s="186"/>
      <c r="I198" s="186"/>
      <c r="J198" s="186"/>
      <c r="K198" s="186"/>
      <c r="L198" s="186"/>
    </row>
    <row r="199" spans="1:12" ht="14.25">
      <c r="A199" s="186"/>
      <c r="B199" s="186"/>
      <c r="C199" s="186"/>
      <c r="D199" s="186"/>
      <c r="E199" s="186"/>
      <c r="F199" s="186"/>
      <c r="G199" s="186"/>
      <c r="H199" s="186"/>
      <c r="I199" s="186"/>
      <c r="J199" s="186"/>
      <c r="K199" s="186"/>
      <c r="L199" s="186"/>
    </row>
    <row r="200" spans="1:12" ht="14.25">
      <c r="A200" s="186"/>
      <c r="B200" s="186"/>
      <c r="C200" s="186"/>
      <c r="D200" s="186"/>
      <c r="E200" s="186"/>
      <c r="F200" s="186"/>
      <c r="G200" s="186"/>
      <c r="H200" s="186"/>
      <c r="I200" s="186"/>
      <c r="J200" s="186"/>
      <c r="K200" s="186"/>
      <c r="L200" s="186"/>
    </row>
    <row r="201" spans="1:12" ht="14.25">
      <c r="A201" s="186"/>
      <c r="B201" s="186"/>
      <c r="C201" s="186"/>
      <c r="D201" s="186"/>
      <c r="E201" s="186"/>
      <c r="F201" s="186"/>
      <c r="G201" s="186"/>
      <c r="H201" s="186"/>
      <c r="I201" s="186"/>
      <c r="J201" s="186"/>
      <c r="K201" s="186"/>
      <c r="L201" s="186"/>
    </row>
    <row r="202" spans="1:12" ht="14.25">
      <c r="A202" s="186"/>
      <c r="B202" s="186"/>
      <c r="C202" s="186"/>
      <c r="D202" s="186"/>
      <c r="E202" s="186"/>
      <c r="F202" s="186"/>
      <c r="G202" s="186"/>
      <c r="H202" s="186"/>
      <c r="I202" s="186"/>
      <c r="J202" s="186"/>
      <c r="K202" s="186"/>
      <c r="L202" s="186"/>
    </row>
    <row r="203" spans="1:12" ht="14.25">
      <c r="A203" s="186"/>
      <c r="B203" s="186"/>
      <c r="C203" s="186"/>
      <c r="D203" s="186"/>
      <c r="E203" s="186"/>
      <c r="F203" s="186"/>
      <c r="G203" s="186"/>
      <c r="H203" s="186"/>
      <c r="I203" s="186"/>
      <c r="J203" s="186"/>
      <c r="K203" s="186"/>
      <c r="L203" s="186"/>
    </row>
    <row r="204" spans="1:12" ht="14.25">
      <c r="A204" s="186"/>
      <c r="B204" s="186"/>
      <c r="C204" s="186"/>
      <c r="D204" s="186"/>
      <c r="E204" s="186"/>
      <c r="F204" s="186"/>
      <c r="G204" s="186"/>
      <c r="H204" s="186"/>
      <c r="I204" s="186"/>
      <c r="J204" s="186"/>
      <c r="K204" s="186"/>
      <c r="L204" s="186"/>
    </row>
    <row r="205" spans="1:12" ht="14.25">
      <c r="A205" s="186"/>
      <c r="B205" s="186"/>
      <c r="C205" s="186"/>
      <c r="D205" s="186"/>
      <c r="E205" s="186"/>
      <c r="F205" s="186"/>
      <c r="G205" s="186"/>
      <c r="H205" s="186"/>
      <c r="I205" s="186"/>
      <c r="J205" s="186"/>
      <c r="K205" s="186"/>
      <c r="L205" s="186"/>
    </row>
    <row r="206" spans="1:12" ht="14.25">
      <c r="A206" s="186"/>
      <c r="B206" s="186"/>
      <c r="C206" s="186"/>
      <c r="D206" s="186"/>
      <c r="E206" s="186"/>
      <c r="F206" s="186"/>
      <c r="G206" s="186"/>
      <c r="H206" s="186"/>
      <c r="I206" s="186"/>
      <c r="J206" s="186"/>
      <c r="K206" s="186"/>
      <c r="L206" s="186"/>
    </row>
    <row r="207" spans="1:12" ht="14.25">
      <c r="A207" s="186"/>
      <c r="B207" s="186"/>
      <c r="C207" s="186"/>
      <c r="D207" s="186"/>
      <c r="E207" s="186"/>
      <c r="F207" s="186"/>
      <c r="G207" s="186"/>
      <c r="H207" s="186"/>
      <c r="I207" s="186"/>
      <c r="J207" s="186"/>
      <c r="K207" s="186"/>
      <c r="L207" s="186"/>
    </row>
    <row r="208" spans="1:12" ht="14.25">
      <c r="A208" s="186"/>
      <c r="B208" s="186"/>
      <c r="C208" s="186"/>
      <c r="D208" s="186"/>
      <c r="E208" s="186"/>
      <c r="F208" s="186"/>
      <c r="G208" s="186"/>
      <c r="H208" s="186"/>
      <c r="I208" s="186"/>
      <c r="J208" s="186"/>
      <c r="K208" s="186"/>
      <c r="L208" s="186"/>
    </row>
    <row r="209" spans="1:12" ht="14.25">
      <c r="A209" s="186"/>
      <c r="B209" s="186"/>
      <c r="C209" s="186"/>
      <c r="D209" s="186"/>
      <c r="E209" s="186"/>
      <c r="F209" s="186"/>
      <c r="G209" s="186"/>
      <c r="H209" s="186"/>
      <c r="I209" s="186"/>
      <c r="J209" s="186"/>
      <c r="K209" s="186"/>
      <c r="L209" s="186"/>
    </row>
    <row r="210" spans="1:12" ht="14.25">
      <c r="A210" s="186"/>
      <c r="B210" s="186"/>
      <c r="C210" s="186"/>
      <c r="D210" s="186"/>
      <c r="E210" s="186"/>
      <c r="F210" s="186"/>
      <c r="G210" s="186"/>
      <c r="H210" s="186"/>
      <c r="I210" s="186"/>
      <c r="J210" s="186"/>
      <c r="K210" s="186"/>
      <c r="L210" s="186"/>
    </row>
    <row r="211" spans="1:12" ht="14.25">
      <c r="A211" s="186"/>
      <c r="B211" s="186"/>
      <c r="C211" s="186"/>
      <c r="D211" s="186"/>
      <c r="E211" s="186"/>
      <c r="F211" s="186"/>
      <c r="G211" s="186"/>
      <c r="H211" s="186"/>
      <c r="I211" s="186"/>
      <c r="J211" s="186"/>
      <c r="K211" s="186"/>
      <c r="L211" s="186"/>
    </row>
    <row r="212" spans="1:12" ht="14.25">
      <c r="A212" s="186"/>
      <c r="B212" s="186"/>
      <c r="C212" s="186"/>
      <c r="D212" s="186"/>
      <c r="E212" s="186"/>
      <c r="F212" s="186"/>
      <c r="G212" s="186"/>
      <c r="H212" s="186"/>
      <c r="I212" s="186"/>
      <c r="J212" s="186"/>
      <c r="K212" s="186"/>
      <c r="L212" s="186"/>
    </row>
    <row r="213" spans="1:12" ht="14.25">
      <c r="A213" s="186"/>
      <c r="B213" s="186"/>
      <c r="C213" s="186"/>
      <c r="D213" s="186"/>
      <c r="E213" s="186"/>
      <c r="F213" s="186"/>
      <c r="G213" s="186"/>
      <c r="H213" s="186"/>
      <c r="I213" s="186"/>
      <c r="J213" s="186"/>
      <c r="K213" s="186"/>
      <c r="L213" s="186"/>
    </row>
    <row r="214" spans="1:12" ht="14.25">
      <c r="A214" s="186"/>
      <c r="B214" s="186"/>
      <c r="C214" s="186"/>
      <c r="D214" s="186"/>
      <c r="E214" s="186"/>
      <c r="F214" s="186"/>
      <c r="G214" s="186"/>
      <c r="H214" s="186"/>
      <c r="I214" s="186"/>
      <c r="J214" s="186"/>
      <c r="K214" s="186"/>
      <c r="L214" s="186"/>
    </row>
    <row r="215" spans="1:12" ht="14.25">
      <c r="A215" s="186"/>
      <c r="B215" s="186"/>
      <c r="C215" s="186"/>
      <c r="D215" s="186"/>
      <c r="E215" s="186"/>
      <c r="F215" s="186"/>
      <c r="G215" s="186"/>
      <c r="H215" s="186"/>
      <c r="I215" s="186"/>
      <c r="J215" s="186"/>
      <c r="K215" s="186"/>
      <c r="L215" s="186"/>
    </row>
    <row r="216" spans="1:12" ht="14.25">
      <c r="A216" s="186"/>
      <c r="B216" s="186"/>
      <c r="C216" s="186"/>
      <c r="D216" s="186"/>
      <c r="E216" s="186"/>
      <c r="F216" s="186"/>
      <c r="G216" s="186"/>
      <c r="H216" s="186"/>
      <c r="I216" s="186"/>
      <c r="J216" s="186"/>
      <c r="K216" s="186"/>
      <c r="L216" s="186"/>
    </row>
    <row r="217" spans="1:12" ht="14.25">
      <c r="A217" s="186"/>
      <c r="B217" s="186"/>
      <c r="C217" s="186"/>
      <c r="D217" s="186"/>
      <c r="E217" s="186"/>
      <c r="F217" s="186"/>
      <c r="G217" s="186"/>
      <c r="H217" s="186"/>
      <c r="I217" s="186"/>
      <c r="J217" s="186"/>
      <c r="K217" s="186"/>
      <c r="L217" s="186"/>
    </row>
    <row r="218" spans="1:12" ht="14.25">
      <c r="A218" s="186"/>
      <c r="B218" s="186"/>
      <c r="C218" s="186"/>
      <c r="D218" s="186"/>
      <c r="E218" s="186"/>
      <c r="F218" s="186"/>
      <c r="G218" s="186"/>
      <c r="H218" s="186"/>
      <c r="I218" s="186"/>
      <c r="J218" s="186"/>
      <c r="K218" s="186"/>
      <c r="L218" s="186"/>
    </row>
    <row r="219" spans="1:12" ht="14.25">
      <c r="A219" s="186"/>
      <c r="B219" s="186"/>
      <c r="C219" s="186"/>
      <c r="D219" s="186"/>
      <c r="E219" s="186"/>
      <c r="F219" s="186"/>
      <c r="G219" s="186"/>
      <c r="H219" s="186"/>
      <c r="I219" s="186"/>
      <c r="J219" s="186"/>
      <c r="K219" s="186"/>
      <c r="L219" s="186"/>
    </row>
    <row r="220" spans="1:12" ht="14.25">
      <c r="A220" s="186"/>
      <c r="B220" s="186"/>
      <c r="C220" s="186"/>
      <c r="D220" s="186"/>
      <c r="E220" s="186"/>
      <c r="F220" s="186"/>
      <c r="G220" s="186"/>
      <c r="H220" s="186"/>
      <c r="I220" s="186"/>
      <c r="J220" s="186"/>
      <c r="K220" s="186"/>
      <c r="L220" s="186"/>
    </row>
    <row r="221" spans="1:12" ht="14.25">
      <c r="A221" s="186"/>
      <c r="B221" s="186"/>
      <c r="C221" s="186"/>
      <c r="D221" s="186"/>
      <c r="E221" s="186"/>
      <c r="F221" s="186"/>
      <c r="G221" s="186"/>
      <c r="H221" s="186"/>
      <c r="I221" s="186"/>
      <c r="J221" s="186"/>
      <c r="K221" s="186"/>
      <c r="L221" s="186"/>
    </row>
    <row r="222" spans="1:12" ht="14.25">
      <c r="A222" s="186"/>
      <c r="B222" s="186"/>
      <c r="C222" s="186"/>
      <c r="D222" s="186"/>
      <c r="E222" s="186"/>
      <c r="F222" s="186"/>
      <c r="G222" s="186"/>
      <c r="H222" s="186"/>
      <c r="I222" s="186"/>
      <c r="J222" s="186"/>
      <c r="K222" s="186"/>
      <c r="L222" s="186"/>
    </row>
    <row r="223" spans="1:12" ht="14.25">
      <c r="A223" s="186"/>
      <c r="B223" s="186"/>
      <c r="C223" s="186"/>
      <c r="D223" s="186"/>
      <c r="E223" s="186"/>
      <c r="F223" s="186"/>
      <c r="G223" s="186"/>
      <c r="H223" s="186"/>
      <c r="I223" s="186"/>
      <c r="J223" s="186"/>
      <c r="K223" s="186"/>
      <c r="L223" s="186"/>
    </row>
    <row r="224" spans="1:12" ht="14.25">
      <c r="A224" s="186"/>
      <c r="B224" s="186"/>
      <c r="C224" s="186"/>
      <c r="D224" s="186"/>
      <c r="E224" s="186"/>
      <c r="F224" s="186"/>
      <c r="G224" s="186"/>
      <c r="H224" s="186"/>
      <c r="I224" s="186"/>
      <c r="J224" s="186"/>
      <c r="K224" s="186"/>
      <c r="L224" s="186"/>
    </row>
    <row r="225" spans="1:12" ht="14.25">
      <c r="A225" s="186"/>
      <c r="B225" s="186"/>
      <c r="C225" s="186"/>
      <c r="D225" s="186"/>
      <c r="E225" s="186"/>
      <c r="F225" s="186"/>
      <c r="G225" s="186"/>
      <c r="H225" s="186"/>
      <c r="I225" s="186"/>
      <c r="J225" s="186"/>
      <c r="K225" s="186"/>
      <c r="L225" s="186"/>
    </row>
    <row r="226" spans="1:12" ht="14.25">
      <c r="A226" s="186"/>
      <c r="B226" s="186"/>
      <c r="C226" s="186"/>
      <c r="D226" s="186"/>
      <c r="E226" s="186"/>
      <c r="F226" s="186"/>
      <c r="G226" s="186"/>
      <c r="H226" s="186"/>
      <c r="I226" s="186"/>
      <c r="J226" s="186"/>
      <c r="K226" s="186"/>
      <c r="L226" s="186"/>
    </row>
    <row r="227" spans="1:12" ht="14.25">
      <c r="A227" s="186"/>
      <c r="B227" s="186"/>
      <c r="C227" s="186"/>
      <c r="D227" s="186"/>
      <c r="E227" s="186"/>
      <c r="F227" s="186"/>
      <c r="G227" s="186"/>
      <c r="H227" s="186"/>
      <c r="I227" s="186"/>
      <c r="J227" s="186"/>
      <c r="K227" s="186"/>
      <c r="L227" s="186"/>
    </row>
    <row r="228" spans="1:12" ht="14.25">
      <c r="A228" s="186"/>
      <c r="B228" s="186"/>
      <c r="C228" s="186"/>
      <c r="D228" s="186"/>
      <c r="E228" s="186"/>
      <c r="F228" s="186"/>
      <c r="G228" s="186"/>
      <c r="H228" s="186"/>
      <c r="I228" s="186"/>
      <c r="J228" s="186"/>
      <c r="K228" s="186"/>
      <c r="L228" s="186"/>
    </row>
    <row r="229" spans="1:12" ht="14.25">
      <c r="A229" s="186"/>
      <c r="B229" s="186"/>
      <c r="C229" s="186"/>
      <c r="D229" s="186"/>
      <c r="E229" s="186"/>
      <c r="F229" s="186"/>
      <c r="G229" s="186"/>
      <c r="H229" s="186"/>
      <c r="I229" s="186"/>
      <c r="J229" s="186"/>
      <c r="K229" s="186"/>
      <c r="L229" s="186"/>
    </row>
    <row r="230" spans="1:12" ht="14.25">
      <c r="A230" s="186"/>
      <c r="B230" s="186"/>
      <c r="C230" s="186"/>
      <c r="D230" s="186"/>
      <c r="E230" s="186"/>
      <c r="F230" s="186"/>
      <c r="G230" s="186"/>
      <c r="H230" s="186"/>
      <c r="I230" s="186"/>
      <c r="J230" s="186"/>
      <c r="K230" s="186"/>
      <c r="L230" s="186"/>
    </row>
    <row r="231" spans="1:12" ht="14.25">
      <c r="A231" s="186"/>
      <c r="B231" s="186"/>
      <c r="C231" s="186"/>
      <c r="D231" s="186"/>
      <c r="E231" s="186"/>
      <c r="F231" s="186"/>
      <c r="G231" s="186"/>
      <c r="H231" s="186"/>
      <c r="I231" s="186"/>
      <c r="J231" s="186"/>
      <c r="K231" s="186"/>
      <c r="L231" s="186"/>
    </row>
    <row r="232" spans="1:12" ht="14.25">
      <c r="A232" s="186"/>
      <c r="B232" s="186"/>
      <c r="C232" s="186"/>
      <c r="D232" s="186"/>
      <c r="E232" s="186"/>
      <c r="F232" s="186"/>
      <c r="G232" s="186"/>
      <c r="H232" s="186"/>
      <c r="I232" s="186"/>
      <c r="J232" s="186"/>
      <c r="K232" s="186"/>
      <c r="L232" s="186"/>
    </row>
    <row r="233" spans="1:12" ht="14.25">
      <c r="A233" s="186"/>
      <c r="B233" s="186"/>
      <c r="C233" s="186"/>
      <c r="D233" s="186"/>
      <c r="E233" s="186"/>
      <c r="F233" s="186"/>
      <c r="G233" s="186"/>
      <c r="H233" s="186"/>
      <c r="I233" s="186"/>
      <c r="J233" s="186"/>
      <c r="K233" s="186"/>
      <c r="L233" s="186"/>
    </row>
    <row r="234" spans="1:12" ht="14.25">
      <c r="A234" s="186"/>
      <c r="B234" s="186"/>
      <c r="C234" s="186"/>
      <c r="D234" s="186"/>
      <c r="E234" s="186"/>
      <c r="F234" s="186"/>
      <c r="G234" s="186"/>
      <c r="H234" s="186"/>
      <c r="I234" s="186"/>
      <c r="J234" s="186"/>
      <c r="K234" s="186"/>
      <c r="L234" s="186"/>
    </row>
    <row r="235" spans="1:12" ht="14.25">
      <c r="A235" s="186"/>
      <c r="B235" s="186"/>
      <c r="C235" s="186"/>
      <c r="D235" s="186"/>
      <c r="E235" s="186"/>
      <c r="F235" s="186"/>
      <c r="G235" s="186"/>
      <c r="H235" s="186"/>
      <c r="I235" s="186"/>
      <c r="J235" s="186"/>
      <c r="K235" s="186"/>
      <c r="L235" s="186"/>
    </row>
    <row r="236" spans="1:12" ht="14.25">
      <c r="A236" s="186"/>
      <c r="B236" s="186"/>
      <c r="C236" s="186"/>
      <c r="D236" s="186"/>
      <c r="E236" s="186"/>
      <c r="F236" s="186"/>
      <c r="G236" s="186"/>
      <c r="H236" s="186"/>
      <c r="I236" s="186"/>
      <c r="J236" s="186"/>
      <c r="K236" s="186"/>
      <c r="L236" s="186"/>
    </row>
    <row r="237" spans="1:12" ht="14.25">
      <c r="A237" s="186"/>
      <c r="B237" s="186"/>
      <c r="C237" s="186"/>
      <c r="D237" s="186"/>
      <c r="E237" s="186"/>
      <c r="F237" s="186"/>
      <c r="G237" s="186"/>
      <c r="H237" s="186"/>
      <c r="I237" s="186"/>
      <c r="J237" s="186"/>
      <c r="K237" s="186"/>
      <c r="L237" s="186"/>
    </row>
    <row r="238" spans="1:12" ht="14.25">
      <c r="A238" s="186"/>
      <c r="B238" s="186"/>
      <c r="C238" s="186"/>
      <c r="D238" s="186"/>
      <c r="E238" s="186"/>
      <c r="F238" s="186"/>
      <c r="G238" s="186"/>
      <c r="H238" s="186"/>
      <c r="I238" s="186"/>
      <c r="J238" s="186"/>
      <c r="K238" s="186"/>
      <c r="L238" s="186"/>
    </row>
    <row r="239" spans="1:12" ht="14.25">
      <c r="A239" s="186"/>
      <c r="B239" s="186"/>
      <c r="C239" s="186"/>
      <c r="D239" s="186"/>
      <c r="E239" s="186"/>
      <c r="F239" s="186"/>
      <c r="G239" s="186"/>
      <c r="H239" s="186"/>
      <c r="I239" s="186"/>
      <c r="J239" s="186"/>
      <c r="K239" s="186"/>
      <c r="L239" s="186"/>
    </row>
    <row r="240" spans="1:12" ht="14.25">
      <c r="A240" s="186"/>
      <c r="B240" s="186"/>
      <c r="C240" s="186"/>
      <c r="D240" s="186"/>
      <c r="E240" s="186"/>
      <c r="F240" s="186"/>
      <c r="G240" s="186"/>
      <c r="H240" s="186"/>
      <c r="I240" s="186"/>
      <c r="J240" s="186"/>
      <c r="K240" s="186"/>
      <c r="L240" s="186"/>
    </row>
    <row r="241" spans="1:12" ht="14.25">
      <c r="A241" s="186"/>
      <c r="B241" s="186"/>
      <c r="C241" s="186"/>
      <c r="D241" s="186"/>
      <c r="E241" s="186"/>
      <c r="F241" s="186"/>
      <c r="G241" s="186"/>
      <c r="H241" s="186"/>
      <c r="I241" s="186"/>
      <c r="J241" s="186"/>
      <c r="K241" s="186"/>
      <c r="L241" s="186"/>
    </row>
    <row r="242" spans="1:12" ht="14.25">
      <c r="A242" s="186"/>
      <c r="B242" s="186"/>
      <c r="C242" s="186"/>
      <c r="D242" s="186"/>
      <c r="E242" s="186"/>
      <c r="F242" s="186"/>
      <c r="G242" s="186"/>
      <c r="H242" s="186"/>
      <c r="I242" s="186"/>
      <c r="J242" s="186"/>
      <c r="K242" s="186"/>
      <c r="L242" s="186"/>
    </row>
    <row r="243" spans="1:12" ht="14.25">
      <c r="A243" s="186"/>
      <c r="B243" s="186"/>
      <c r="C243" s="186"/>
      <c r="D243" s="186"/>
      <c r="E243" s="186"/>
      <c r="F243" s="186"/>
      <c r="G243" s="186"/>
      <c r="H243" s="186"/>
      <c r="I243" s="186"/>
      <c r="J243" s="186"/>
      <c r="K243" s="186"/>
      <c r="L243" s="186"/>
    </row>
    <row r="244" spans="1:12" ht="14.25">
      <c r="A244" s="186"/>
      <c r="B244" s="186"/>
      <c r="C244" s="186"/>
      <c r="D244" s="186"/>
      <c r="E244" s="186"/>
      <c r="F244" s="186"/>
      <c r="G244" s="186"/>
      <c r="H244" s="186"/>
      <c r="I244" s="186"/>
      <c r="J244" s="186"/>
      <c r="K244" s="186"/>
      <c r="L244" s="186"/>
    </row>
    <row r="245" spans="1:12" ht="14.25">
      <c r="A245" s="186"/>
      <c r="B245" s="186"/>
      <c r="C245" s="186"/>
      <c r="D245" s="186"/>
      <c r="E245" s="186"/>
      <c r="F245" s="186"/>
      <c r="G245" s="186"/>
      <c r="H245" s="186"/>
      <c r="I245" s="186"/>
      <c r="J245" s="186"/>
      <c r="K245" s="186"/>
      <c r="L245" s="186"/>
    </row>
    <row r="246" spans="1:12" ht="14.25">
      <c r="A246" s="186"/>
      <c r="B246" s="186"/>
      <c r="C246" s="186"/>
      <c r="D246" s="186"/>
      <c r="E246" s="186"/>
      <c r="F246" s="186"/>
      <c r="G246" s="186"/>
      <c r="H246" s="186"/>
      <c r="I246" s="186"/>
      <c r="J246" s="186"/>
      <c r="K246" s="186"/>
      <c r="L246" s="186"/>
    </row>
    <row r="247" spans="1:12" ht="14.25">
      <c r="A247" s="186"/>
      <c r="B247" s="186"/>
      <c r="C247" s="186"/>
      <c r="D247" s="186"/>
      <c r="E247" s="186"/>
      <c r="F247" s="186"/>
      <c r="G247" s="186"/>
      <c r="H247" s="186"/>
      <c r="I247" s="186"/>
      <c r="J247" s="186"/>
      <c r="K247" s="186"/>
      <c r="L247" s="186"/>
    </row>
    <row r="248" spans="1:12" ht="14.25">
      <c r="A248" s="186"/>
      <c r="B248" s="186"/>
      <c r="C248" s="186"/>
      <c r="D248" s="186"/>
      <c r="E248" s="186"/>
      <c r="F248" s="186"/>
      <c r="G248" s="186"/>
      <c r="H248" s="186"/>
      <c r="I248" s="186"/>
      <c r="J248" s="186"/>
      <c r="K248" s="186"/>
      <c r="L248" s="186"/>
    </row>
    <row r="249" spans="1:12" ht="14.25">
      <c r="A249" s="186"/>
      <c r="B249" s="186"/>
      <c r="C249" s="186"/>
      <c r="D249" s="186"/>
      <c r="E249" s="186"/>
      <c r="F249" s="186"/>
      <c r="G249" s="186"/>
      <c r="H249" s="186"/>
      <c r="I249" s="186"/>
      <c r="J249" s="186"/>
      <c r="K249" s="186"/>
      <c r="L249" s="186"/>
    </row>
    <row r="250" spans="1:12" ht="14.25">
      <c r="A250" s="186"/>
      <c r="B250" s="186"/>
      <c r="C250" s="186"/>
      <c r="D250" s="186"/>
      <c r="E250" s="186"/>
      <c r="F250" s="186"/>
      <c r="G250" s="186"/>
      <c r="H250" s="186"/>
      <c r="I250" s="186"/>
      <c r="J250" s="186"/>
      <c r="K250" s="186"/>
      <c r="L250" s="186"/>
    </row>
    <row r="251" spans="1:12" ht="14.25">
      <c r="A251" s="186"/>
      <c r="B251" s="186"/>
      <c r="C251" s="186"/>
      <c r="D251" s="186"/>
      <c r="E251" s="186"/>
      <c r="F251" s="186"/>
      <c r="G251" s="186"/>
      <c r="H251" s="186"/>
      <c r="I251" s="186"/>
      <c r="J251" s="186"/>
      <c r="K251" s="186"/>
      <c r="L251" s="186"/>
    </row>
    <row r="252" spans="1:12" ht="14.25">
      <c r="A252" s="186"/>
      <c r="B252" s="186"/>
      <c r="C252" s="186"/>
      <c r="D252" s="186"/>
      <c r="E252" s="186"/>
      <c r="F252" s="186"/>
      <c r="G252" s="186"/>
      <c r="H252" s="186"/>
      <c r="I252" s="186"/>
      <c r="J252" s="186"/>
      <c r="K252" s="186"/>
      <c r="L252" s="186"/>
    </row>
    <row r="253" spans="1:12" ht="14.25">
      <c r="A253" s="186"/>
      <c r="B253" s="186"/>
      <c r="C253" s="186"/>
      <c r="D253" s="186"/>
      <c r="E253" s="186"/>
      <c r="F253" s="186"/>
      <c r="G253" s="186"/>
      <c r="H253" s="186"/>
      <c r="I253" s="186"/>
      <c r="J253" s="186"/>
      <c r="K253" s="186"/>
      <c r="L253" s="186"/>
    </row>
    <row r="254" spans="1:12" ht="14.25">
      <c r="A254" s="186"/>
      <c r="B254" s="186"/>
      <c r="C254" s="186"/>
      <c r="D254" s="186"/>
      <c r="E254" s="186"/>
      <c r="F254" s="186"/>
      <c r="G254" s="186"/>
      <c r="H254" s="186"/>
      <c r="I254" s="186"/>
      <c r="J254" s="186"/>
      <c r="K254" s="186"/>
      <c r="L254" s="186"/>
    </row>
    <row r="255" spans="1:12" ht="14.25">
      <c r="A255" s="186"/>
      <c r="B255" s="186"/>
      <c r="C255" s="186"/>
      <c r="D255" s="186"/>
      <c r="E255" s="186"/>
      <c r="F255" s="186"/>
      <c r="G255" s="186"/>
      <c r="H255" s="186"/>
      <c r="I255" s="186"/>
      <c r="J255" s="186"/>
      <c r="K255" s="186"/>
      <c r="L255" s="186"/>
    </row>
    <row r="256" spans="1:12" ht="14.25">
      <c r="A256" s="186"/>
      <c r="B256" s="186"/>
      <c r="C256" s="186"/>
      <c r="D256" s="186"/>
      <c r="E256" s="186"/>
      <c r="F256" s="186"/>
      <c r="G256" s="186"/>
      <c r="H256" s="186"/>
      <c r="I256" s="186"/>
      <c r="J256" s="186"/>
      <c r="K256" s="186"/>
      <c r="L256" s="186"/>
    </row>
    <row r="257" spans="1:12" ht="14.25">
      <c r="A257" s="186"/>
      <c r="B257" s="186"/>
      <c r="C257" s="186"/>
      <c r="D257" s="186"/>
      <c r="E257" s="186"/>
      <c r="F257" s="186"/>
      <c r="G257" s="186"/>
      <c r="H257" s="186"/>
      <c r="I257" s="186"/>
      <c r="J257" s="186"/>
      <c r="K257" s="186"/>
      <c r="L257" s="186"/>
    </row>
    <row r="258" spans="1:12" ht="14.25">
      <c r="A258" s="186"/>
      <c r="B258" s="186"/>
      <c r="C258" s="186"/>
      <c r="D258" s="186"/>
      <c r="E258" s="186"/>
      <c r="F258" s="186"/>
      <c r="G258" s="186"/>
      <c r="H258" s="186"/>
      <c r="I258" s="186"/>
      <c r="J258" s="186"/>
      <c r="K258" s="186"/>
      <c r="L258" s="186"/>
    </row>
    <row r="259" spans="1:12" ht="14.25">
      <c r="A259" s="186"/>
      <c r="B259" s="186"/>
      <c r="C259" s="186"/>
      <c r="D259" s="186"/>
      <c r="E259" s="186"/>
      <c r="F259" s="186"/>
      <c r="G259" s="186"/>
      <c r="H259" s="186"/>
      <c r="I259" s="186"/>
      <c r="J259" s="186"/>
      <c r="K259" s="186"/>
      <c r="L259" s="186"/>
    </row>
    <row r="260" spans="1:12" ht="14.25">
      <c r="A260" s="186"/>
      <c r="B260" s="186"/>
      <c r="C260" s="186"/>
      <c r="D260" s="186"/>
      <c r="E260" s="186"/>
      <c r="F260" s="186"/>
      <c r="G260" s="186"/>
      <c r="H260" s="186"/>
      <c r="I260" s="186"/>
      <c r="J260" s="186"/>
      <c r="K260" s="186"/>
      <c r="L260" s="186"/>
    </row>
    <row r="261" spans="1:12" ht="14.25">
      <c r="A261" s="186"/>
      <c r="B261" s="186"/>
      <c r="C261" s="186"/>
      <c r="D261" s="186"/>
      <c r="E261" s="186"/>
      <c r="F261" s="186"/>
      <c r="G261" s="186"/>
      <c r="H261" s="186"/>
      <c r="I261" s="186"/>
      <c r="J261" s="186"/>
      <c r="K261" s="186"/>
      <c r="L261" s="186"/>
    </row>
    <row r="262" spans="1:12" ht="14.25">
      <c r="A262" s="186"/>
      <c r="B262" s="186"/>
      <c r="C262" s="186"/>
      <c r="D262" s="186"/>
      <c r="E262" s="186"/>
      <c r="F262" s="186"/>
      <c r="G262" s="186"/>
      <c r="H262" s="186"/>
      <c r="I262" s="186"/>
      <c r="J262" s="186"/>
      <c r="K262" s="186"/>
      <c r="L262" s="186"/>
    </row>
    <row r="263" spans="1:12" ht="14.25">
      <c r="A263" s="186"/>
      <c r="B263" s="186"/>
      <c r="C263" s="186"/>
      <c r="D263" s="186"/>
      <c r="E263" s="186"/>
      <c r="F263" s="186"/>
      <c r="G263" s="186"/>
      <c r="H263" s="186"/>
      <c r="I263" s="186"/>
      <c r="J263" s="186"/>
      <c r="K263" s="186"/>
      <c r="L263" s="186"/>
    </row>
    <row r="264" spans="1:12" ht="14.25">
      <c r="A264" s="186"/>
      <c r="B264" s="186"/>
      <c r="C264" s="186"/>
      <c r="D264" s="186"/>
      <c r="E264" s="186"/>
      <c r="F264" s="186"/>
      <c r="G264" s="186"/>
      <c r="H264" s="186"/>
      <c r="I264" s="186"/>
      <c r="J264" s="186"/>
      <c r="K264" s="186"/>
      <c r="L264" s="186"/>
    </row>
    <row r="265" spans="1:12" ht="14.25">
      <c r="A265" s="186"/>
      <c r="B265" s="186"/>
      <c r="C265" s="186"/>
      <c r="D265" s="186"/>
      <c r="E265" s="186"/>
      <c r="F265" s="186"/>
      <c r="G265" s="186"/>
      <c r="H265" s="186"/>
      <c r="I265" s="186"/>
      <c r="J265" s="186"/>
      <c r="K265" s="186"/>
      <c r="L265" s="186"/>
    </row>
    <row r="266" spans="1:12" ht="14.25">
      <c r="A266" s="186"/>
      <c r="B266" s="186"/>
      <c r="C266" s="186"/>
      <c r="D266" s="186"/>
      <c r="E266" s="186"/>
      <c r="F266" s="186"/>
      <c r="G266" s="186"/>
      <c r="H266" s="186"/>
      <c r="I266" s="186"/>
      <c r="J266" s="186"/>
      <c r="K266" s="186"/>
      <c r="L266" s="186"/>
    </row>
    <row r="267" spans="1:12" ht="14.25">
      <c r="A267" s="186"/>
      <c r="B267" s="186"/>
      <c r="C267" s="186"/>
      <c r="D267" s="186"/>
      <c r="E267" s="186"/>
      <c r="F267" s="186"/>
      <c r="G267" s="186"/>
      <c r="H267" s="186"/>
      <c r="I267" s="186"/>
      <c r="J267" s="186"/>
      <c r="K267" s="186"/>
      <c r="L267" s="186"/>
    </row>
    <row r="268" spans="1:12" ht="14.25">
      <c r="A268" s="186"/>
      <c r="B268" s="186"/>
      <c r="C268" s="186"/>
      <c r="D268" s="186"/>
      <c r="E268" s="186"/>
      <c r="F268" s="186"/>
      <c r="G268" s="186"/>
      <c r="H268" s="186"/>
      <c r="I268" s="186"/>
      <c r="J268" s="186"/>
      <c r="K268" s="186"/>
      <c r="L268" s="186"/>
    </row>
    <row r="269" spans="1:12" ht="14.25">
      <c r="A269" s="186"/>
      <c r="B269" s="186"/>
      <c r="C269" s="186"/>
      <c r="D269" s="186"/>
      <c r="E269" s="186"/>
      <c r="F269" s="186"/>
      <c r="G269" s="186"/>
      <c r="H269" s="186"/>
      <c r="I269" s="186"/>
      <c r="J269" s="186"/>
      <c r="K269" s="186"/>
      <c r="L269" s="186"/>
    </row>
    <row r="270" spans="1:12" ht="14.25">
      <c r="A270" s="186"/>
      <c r="B270" s="186"/>
      <c r="C270" s="186"/>
      <c r="D270" s="186"/>
      <c r="E270" s="186"/>
      <c r="F270" s="186"/>
      <c r="G270" s="186"/>
      <c r="H270" s="186"/>
      <c r="I270" s="186"/>
      <c r="J270" s="186"/>
      <c r="K270" s="186"/>
      <c r="L270" s="186"/>
    </row>
    <row r="271" spans="1:12" ht="14.25">
      <c r="A271" s="186"/>
      <c r="B271" s="186"/>
      <c r="C271" s="186"/>
      <c r="D271" s="186"/>
      <c r="E271" s="186"/>
      <c r="F271" s="186"/>
      <c r="G271" s="186"/>
      <c r="H271" s="186"/>
      <c r="I271" s="186"/>
      <c r="J271" s="186"/>
      <c r="K271" s="186"/>
      <c r="L271" s="186"/>
    </row>
    <row r="272" spans="1:12" ht="14.25">
      <c r="A272" s="186"/>
      <c r="B272" s="186"/>
      <c r="C272" s="186"/>
      <c r="D272" s="186"/>
      <c r="E272" s="186"/>
      <c r="F272" s="186"/>
      <c r="G272" s="186"/>
      <c r="H272" s="186"/>
      <c r="I272" s="186"/>
      <c r="J272" s="186"/>
      <c r="K272" s="186"/>
      <c r="L272" s="186"/>
    </row>
    <row r="273" spans="1:12" ht="14.25">
      <c r="A273" s="186"/>
      <c r="B273" s="186"/>
      <c r="C273" s="186"/>
      <c r="D273" s="186"/>
      <c r="E273" s="186"/>
      <c r="F273" s="186"/>
      <c r="G273" s="186"/>
      <c r="H273" s="186"/>
      <c r="I273" s="186"/>
      <c r="J273" s="186"/>
      <c r="K273" s="186"/>
      <c r="L273" s="186"/>
    </row>
    <row r="274" spans="1:12" ht="14.25">
      <c r="A274" s="186"/>
      <c r="B274" s="186"/>
      <c r="C274" s="186"/>
      <c r="D274" s="186"/>
      <c r="E274" s="186"/>
      <c r="F274" s="186"/>
      <c r="G274" s="186"/>
      <c r="H274" s="186"/>
      <c r="I274" s="186"/>
      <c r="J274" s="186"/>
      <c r="K274" s="186"/>
      <c r="L274" s="186"/>
    </row>
    <row r="275" spans="1:12" ht="14.25">
      <c r="A275" s="186"/>
      <c r="B275" s="186"/>
      <c r="C275" s="186"/>
      <c r="D275" s="186"/>
      <c r="E275" s="186"/>
      <c r="F275" s="186"/>
      <c r="G275" s="186"/>
      <c r="H275" s="186"/>
      <c r="I275" s="186"/>
      <c r="J275" s="186"/>
      <c r="K275" s="186"/>
      <c r="L275" s="186"/>
    </row>
    <row r="276" spans="1:12" ht="14.25">
      <c r="A276" s="186"/>
      <c r="B276" s="186"/>
      <c r="C276" s="186"/>
      <c r="D276" s="186"/>
      <c r="E276" s="186"/>
      <c r="F276" s="186"/>
      <c r="G276" s="186"/>
      <c r="H276" s="186"/>
      <c r="I276" s="186"/>
      <c r="J276" s="186"/>
      <c r="K276" s="186"/>
      <c r="L276" s="186"/>
    </row>
    <row r="277" spans="1:12" ht="14.25">
      <c r="A277" s="186"/>
      <c r="B277" s="186"/>
      <c r="C277" s="186"/>
      <c r="D277" s="186"/>
      <c r="E277" s="186"/>
      <c r="F277" s="186"/>
      <c r="G277" s="186"/>
      <c r="H277" s="186"/>
      <c r="I277" s="186"/>
      <c r="J277" s="186"/>
      <c r="K277" s="186"/>
      <c r="L277" s="186"/>
    </row>
    <row r="278" spans="1:12" ht="14.25">
      <c r="A278" s="186"/>
      <c r="B278" s="186"/>
      <c r="C278" s="186"/>
      <c r="D278" s="186"/>
      <c r="E278" s="186"/>
      <c r="F278" s="186"/>
      <c r="G278" s="186"/>
      <c r="H278" s="186"/>
      <c r="I278" s="186"/>
      <c r="J278" s="186"/>
      <c r="K278" s="186"/>
      <c r="L278" s="186"/>
    </row>
    <row r="279" spans="1:12" ht="14.25">
      <c r="A279" s="186"/>
      <c r="B279" s="186"/>
      <c r="C279" s="186"/>
      <c r="D279" s="186"/>
      <c r="E279" s="186"/>
      <c r="F279" s="186"/>
      <c r="G279" s="186"/>
      <c r="H279" s="186"/>
      <c r="I279" s="186"/>
      <c r="J279" s="186"/>
      <c r="K279" s="186"/>
      <c r="L279" s="186"/>
    </row>
    <row r="280" spans="1:12" ht="14.25">
      <c r="A280" s="186"/>
      <c r="B280" s="186"/>
      <c r="C280" s="186"/>
      <c r="D280" s="186"/>
      <c r="E280" s="186"/>
      <c r="F280" s="186"/>
      <c r="G280" s="186"/>
      <c r="H280" s="186"/>
      <c r="I280" s="186"/>
      <c r="J280" s="186"/>
      <c r="K280" s="186"/>
      <c r="L280" s="186"/>
    </row>
    <row r="281" spans="1:12" ht="14.25">
      <c r="A281" s="186"/>
      <c r="B281" s="186"/>
      <c r="C281" s="186"/>
      <c r="D281" s="186"/>
      <c r="E281" s="186"/>
      <c r="F281" s="186"/>
      <c r="G281" s="186"/>
      <c r="H281" s="186"/>
      <c r="I281" s="186"/>
      <c r="J281" s="186"/>
      <c r="K281" s="186"/>
      <c r="L281" s="186"/>
    </row>
    <row r="282" spans="1:12" ht="14.25">
      <c r="A282" s="186"/>
      <c r="B282" s="186"/>
      <c r="C282" s="186"/>
      <c r="D282" s="186"/>
      <c r="E282" s="186"/>
      <c r="F282" s="186"/>
      <c r="G282" s="186"/>
      <c r="H282" s="186"/>
      <c r="I282" s="186"/>
      <c r="J282" s="186"/>
      <c r="K282" s="186"/>
      <c r="L282" s="186"/>
    </row>
    <row r="283" spans="1:12" ht="14.25">
      <c r="A283" s="186"/>
      <c r="B283" s="186"/>
      <c r="C283" s="186"/>
      <c r="D283" s="186"/>
      <c r="E283" s="186"/>
      <c r="F283" s="186"/>
      <c r="G283" s="186"/>
      <c r="H283" s="186"/>
      <c r="I283" s="186"/>
      <c r="J283" s="186"/>
      <c r="K283" s="186"/>
      <c r="L283" s="186"/>
    </row>
    <row r="284" spans="1:12" ht="14.25">
      <c r="A284" s="186"/>
      <c r="B284" s="186"/>
      <c r="C284" s="186"/>
      <c r="D284" s="186"/>
      <c r="E284" s="186"/>
      <c r="F284" s="186"/>
      <c r="G284" s="186"/>
      <c r="H284" s="186"/>
      <c r="I284" s="186"/>
      <c r="J284" s="186"/>
      <c r="K284" s="186"/>
      <c r="L284" s="186"/>
    </row>
    <row r="285" spans="1:12" ht="14.25">
      <c r="A285" s="186"/>
      <c r="B285" s="186"/>
      <c r="C285" s="186"/>
      <c r="D285" s="186"/>
      <c r="E285" s="186"/>
      <c r="F285" s="186"/>
      <c r="G285" s="186"/>
      <c r="H285" s="186"/>
      <c r="I285" s="186"/>
      <c r="J285" s="186"/>
      <c r="K285" s="186"/>
      <c r="L285" s="186"/>
    </row>
    <row r="286" spans="1:12" ht="14.25">
      <c r="A286" s="186"/>
      <c r="B286" s="186"/>
      <c r="C286" s="186"/>
      <c r="D286" s="186"/>
      <c r="E286" s="186"/>
      <c r="F286" s="186"/>
      <c r="G286" s="186"/>
      <c r="H286" s="186"/>
      <c r="I286" s="186"/>
      <c r="J286" s="186"/>
      <c r="K286" s="186"/>
      <c r="L286" s="186"/>
    </row>
    <row r="287" spans="1:12" ht="14.25">
      <c r="A287" s="186"/>
      <c r="B287" s="186"/>
      <c r="C287" s="186"/>
      <c r="D287" s="186"/>
      <c r="E287" s="186"/>
      <c r="F287" s="186"/>
      <c r="G287" s="186"/>
      <c r="H287" s="186"/>
      <c r="I287" s="186"/>
      <c r="J287" s="186"/>
      <c r="K287" s="186"/>
      <c r="L287" s="186"/>
    </row>
    <row r="288" spans="1:12" ht="14.25">
      <c r="A288" s="186"/>
      <c r="B288" s="186"/>
      <c r="C288" s="186"/>
      <c r="D288" s="186"/>
      <c r="E288" s="186"/>
      <c r="F288" s="186"/>
      <c r="G288" s="186"/>
      <c r="H288" s="186"/>
      <c r="I288" s="186"/>
      <c r="J288" s="186"/>
      <c r="K288" s="186"/>
      <c r="L288" s="186"/>
    </row>
    <row r="289" spans="1:12" ht="14.25">
      <c r="A289" s="186"/>
      <c r="B289" s="186"/>
      <c r="C289" s="186"/>
      <c r="D289" s="186"/>
      <c r="E289" s="186"/>
      <c r="F289" s="186"/>
      <c r="G289" s="186"/>
      <c r="H289" s="186"/>
      <c r="I289" s="186"/>
      <c r="J289" s="186"/>
      <c r="K289" s="186"/>
      <c r="L289" s="186"/>
    </row>
    <row r="290" spans="1:12" ht="14.25">
      <c r="A290" s="186"/>
      <c r="B290" s="186"/>
      <c r="C290" s="186"/>
      <c r="D290" s="186"/>
      <c r="E290" s="186"/>
      <c r="F290" s="186"/>
      <c r="G290" s="186"/>
      <c r="H290" s="186"/>
      <c r="I290" s="186"/>
      <c r="J290" s="186"/>
      <c r="K290" s="186"/>
      <c r="L290" s="186"/>
    </row>
    <row r="291" spans="1:12" ht="14.25">
      <c r="A291" s="186"/>
      <c r="B291" s="186"/>
      <c r="C291" s="186"/>
      <c r="D291" s="186"/>
      <c r="E291" s="186"/>
      <c r="F291" s="186"/>
      <c r="G291" s="186"/>
      <c r="H291" s="186"/>
      <c r="I291" s="186"/>
      <c r="J291" s="186"/>
      <c r="K291" s="186"/>
      <c r="L291" s="186"/>
    </row>
    <row r="292" spans="1:12" ht="14.25">
      <c r="A292" s="186"/>
      <c r="B292" s="186"/>
      <c r="C292" s="186"/>
      <c r="D292" s="186"/>
      <c r="E292" s="186"/>
      <c r="F292" s="186"/>
      <c r="G292" s="186"/>
      <c r="H292" s="186"/>
      <c r="I292" s="186"/>
      <c r="J292" s="186"/>
      <c r="K292" s="186"/>
      <c r="L292" s="186"/>
    </row>
    <row r="293" spans="1:12" ht="14.25">
      <c r="A293" s="186"/>
      <c r="B293" s="186"/>
      <c r="C293" s="186"/>
      <c r="D293" s="186"/>
      <c r="E293" s="186"/>
      <c r="F293" s="186"/>
      <c r="G293" s="186"/>
      <c r="H293" s="186"/>
      <c r="I293" s="186"/>
      <c r="J293" s="186"/>
      <c r="K293" s="186"/>
      <c r="L293" s="186"/>
    </row>
    <row r="294" spans="1:12" ht="14.25">
      <c r="A294" s="186"/>
      <c r="B294" s="186"/>
      <c r="C294" s="186"/>
      <c r="D294" s="186"/>
      <c r="E294" s="186"/>
      <c r="F294" s="186"/>
      <c r="G294" s="186"/>
      <c r="H294" s="186"/>
      <c r="I294" s="186"/>
      <c r="J294" s="186"/>
      <c r="K294" s="186"/>
      <c r="L294" s="186"/>
    </row>
    <row r="295" spans="1:12" ht="14.25">
      <c r="A295" s="186"/>
      <c r="B295" s="186"/>
      <c r="C295" s="186"/>
      <c r="D295" s="186"/>
      <c r="E295" s="186"/>
      <c r="F295" s="186"/>
      <c r="G295" s="186"/>
      <c r="H295" s="186"/>
      <c r="I295" s="186"/>
      <c r="J295" s="186"/>
      <c r="K295" s="186"/>
      <c r="L295" s="186"/>
    </row>
    <row r="296" spans="1:12" ht="14.25">
      <c r="A296" s="186"/>
      <c r="B296" s="186"/>
      <c r="C296" s="186"/>
      <c r="D296" s="186"/>
      <c r="E296" s="186"/>
      <c r="F296" s="186"/>
      <c r="G296" s="186"/>
      <c r="H296" s="186"/>
      <c r="I296" s="186"/>
      <c r="J296" s="186"/>
      <c r="K296" s="186"/>
      <c r="L296" s="186"/>
    </row>
    <row r="297" spans="1:12" ht="14.25">
      <c r="A297" s="186"/>
      <c r="B297" s="186"/>
      <c r="C297" s="186"/>
      <c r="D297" s="186"/>
      <c r="E297" s="186"/>
      <c r="F297" s="186"/>
      <c r="G297" s="186"/>
      <c r="H297" s="186"/>
      <c r="I297" s="186"/>
      <c r="J297" s="186"/>
      <c r="K297" s="186"/>
      <c r="L297" s="186"/>
    </row>
    <row r="298" spans="1:12" ht="14.25">
      <c r="A298" s="186"/>
      <c r="B298" s="186"/>
      <c r="C298" s="186"/>
      <c r="D298" s="186"/>
      <c r="E298" s="186"/>
      <c r="F298" s="186"/>
      <c r="G298" s="186"/>
      <c r="H298" s="186"/>
      <c r="I298" s="186"/>
      <c r="J298" s="186"/>
      <c r="K298" s="186"/>
      <c r="L298" s="186"/>
    </row>
    <row r="299" spans="1:12" ht="14.25">
      <c r="A299" s="186"/>
      <c r="B299" s="186"/>
      <c r="C299" s="186"/>
      <c r="D299" s="186"/>
      <c r="E299" s="186"/>
      <c r="F299" s="186"/>
      <c r="G299" s="186"/>
      <c r="H299" s="186"/>
      <c r="I299" s="186"/>
      <c r="J299" s="186"/>
      <c r="K299" s="186"/>
      <c r="L299" s="186"/>
    </row>
    <row r="300" spans="1:12" ht="14.25">
      <c r="A300" s="186"/>
      <c r="B300" s="186"/>
      <c r="C300" s="186"/>
      <c r="D300" s="186"/>
      <c r="E300" s="186"/>
      <c r="F300" s="186"/>
      <c r="G300" s="186"/>
      <c r="H300" s="186"/>
      <c r="I300" s="186"/>
      <c r="J300" s="186"/>
      <c r="K300" s="186"/>
      <c r="L300" s="186"/>
    </row>
    <row r="301" spans="1:12" ht="14.25">
      <c r="A301" s="186"/>
      <c r="B301" s="186"/>
      <c r="C301" s="186"/>
      <c r="D301" s="186"/>
      <c r="E301" s="186"/>
      <c r="F301" s="186"/>
      <c r="G301" s="186"/>
      <c r="H301" s="186"/>
      <c r="I301" s="186"/>
      <c r="J301" s="186"/>
      <c r="K301" s="186"/>
      <c r="L301" s="186"/>
    </row>
    <row r="302" spans="1:12" ht="14.25">
      <c r="A302" s="186"/>
      <c r="B302" s="186"/>
      <c r="C302" s="186"/>
      <c r="D302" s="186"/>
      <c r="E302" s="186"/>
      <c r="F302" s="186"/>
      <c r="G302" s="186"/>
      <c r="H302" s="186"/>
      <c r="I302" s="186"/>
      <c r="J302" s="186"/>
      <c r="K302" s="186"/>
      <c r="L302" s="186"/>
    </row>
    <row r="303" spans="1:12" ht="14.25">
      <c r="A303" s="186"/>
      <c r="B303" s="186"/>
      <c r="C303" s="186"/>
      <c r="D303" s="186"/>
      <c r="E303" s="186"/>
      <c r="F303" s="186"/>
      <c r="G303" s="186"/>
      <c r="H303" s="186"/>
      <c r="I303" s="186"/>
      <c r="J303" s="186"/>
      <c r="K303" s="186"/>
      <c r="L303" s="186"/>
    </row>
    <row r="304" spans="1:12" ht="14.25">
      <c r="A304" s="186"/>
      <c r="B304" s="186"/>
      <c r="C304" s="186"/>
      <c r="D304" s="186"/>
      <c r="E304" s="186"/>
      <c r="F304" s="186"/>
      <c r="G304" s="186"/>
      <c r="H304" s="186"/>
      <c r="I304" s="186"/>
      <c r="J304" s="186"/>
      <c r="K304" s="186"/>
      <c r="L304" s="186"/>
    </row>
    <row r="305" spans="1:12" ht="14.25">
      <c r="A305" s="186"/>
      <c r="B305" s="186"/>
      <c r="C305" s="186"/>
      <c r="D305" s="186"/>
      <c r="E305" s="186"/>
      <c r="F305" s="186"/>
      <c r="G305" s="186"/>
      <c r="H305" s="186"/>
      <c r="I305" s="186"/>
      <c r="J305" s="186"/>
      <c r="K305" s="186"/>
      <c r="L305" s="186"/>
    </row>
    <row r="306" spans="1:12" ht="14.25">
      <c r="A306" s="186"/>
      <c r="B306" s="186"/>
      <c r="C306" s="186"/>
      <c r="D306" s="186"/>
      <c r="E306" s="186"/>
      <c r="F306" s="186"/>
      <c r="G306" s="186"/>
      <c r="H306" s="186"/>
      <c r="I306" s="186"/>
      <c r="J306" s="186"/>
      <c r="K306" s="186"/>
      <c r="L306" s="186"/>
    </row>
    <row r="307" spans="1:12" ht="14.25">
      <c r="A307" s="186"/>
      <c r="B307" s="186"/>
      <c r="C307" s="186"/>
      <c r="D307" s="186"/>
      <c r="E307" s="186"/>
      <c r="F307" s="186"/>
      <c r="G307" s="186"/>
      <c r="H307" s="186"/>
      <c r="I307" s="186"/>
      <c r="J307" s="186"/>
      <c r="K307" s="186"/>
      <c r="L307" s="186"/>
    </row>
    <row r="308" spans="1:12" ht="14.25">
      <c r="A308" s="186"/>
      <c r="B308" s="186"/>
      <c r="C308" s="186"/>
      <c r="D308" s="186"/>
      <c r="E308" s="186"/>
      <c r="F308" s="186"/>
      <c r="G308" s="186"/>
      <c r="H308" s="186"/>
      <c r="I308" s="186"/>
      <c r="J308" s="186"/>
      <c r="K308" s="186"/>
      <c r="L308" s="186"/>
    </row>
    <row r="309" spans="1:12" ht="14.25">
      <c r="A309" s="186"/>
      <c r="B309" s="186"/>
      <c r="C309" s="186"/>
      <c r="D309" s="186"/>
      <c r="E309" s="186"/>
      <c r="F309" s="186"/>
      <c r="G309" s="186"/>
      <c r="H309" s="186"/>
      <c r="I309" s="186"/>
      <c r="J309" s="186"/>
      <c r="K309" s="186"/>
      <c r="L309" s="186"/>
    </row>
    <row r="310" spans="1:12" ht="14.25">
      <c r="A310" s="186"/>
      <c r="B310" s="186"/>
      <c r="C310" s="186"/>
      <c r="D310" s="186"/>
      <c r="E310" s="186"/>
      <c r="F310" s="186"/>
      <c r="G310" s="186"/>
      <c r="H310" s="186"/>
      <c r="I310" s="186"/>
      <c r="J310" s="186"/>
      <c r="K310" s="186"/>
      <c r="L310" s="186"/>
    </row>
    <row r="311" spans="1:12" ht="14.25">
      <c r="A311" s="186"/>
      <c r="B311" s="186"/>
      <c r="C311" s="186"/>
      <c r="D311" s="186"/>
      <c r="E311" s="186"/>
      <c r="F311" s="186"/>
      <c r="G311" s="186"/>
      <c r="H311" s="186"/>
      <c r="I311" s="186"/>
      <c r="J311" s="186"/>
      <c r="K311" s="186"/>
      <c r="L311" s="186"/>
    </row>
    <row r="312" spans="1:12" ht="14.25">
      <c r="A312" s="186"/>
      <c r="B312" s="186"/>
      <c r="C312" s="186"/>
      <c r="D312" s="186"/>
      <c r="E312" s="186"/>
      <c r="F312" s="186"/>
      <c r="G312" s="186"/>
      <c r="H312" s="186"/>
      <c r="I312" s="186"/>
      <c r="J312" s="186"/>
      <c r="K312" s="186"/>
      <c r="L312" s="186"/>
    </row>
    <row r="313" spans="1:12" ht="14.25">
      <c r="A313" s="186"/>
      <c r="B313" s="186"/>
      <c r="C313" s="186"/>
      <c r="D313" s="186"/>
      <c r="E313" s="186"/>
      <c r="F313" s="186"/>
      <c r="G313" s="186"/>
      <c r="H313" s="186"/>
      <c r="I313" s="186"/>
      <c r="J313" s="186"/>
      <c r="K313" s="186"/>
      <c r="L313" s="186"/>
    </row>
    <row r="314" spans="1:12" ht="14.25">
      <c r="A314" s="186"/>
      <c r="B314" s="186"/>
      <c r="C314" s="186"/>
      <c r="D314" s="186"/>
      <c r="E314" s="186"/>
      <c r="F314" s="186"/>
      <c r="G314" s="186"/>
      <c r="H314" s="186"/>
      <c r="I314" s="186"/>
      <c r="J314" s="186"/>
      <c r="K314" s="186"/>
      <c r="L314" s="186"/>
    </row>
    <row r="315" spans="1:12" ht="14.25">
      <c r="A315" s="186"/>
      <c r="B315" s="186"/>
      <c r="C315" s="186"/>
      <c r="D315" s="186"/>
      <c r="E315" s="186"/>
      <c r="F315" s="186"/>
      <c r="G315" s="186"/>
      <c r="H315" s="186"/>
      <c r="I315" s="186"/>
      <c r="J315" s="186"/>
      <c r="K315" s="186"/>
      <c r="L315" s="186"/>
    </row>
    <row r="316" spans="1:12" ht="14.25">
      <c r="A316" s="186"/>
      <c r="B316" s="186"/>
      <c r="C316" s="186"/>
      <c r="D316" s="186"/>
      <c r="E316" s="186"/>
      <c r="F316" s="186"/>
      <c r="G316" s="186"/>
      <c r="H316" s="186"/>
      <c r="I316" s="186"/>
      <c r="J316" s="186"/>
      <c r="K316" s="186"/>
      <c r="L316" s="186"/>
    </row>
    <row r="317" spans="1:12" ht="14.25">
      <c r="A317" s="186"/>
      <c r="B317" s="186"/>
      <c r="C317" s="186"/>
      <c r="D317" s="186"/>
      <c r="E317" s="186"/>
      <c r="F317" s="186"/>
      <c r="G317" s="186"/>
      <c r="H317" s="186"/>
      <c r="I317" s="186"/>
      <c r="J317" s="186"/>
      <c r="K317" s="186"/>
      <c r="L317" s="186"/>
    </row>
    <row r="318" spans="1:12" ht="14.25">
      <c r="A318" s="186"/>
      <c r="B318" s="186"/>
      <c r="C318" s="186"/>
      <c r="D318" s="186"/>
      <c r="E318" s="186"/>
      <c r="F318" s="186"/>
      <c r="G318" s="186"/>
      <c r="H318" s="186"/>
      <c r="I318" s="186"/>
      <c r="J318" s="186"/>
      <c r="K318" s="186"/>
      <c r="L318" s="186"/>
    </row>
    <row r="319" spans="1:12" ht="14.25">
      <c r="A319" s="186"/>
      <c r="B319" s="186"/>
      <c r="C319" s="186"/>
      <c r="D319" s="186"/>
      <c r="E319" s="186"/>
      <c r="F319" s="186"/>
      <c r="G319" s="186"/>
      <c r="H319" s="186"/>
      <c r="I319" s="186"/>
      <c r="J319" s="186"/>
      <c r="K319" s="186"/>
      <c r="L319" s="186"/>
    </row>
    <row r="320" spans="1:12" ht="14.25">
      <c r="A320" s="186"/>
      <c r="B320" s="186"/>
      <c r="C320" s="186"/>
      <c r="D320" s="186"/>
      <c r="E320" s="186"/>
      <c r="F320" s="186"/>
      <c r="G320" s="186"/>
      <c r="H320" s="186"/>
      <c r="I320" s="186"/>
      <c r="J320" s="186"/>
      <c r="K320" s="186"/>
      <c r="L320" s="186"/>
    </row>
    <row r="321" spans="1:12" ht="14.25">
      <c r="A321" s="186"/>
      <c r="B321" s="186"/>
      <c r="C321" s="186"/>
      <c r="D321" s="186"/>
      <c r="E321" s="186"/>
      <c r="F321" s="186"/>
      <c r="G321" s="186"/>
      <c r="H321" s="186"/>
      <c r="I321" s="186"/>
      <c r="J321" s="186"/>
      <c r="K321" s="186"/>
      <c r="L321" s="186"/>
    </row>
    <row r="322" spans="1:12" ht="14.25">
      <c r="A322" s="186"/>
      <c r="B322" s="186"/>
      <c r="C322" s="186"/>
      <c r="D322" s="186"/>
      <c r="E322" s="186"/>
      <c r="F322" s="186"/>
      <c r="G322" s="186"/>
      <c r="H322" s="186"/>
      <c r="I322" s="186"/>
      <c r="J322" s="186"/>
      <c r="K322" s="186"/>
      <c r="L322" s="186"/>
    </row>
    <row r="323" spans="1:12" ht="14.25">
      <c r="A323" s="186"/>
      <c r="B323" s="186"/>
      <c r="C323" s="186"/>
      <c r="D323" s="186"/>
      <c r="E323" s="186"/>
      <c r="F323" s="186"/>
      <c r="G323" s="186"/>
      <c r="H323" s="186"/>
      <c r="I323" s="186"/>
      <c r="J323" s="186"/>
      <c r="K323" s="186"/>
      <c r="L323" s="186"/>
    </row>
    <row r="324" spans="1:12" ht="14.25">
      <c r="A324" s="186"/>
      <c r="B324" s="186"/>
      <c r="C324" s="186"/>
      <c r="D324" s="186"/>
      <c r="E324" s="186"/>
      <c r="F324" s="186"/>
      <c r="G324" s="186"/>
      <c r="H324" s="186"/>
      <c r="I324" s="186"/>
      <c r="J324" s="186"/>
      <c r="K324" s="186"/>
      <c r="L324" s="186"/>
    </row>
    <row r="325" spans="1:12" ht="14.25">
      <c r="A325" s="186"/>
      <c r="B325" s="186"/>
      <c r="C325" s="186"/>
      <c r="D325" s="186"/>
      <c r="E325" s="186"/>
      <c r="F325" s="186"/>
      <c r="G325" s="186"/>
      <c r="H325" s="186"/>
      <c r="I325" s="186"/>
      <c r="J325" s="186"/>
      <c r="K325" s="186"/>
      <c r="L325" s="186"/>
    </row>
    <row r="326" spans="1:12" ht="14.25">
      <c r="A326" s="186"/>
      <c r="B326" s="186"/>
      <c r="C326" s="186"/>
      <c r="D326" s="186"/>
      <c r="E326" s="186"/>
      <c r="F326" s="186"/>
      <c r="G326" s="186"/>
      <c r="H326" s="186"/>
      <c r="I326" s="186"/>
      <c r="J326" s="186"/>
      <c r="K326" s="186"/>
      <c r="L326" s="186"/>
    </row>
    <row r="327" spans="1:12" ht="14.25">
      <c r="A327" s="186"/>
      <c r="B327" s="186"/>
      <c r="C327" s="186"/>
      <c r="D327" s="186"/>
      <c r="E327" s="186"/>
      <c r="F327" s="186"/>
      <c r="G327" s="186"/>
      <c r="H327" s="186"/>
      <c r="I327" s="186"/>
      <c r="J327" s="186"/>
      <c r="K327" s="186"/>
      <c r="L327" s="186"/>
    </row>
    <row r="328" spans="1:12" ht="14.25">
      <c r="A328" s="186"/>
      <c r="B328" s="186"/>
      <c r="C328" s="186"/>
      <c r="D328" s="186"/>
      <c r="E328" s="186"/>
      <c r="F328" s="186"/>
      <c r="G328" s="186"/>
      <c r="H328" s="186"/>
      <c r="I328" s="186"/>
      <c r="J328" s="186"/>
      <c r="K328" s="186"/>
      <c r="L328" s="186"/>
    </row>
    <row r="329" spans="1:12" ht="14.25">
      <c r="A329" s="186"/>
      <c r="B329" s="186"/>
      <c r="C329" s="186"/>
      <c r="D329" s="186"/>
      <c r="E329" s="186"/>
      <c r="F329" s="186"/>
      <c r="G329" s="186"/>
      <c r="H329" s="186"/>
      <c r="I329" s="186"/>
      <c r="J329" s="186"/>
      <c r="K329" s="186"/>
      <c r="L329" s="186"/>
    </row>
    <row r="330" spans="1:12" ht="14.25">
      <c r="A330" s="186"/>
      <c r="B330" s="186"/>
      <c r="C330" s="186"/>
      <c r="D330" s="186"/>
      <c r="E330" s="186"/>
      <c r="F330" s="186"/>
      <c r="G330" s="186"/>
      <c r="H330" s="186"/>
      <c r="I330" s="186"/>
      <c r="J330" s="186"/>
      <c r="K330" s="186"/>
      <c r="L330" s="186"/>
    </row>
    <row r="331" spans="1:12" ht="14.25">
      <c r="A331" s="186"/>
      <c r="B331" s="186"/>
      <c r="C331" s="186"/>
      <c r="D331" s="186"/>
      <c r="E331" s="186"/>
      <c r="F331" s="186"/>
      <c r="G331" s="186"/>
      <c r="H331" s="186"/>
      <c r="I331" s="186"/>
      <c r="J331" s="186"/>
      <c r="K331" s="186"/>
      <c r="L331" s="186"/>
    </row>
    <row r="332" spans="1:12" ht="14.25">
      <c r="A332" s="186"/>
      <c r="B332" s="186"/>
      <c r="C332" s="186"/>
      <c r="D332" s="186"/>
      <c r="E332" s="186"/>
      <c r="F332" s="186"/>
      <c r="G332" s="186"/>
      <c r="H332" s="186"/>
      <c r="I332" s="186"/>
      <c r="J332" s="186"/>
      <c r="K332" s="186"/>
      <c r="L332" s="186"/>
    </row>
    <row r="333" spans="1:12" ht="14.25">
      <c r="A333" s="186"/>
      <c r="B333" s="186"/>
      <c r="C333" s="186"/>
      <c r="D333" s="186"/>
      <c r="E333" s="186"/>
      <c r="F333" s="186"/>
      <c r="G333" s="186"/>
      <c r="H333" s="186"/>
      <c r="I333" s="186"/>
      <c r="J333" s="186"/>
      <c r="K333" s="186"/>
      <c r="L333" s="186"/>
    </row>
    <row r="334" spans="1:12" ht="14.25">
      <c r="A334" s="186"/>
      <c r="B334" s="186"/>
      <c r="C334" s="186"/>
      <c r="D334" s="186"/>
      <c r="E334" s="186"/>
      <c r="F334" s="186"/>
      <c r="G334" s="186"/>
      <c r="H334" s="186"/>
      <c r="I334" s="186"/>
      <c r="J334" s="186"/>
      <c r="K334" s="186"/>
      <c r="L334" s="186"/>
    </row>
    <row r="335" spans="1:12" ht="14.25">
      <c r="A335" s="186"/>
      <c r="B335" s="186"/>
      <c r="C335" s="186"/>
      <c r="D335" s="186"/>
      <c r="E335" s="186"/>
      <c r="F335" s="186"/>
      <c r="G335" s="186"/>
      <c r="H335" s="186"/>
      <c r="I335" s="186"/>
      <c r="J335" s="186"/>
      <c r="K335" s="186"/>
      <c r="L335" s="186"/>
    </row>
    <row r="336" spans="1:12" ht="14.25">
      <c r="A336" s="186"/>
      <c r="B336" s="186"/>
      <c r="C336" s="186"/>
      <c r="D336" s="186"/>
      <c r="E336" s="186"/>
      <c r="F336" s="186"/>
      <c r="G336" s="186"/>
      <c r="H336" s="186"/>
      <c r="I336" s="186"/>
      <c r="J336" s="186"/>
      <c r="K336" s="186"/>
      <c r="L336" s="186"/>
    </row>
    <row r="337" spans="1:12" ht="14.25">
      <c r="A337" s="186"/>
      <c r="B337" s="186"/>
      <c r="C337" s="186"/>
      <c r="D337" s="186"/>
      <c r="E337" s="186"/>
      <c r="F337" s="186"/>
      <c r="G337" s="186"/>
      <c r="H337" s="186"/>
      <c r="I337" s="186"/>
      <c r="J337" s="186"/>
      <c r="K337" s="186"/>
      <c r="L337" s="186"/>
    </row>
    <row r="338" spans="1:12" ht="14.25">
      <c r="A338" s="186"/>
      <c r="B338" s="186"/>
      <c r="C338" s="186"/>
      <c r="D338" s="186"/>
      <c r="E338" s="186"/>
      <c r="F338" s="186"/>
      <c r="G338" s="186"/>
      <c r="H338" s="186"/>
      <c r="I338" s="186"/>
      <c r="J338" s="186"/>
      <c r="K338" s="186"/>
      <c r="L338" s="186"/>
    </row>
    <row r="339" spans="1:12" ht="14.25">
      <c r="A339" s="186"/>
      <c r="B339" s="186"/>
      <c r="C339" s="186"/>
      <c r="D339" s="186"/>
      <c r="E339" s="186"/>
      <c r="F339" s="186"/>
      <c r="G339" s="186"/>
      <c r="H339" s="186"/>
      <c r="I339" s="186"/>
      <c r="J339" s="186"/>
      <c r="K339" s="186"/>
      <c r="L339" s="186"/>
    </row>
    <row r="340" spans="1:12" ht="14.25">
      <c r="A340" s="186"/>
      <c r="B340" s="186"/>
      <c r="C340" s="186"/>
      <c r="D340" s="186"/>
      <c r="E340" s="186"/>
      <c r="F340" s="186"/>
      <c r="G340" s="186"/>
      <c r="H340" s="186"/>
      <c r="I340" s="186"/>
      <c r="J340" s="186"/>
      <c r="K340" s="186"/>
      <c r="L340" s="186"/>
    </row>
    <row r="341" spans="1:12" ht="14.25">
      <c r="A341" s="186"/>
      <c r="B341" s="186"/>
      <c r="C341" s="186"/>
      <c r="D341" s="186"/>
      <c r="E341" s="186"/>
      <c r="F341" s="186"/>
      <c r="G341" s="186"/>
      <c r="H341" s="186"/>
      <c r="I341" s="186"/>
      <c r="J341" s="186"/>
      <c r="K341" s="186"/>
      <c r="L341" s="186"/>
    </row>
    <row r="342" spans="1:12" ht="14.25">
      <c r="A342" s="186"/>
      <c r="B342" s="186"/>
      <c r="C342" s="186"/>
      <c r="D342" s="186"/>
      <c r="E342" s="186"/>
      <c r="F342" s="186"/>
      <c r="G342" s="186"/>
      <c r="H342" s="186"/>
      <c r="I342" s="186"/>
      <c r="J342" s="186"/>
      <c r="K342" s="186"/>
      <c r="L342" s="186"/>
    </row>
    <row r="343" spans="1:12" ht="14.25">
      <c r="A343" s="186"/>
      <c r="B343" s="186"/>
      <c r="C343" s="186"/>
      <c r="D343" s="186"/>
      <c r="E343" s="186"/>
      <c r="F343" s="186"/>
      <c r="G343" s="186"/>
      <c r="H343" s="186"/>
      <c r="I343" s="186"/>
      <c r="J343" s="186"/>
      <c r="K343" s="186"/>
      <c r="L343" s="186"/>
    </row>
    <row r="344" spans="1:12" ht="14.25">
      <c r="A344" s="186"/>
      <c r="B344" s="186"/>
      <c r="C344" s="186"/>
      <c r="D344" s="186"/>
      <c r="E344" s="186"/>
      <c r="F344" s="186"/>
      <c r="G344" s="186"/>
      <c r="H344" s="186"/>
      <c r="I344" s="186"/>
      <c r="J344" s="186"/>
      <c r="K344" s="186"/>
      <c r="L344" s="186"/>
    </row>
    <row r="345" spans="1:12" ht="14.25">
      <c r="A345" s="186"/>
      <c r="B345" s="186"/>
      <c r="C345" s="186"/>
      <c r="D345" s="186"/>
      <c r="E345" s="186"/>
      <c r="F345" s="186"/>
      <c r="G345" s="186"/>
      <c r="H345" s="186"/>
      <c r="I345" s="186"/>
      <c r="J345" s="186"/>
      <c r="K345" s="186"/>
      <c r="L345" s="186"/>
    </row>
    <row r="346" spans="1:12" ht="14.25">
      <c r="A346" s="186"/>
      <c r="B346" s="186"/>
      <c r="C346" s="186"/>
      <c r="D346" s="186"/>
      <c r="E346" s="186"/>
      <c r="F346" s="186"/>
      <c r="G346" s="186"/>
      <c r="H346" s="186"/>
      <c r="I346" s="186"/>
      <c r="J346" s="186"/>
      <c r="K346" s="186"/>
      <c r="L346" s="186"/>
    </row>
    <row r="347" spans="1:12" ht="14.25">
      <c r="A347" s="186"/>
      <c r="B347" s="186"/>
      <c r="C347" s="186"/>
      <c r="D347" s="186"/>
      <c r="E347" s="186"/>
      <c r="F347" s="186"/>
      <c r="G347" s="186"/>
      <c r="H347" s="186"/>
      <c r="I347" s="186"/>
      <c r="J347" s="186"/>
      <c r="K347" s="186"/>
      <c r="L347" s="186"/>
    </row>
    <row r="348" spans="1:12" ht="14.25">
      <c r="A348" s="186"/>
      <c r="B348" s="186"/>
      <c r="C348" s="186"/>
      <c r="D348" s="186"/>
      <c r="E348" s="186"/>
      <c r="F348" s="186"/>
      <c r="G348" s="186"/>
      <c r="H348" s="186"/>
      <c r="I348" s="186"/>
      <c r="J348" s="186"/>
      <c r="K348" s="186"/>
      <c r="L348" s="186"/>
    </row>
    <row r="349" spans="1:12" ht="14.25">
      <c r="A349" s="186"/>
      <c r="B349" s="186"/>
      <c r="C349" s="186"/>
      <c r="D349" s="186"/>
      <c r="E349" s="186"/>
      <c r="F349" s="186"/>
      <c r="G349" s="186"/>
      <c r="H349" s="186"/>
      <c r="I349" s="186"/>
      <c r="J349" s="186"/>
      <c r="K349" s="186"/>
      <c r="L349" s="186"/>
    </row>
    <row r="350" spans="1:12" ht="14.25">
      <c r="A350" s="186"/>
      <c r="B350" s="186"/>
      <c r="C350" s="186"/>
      <c r="D350" s="186"/>
      <c r="E350" s="186"/>
      <c r="F350" s="186"/>
      <c r="G350" s="186"/>
      <c r="H350" s="186"/>
      <c r="I350" s="186"/>
      <c r="J350" s="186"/>
      <c r="K350" s="186"/>
      <c r="L350" s="186"/>
    </row>
    <row r="351" spans="1:12" ht="14.25">
      <c r="A351" s="186"/>
      <c r="B351" s="186"/>
      <c r="C351" s="186"/>
      <c r="D351" s="186"/>
      <c r="E351" s="186"/>
      <c r="F351" s="186"/>
      <c r="G351" s="186"/>
      <c r="H351" s="186"/>
      <c r="I351" s="186"/>
      <c r="J351" s="186"/>
      <c r="K351" s="186"/>
      <c r="L351" s="186"/>
    </row>
    <row r="352" spans="1:12" ht="14.25">
      <c r="A352" s="186"/>
      <c r="B352" s="186"/>
      <c r="C352" s="186"/>
      <c r="D352" s="186"/>
      <c r="E352" s="186"/>
      <c r="F352" s="186"/>
      <c r="G352" s="186"/>
      <c r="H352" s="186"/>
      <c r="I352" s="186"/>
      <c r="J352" s="186"/>
      <c r="K352" s="186"/>
      <c r="L352" s="186"/>
    </row>
    <row r="353" spans="1:12" ht="14.25">
      <c r="A353" s="186"/>
      <c r="B353" s="186"/>
      <c r="C353" s="186"/>
      <c r="D353" s="186"/>
      <c r="E353" s="186"/>
      <c r="F353" s="186"/>
      <c r="G353" s="186"/>
      <c r="H353" s="186"/>
      <c r="I353" s="186"/>
      <c r="J353" s="186"/>
      <c r="K353" s="186"/>
      <c r="L353" s="186"/>
    </row>
    <row r="354" spans="1:12" ht="14.25">
      <c r="A354" s="186"/>
      <c r="B354" s="186"/>
      <c r="C354" s="186"/>
      <c r="D354" s="186"/>
      <c r="E354" s="186"/>
      <c r="F354" s="186"/>
      <c r="G354" s="186"/>
      <c r="H354" s="186"/>
      <c r="I354" s="186"/>
      <c r="J354" s="186"/>
      <c r="K354" s="186"/>
      <c r="L354" s="186"/>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187" t="s">
        <v>728</v>
      </c>
    </row>
    <row r="3" ht="31.5">
      <c r="A3" s="188" t="s">
        <v>729</v>
      </c>
    </row>
    <row r="4" ht="15.75">
      <c r="A4" s="189" t="s">
        <v>730</v>
      </c>
    </row>
    <row r="7" ht="31.5">
      <c r="A7" s="188" t="s">
        <v>731</v>
      </c>
    </row>
    <row r="8" ht="15.75">
      <c r="A8" s="189" t="s">
        <v>732</v>
      </c>
    </row>
    <row r="11" ht="15.75">
      <c r="A11" s="1" t="s">
        <v>733</v>
      </c>
    </row>
    <row r="12" ht="15.75">
      <c r="A12" s="189" t="s">
        <v>734</v>
      </c>
    </row>
    <row r="15" ht="15.75">
      <c r="A15" s="1" t="s">
        <v>735</v>
      </c>
    </row>
    <row r="16" ht="15.75">
      <c r="A16" s="189" t="s">
        <v>736</v>
      </c>
    </row>
    <row r="19" ht="15.75">
      <c r="A19" s="1" t="s">
        <v>737</v>
      </c>
    </row>
    <row r="20" ht="15.75">
      <c r="A20" s="189" t="s">
        <v>738</v>
      </c>
    </row>
    <row r="23" ht="15.75">
      <c r="A23" s="1" t="s">
        <v>739</v>
      </c>
    </row>
    <row r="24" ht="15.75">
      <c r="A24" s="189" t="s">
        <v>740</v>
      </c>
    </row>
    <row r="27" ht="15.75">
      <c r="A27" s="1" t="s">
        <v>741</v>
      </c>
    </row>
    <row r="28" ht="15.75">
      <c r="A28" s="189" t="s">
        <v>742</v>
      </c>
    </row>
    <row r="31" ht="15.75">
      <c r="A31" s="1" t="s">
        <v>743</v>
      </c>
    </row>
    <row r="32" ht="15.75">
      <c r="A32" s="189" t="s">
        <v>744</v>
      </c>
    </row>
    <row r="35" ht="15.75">
      <c r="A35" s="1" t="s">
        <v>745</v>
      </c>
    </row>
    <row r="36" ht="15.75">
      <c r="A36" s="189" t="s">
        <v>746</v>
      </c>
    </row>
    <row r="39" ht="15.75">
      <c r="A39" s="1" t="s">
        <v>747</v>
      </c>
    </row>
    <row r="40" ht="15.75">
      <c r="A40" s="189" t="s">
        <v>748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48"/>
  <sheetViews>
    <sheetView zoomScalePageLayoutView="0" workbookViewId="0" topLeftCell="A19">
      <selection activeCell="C11" sqref="C11"/>
    </sheetView>
  </sheetViews>
  <sheetFormatPr defaultColWidth="8.796875" defaultRowHeight="15"/>
  <cols>
    <col min="1" max="1" width="80.09765625" style="6" customWidth="1"/>
    <col min="2" max="16384" width="8.8984375" style="6" customWidth="1"/>
  </cols>
  <sheetData>
    <row r="1" ht="15.75">
      <c r="A1" s="208" t="s">
        <v>835</v>
      </c>
    </row>
    <row r="2" ht="15.75">
      <c r="A2" s="205" t="s">
        <v>836</v>
      </c>
    </row>
    <row r="4" ht="15.75">
      <c r="A4" s="208" t="s">
        <v>807</v>
      </c>
    </row>
    <row r="5" ht="15.75">
      <c r="A5" s="6" t="s">
        <v>808</v>
      </c>
    </row>
    <row r="7" ht="15.75">
      <c r="A7" s="208" t="s">
        <v>783</v>
      </c>
    </row>
    <row r="8" ht="15.75">
      <c r="A8" s="205" t="s">
        <v>774</v>
      </c>
    </row>
    <row r="9" ht="15.75">
      <c r="A9" s="205" t="s">
        <v>775</v>
      </c>
    </row>
    <row r="10" ht="31.5">
      <c r="A10" s="190" t="s">
        <v>776</v>
      </c>
    </row>
    <row r="11" ht="15.75">
      <c r="A11" s="205" t="s">
        <v>809</v>
      </c>
    </row>
    <row r="12" ht="15.75">
      <c r="A12" s="205" t="s">
        <v>810</v>
      </c>
    </row>
    <row r="13" ht="15.75">
      <c r="A13" s="205" t="s">
        <v>811</v>
      </c>
    </row>
    <row r="14" ht="15.75">
      <c r="A14" s="205" t="s">
        <v>812</v>
      </c>
    </row>
    <row r="15" ht="15.75">
      <c r="A15" s="205" t="s">
        <v>813</v>
      </c>
    </row>
    <row r="16" ht="15.75">
      <c r="A16" s="205" t="s">
        <v>814</v>
      </c>
    </row>
    <row r="17" ht="15.75">
      <c r="A17" s="205" t="s">
        <v>815</v>
      </c>
    </row>
    <row r="18" ht="15.75">
      <c r="A18" s="205" t="s">
        <v>816</v>
      </c>
    </row>
    <row r="19" ht="15.75">
      <c r="A19" s="205" t="s">
        <v>817</v>
      </c>
    </row>
    <row r="20" ht="15.75">
      <c r="A20" s="205" t="s">
        <v>818</v>
      </c>
    </row>
    <row r="21" ht="15.75">
      <c r="A21" s="205" t="s">
        <v>819</v>
      </c>
    </row>
    <row r="22" ht="15.75">
      <c r="A22" s="205" t="s">
        <v>820</v>
      </c>
    </row>
    <row r="23" ht="15.75">
      <c r="A23" s="205" t="s">
        <v>821</v>
      </c>
    </row>
    <row r="24" ht="15.75">
      <c r="A24" s="205" t="s">
        <v>822</v>
      </c>
    </row>
    <row r="25" ht="15.75">
      <c r="A25" s="205" t="s">
        <v>823</v>
      </c>
    </row>
    <row r="26" ht="15.75">
      <c r="A26" s="205" t="s">
        <v>824</v>
      </c>
    </row>
    <row r="27" ht="15.75">
      <c r="A27" s="205" t="s">
        <v>825</v>
      </c>
    </row>
    <row r="28" ht="15.75">
      <c r="A28" s="205" t="s">
        <v>826</v>
      </c>
    </row>
    <row r="29" ht="15.75">
      <c r="A29" s="205" t="s">
        <v>827</v>
      </c>
    </row>
    <row r="30" ht="15.75">
      <c r="A30" s="205" t="s">
        <v>828</v>
      </c>
    </row>
    <row r="31" ht="15.75">
      <c r="A31" s="205" t="s">
        <v>829</v>
      </c>
    </row>
    <row r="32" ht="15.75">
      <c r="A32" s="205" t="s">
        <v>830</v>
      </c>
    </row>
    <row r="33" ht="15.75">
      <c r="A33" s="205" t="s">
        <v>831</v>
      </c>
    </row>
    <row r="34" ht="15.75">
      <c r="A34" s="205" t="s">
        <v>832</v>
      </c>
    </row>
    <row r="35" ht="15.75">
      <c r="A35" s="205" t="s">
        <v>833</v>
      </c>
    </row>
    <row r="36" ht="15.75">
      <c r="A36" s="205" t="s">
        <v>834</v>
      </c>
    </row>
    <row r="38" ht="15.75">
      <c r="A38" s="130" t="s">
        <v>658</v>
      </c>
    </row>
    <row r="39" ht="15.75">
      <c r="A39" s="6" t="s">
        <v>659</v>
      </c>
    </row>
    <row r="40" ht="15.75">
      <c r="A40" s="6" t="s">
        <v>660</v>
      </c>
    </row>
    <row r="41" ht="15.75">
      <c r="A41" s="6" t="s">
        <v>661</v>
      </c>
    </row>
    <row r="43" ht="15.75">
      <c r="A43" s="130" t="s">
        <v>648</v>
      </c>
    </row>
    <row r="44" ht="15.75">
      <c r="A44" s="6" t="s">
        <v>657</v>
      </c>
    </row>
    <row r="46" ht="15.75">
      <c r="A46" s="130" t="s">
        <v>416</v>
      </c>
    </row>
    <row r="47" ht="15.75">
      <c r="A47" s="129" t="s">
        <v>417</v>
      </c>
    </row>
    <row r="48" ht="15.75">
      <c r="A48" s="129" t="s">
        <v>418</v>
      </c>
    </row>
    <row r="49" ht="15.75">
      <c r="A49" s="129" t="s">
        <v>419</v>
      </c>
    </row>
    <row r="50" ht="15.75">
      <c r="A50" s="6" t="s">
        <v>646</v>
      </c>
    </row>
    <row r="52" ht="15.75">
      <c r="A52" s="103" t="s">
        <v>347</v>
      </c>
    </row>
    <row r="53" ht="15.75">
      <c r="A53" s="107" t="s">
        <v>396</v>
      </c>
    </row>
    <row r="54" ht="15.75">
      <c r="A54" s="6" t="s">
        <v>397</v>
      </c>
    </row>
    <row r="55" ht="15.75">
      <c r="A55" s="6" t="s">
        <v>398</v>
      </c>
    </row>
    <row r="56" ht="21.75" customHeight="1">
      <c r="A56" s="9" t="s">
        <v>399</v>
      </c>
    </row>
    <row r="57" ht="15.75">
      <c r="A57" s="6" t="s">
        <v>400</v>
      </c>
    </row>
    <row r="58" ht="15.75">
      <c r="A58" s="6" t="s">
        <v>401</v>
      </c>
    </row>
    <row r="59" ht="15.75">
      <c r="A59" s="6" t="s">
        <v>402</v>
      </c>
    </row>
    <row r="60" ht="15.75">
      <c r="A60" s="6" t="s">
        <v>403</v>
      </c>
    </row>
    <row r="61" ht="15.75">
      <c r="A61" s="6" t="s">
        <v>404</v>
      </c>
    </row>
    <row r="62" ht="15.75">
      <c r="A62" s="6" t="s">
        <v>405</v>
      </c>
    </row>
    <row r="63" ht="15.75">
      <c r="A63" s="6" t="s">
        <v>406</v>
      </c>
    </row>
    <row r="65" ht="15.75">
      <c r="A65" s="103" t="s">
        <v>342</v>
      </c>
    </row>
    <row r="66" ht="15.75">
      <c r="A66" s="6" t="s">
        <v>343</v>
      </c>
    </row>
    <row r="68" ht="15.75">
      <c r="A68" s="103" t="s">
        <v>340</v>
      </c>
    </row>
    <row r="69" ht="15.75">
      <c r="A69" s="6" t="s">
        <v>341</v>
      </c>
    </row>
    <row r="71" ht="15.75">
      <c r="A71" s="103" t="s">
        <v>337</v>
      </c>
    </row>
    <row r="72" ht="15.75">
      <c r="A72" s="6" t="s">
        <v>338</v>
      </c>
    </row>
    <row r="73" ht="15.75">
      <c r="A73" s="6" t="s">
        <v>339</v>
      </c>
    </row>
    <row r="75" ht="15.75">
      <c r="A75" s="103" t="s">
        <v>64</v>
      </c>
    </row>
    <row r="76" ht="15.75">
      <c r="A76" s="6" t="s">
        <v>49</v>
      </c>
    </row>
    <row r="77" ht="15.75">
      <c r="A77" s="6" t="s">
        <v>50</v>
      </c>
    </row>
    <row r="78" ht="15.75">
      <c r="A78" s="6" t="s">
        <v>51</v>
      </c>
    </row>
    <row r="79" ht="15.75">
      <c r="A79" s="6" t="s">
        <v>58</v>
      </c>
    </row>
    <row r="80" ht="15.75">
      <c r="A80" s="6" t="s">
        <v>52</v>
      </c>
    </row>
    <row r="81" ht="15.75">
      <c r="A81" s="6" t="s">
        <v>53</v>
      </c>
    </row>
    <row r="82" ht="31.5">
      <c r="A82" s="9" t="s">
        <v>59</v>
      </c>
    </row>
    <row r="83" ht="31.5">
      <c r="A83" s="9" t="s">
        <v>54</v>
      </c>
    </row>
    <row r="84" ht="15.75">
      <c r="A84" s="9" t="s">
        <v>55</v>
      </c>
    </row>
    <row r="85" ht="15.75">
      <c r="A85" s="9" t="s">
        <v>56</v>
      </c>
    </row>
    <row r="86" ht="31.5">
      <c r="A86" s="9" t="s">
        <v>330</v>
      </c>
    </row>
    <row r="87" ht="15.75">
      <c r="A87" s="6" t="s">
        <v>331</v>
      </c>
    </row>
    <row r="88" ht="31.5">
      <c r="A88" s="9" t="s">
        <v>57</v>
      </c>
    </row>
    <row r="89" ht="15.75">
      <c r="A89" s="6" t="s">
        <v>61</v>
      </c>
    </row>
    <row r="90" ht="15.75">
      <c r="A90" s="6" t="s">
        <v>62</v>
      </c>
    </row>
    <row r="91" ht="15.75">
      <c r="A91" s="6" t="s">
        <v>63</v>
      </c>
    </row>
    <row r="92" ht="31.5">
      <c r="A92" s="9" t="s">
        <v>329</v>
      </c>
    </row>
    <row r="93" ht="15.75">
      <c r="A93" s="6" t="s">
        <v>328</v>
      </c>
    </row>
    <row r="94" ht="31.5">
      <c r="A94" s="9" t="s">
        <v>327</v>
      </c>
    </row>
    <row r="95" ht="15.75">
      <c r="A95" s="6" t="s">
        <v>332</v>
      </c>
    </row>
    <row r="97" ht="15.75">
      <c r="A97" s="103" t="s">
        <v>68</v>
      </c>
    </row>
    <row r="98" ht="15.75">
      <c r="A98" s="6" t="s">
        <v>69</v>
      </c>
    </row>
    <row r="99" ht="15.75">
      <c r="A99" s="6" t="s">
        <v>70</v>
      </c>
    </row>
    <row r="100" ht="15.75">
      <c r="A100" s="6" t="s">
        <v>71</v>
      </c>
    </row>
    <row r="101" ht="15.75">
      <c r="A101" s="6" t="s">
        <v>60</v>
      </c>
    </row>
    <row r="104" ht="15.75">
      <c r="A104" s="103" t="s">
        <v>45</v>
      </c>
    </row>
    <row r="105" ht="15.75">
      <c r="A105" s="6" t="s">
        <v>46</v>
      </c>
    </row>
    <row r="107" ht="15.75">
      <c r="A107" s="103" t="s">
        <v>38</v>
      </c>
    </row>
    <row r="108" ht="15.75">
      <c r="A108" s="6" t="s">
        <v>39</v>
      </c>
    </row>
    <row r="109" ht="15.75">
      <c r="A109" s="6" t="s">
        <v>40</v>
      </c>
    </row>
    <row r="110" ht="31.5">
      <c r="A110" s="9" t="s">
        <v>41</v>
      </c>
    </row>
    <row r="111" ht="15.75">
      <c r="A111" s="6" t="s">
        <v>42</v>
      </c>
    </row>
    <row r="112" ht="15.75">
      <c r="A112" s="6" t="s">
        <v>43</v>
      </c>
    </row>
    <row r="113" ht="15.75">
      <c r="A113" s="6" t="s">
        <v>44</v>
      </c>
    </row>
    <row r="115" ht="18" customHeight="1">
      <c r="A115" s="103" t="s">
        <v>298</v>
      </c>
    </row>
    <row r="116" ht="48.75" customHeight="1">
      <c r="A116" s="9" t="s">
        <v>333</v>
      </c>
    </row>
    <row r="117" ht="15.75">
      <c r="A117" s="6" t="s">
        <v>299</v>
      </c>
    </row>
    <row r="118" ht="15.75">
      <c r="A118" s="6" t="s">
        <v>300</v>
      </c>
    </row>
    <row r="119" ht="15.75">
      <c r="A119" s="6" t="s">
        <v>334</v>
      </c>
    </row>
    <row r="120" ht="15.75">
      <c r="A120" s="6" t="s">
        <v>301</v>
      </c>
    </row>
    <row r="121" ht="15.75">
      <c r="A121" s="6" t="s">
        <v>302</v>
      </c>
    </row>
    <row r="122" ht="15.75">
      <c r="A122" s="6" t="s">
        <v>6</v>
      </c>
    </row>
    <row r="123" ht="15.75">
      <c r="A123" s="6" t="s">
        <v>303</v>
      </c>
    </row>
    <row r="124" ht="15.75">
      <c r="A124" s="6" t="s">
        <v>304</v>
      </c>
    </row>
    <row r="125" ht="31.5">
      <c r="A125" s="9" t="s">
        <v>305</v>
      </c>
    </row>
    <row r="126" ht="31.5">
      <c r="A126" s="9" t="s">
        <v>17</v>
      </c>
    </row>
    <row r="127" ht="15.75">
      <c r="A127" s="6" t="s">
        <v>306</v>
      </c>
    </row>
    <row r="128" ht="15.75">
      <c r="A128" s="6" t="s">
        <v>307</v>
      </c>
    </row>
    <row r="129" ht="15.75">
      <c r="A129" s="6" t="s">
        <v>335</v>
      </c>
    </row>
    <row r="130" ht="15.75">
      <c r="A130" s="6" t="s">
        <v>308</v>
      </c>
    </row>
    <row r="131" ht="15.75">
      <c r="A131" s="6" t="s">
        <v>0</v>
      </c>
    </row>
    <row r="132" ht="31.5">
      <c r="A132" s="9" t="s">
        <v>1</v>
      </c>
    </row>
    <row r="133" ht="15.75">
      <c r="A133" s="6" t="s">
        <v>318</v>
      </c>
    </row>
    <row r="134" ht="15.75">
      <c r="A134" s="6" t="s">
        <v>319</v>
      </c>
    </row>
    <row r="135" ht="31.5">
      <c r="A135" s="9" t="s">
        <v>320</v>
      </c>
    </row>
    <row r="136" ht="15.75">
      <c r="A136" s="6" t="s">
        <v>25</v>
      </c>
    </row>
    <row r="137" ht="15.75">
      <c r="A137" s="6" t="s">
        <v>26</v>
      </c>
    </row>
    <row r="138" ht="15.75">
      <c r="A138" s="6" t="s">
        <v>27</v>
      </c>
    </row>
    <row r="139" ht="15.75">
      <c r="A139" s="6" t="s">
        <v>28</v>
      </c>
    </row>
    <row r="140" ht="15.75">
      <c r="A140" s="6" t="s">
        <v>29</v>
      </c>
    </row>
    <row r="141" ht="15.75">
      <c r="A141" s="6" t="s">
        <v>30</v>
      </c>
    </row>
    <row r="142" ht="15.75">
      <c r="A142" s="6" t="s">
        <v>31</v>
      </c>
    </row>
    <row r="143" ht="15.75">
      <c r="A143" s="6" t="s">
        <v>32</v>
      </c>
    </row>
    <row r="144" ht="15.75">
      <c r="A144" s="6" t="s">
        <v>33</v>
      </c>
    </row>
    <row r="145" ht="15.75">
      <c r="A145" s="6" t="s">
        <v>35</v>
      </c>
    </row>
    <row r="146" ht="15.75">
      <c r="A146" s="6" t="s">
        <v>36</v>
      </c>
    </row>
    <row r="147" ht="15.75">
      <c r="A147" s="6" t="s">
        <v>37</v>
      </c>
    </row>
    <row r="148" ht="15.75">
      <c r="A148" s="6" t="s">
        <v>34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23"/>
  <sheetViews>
    <sheetView zoomScale="90" zoomScaleNormal="90" zoomScalePageLayoutView="0" workbookViewId="0" topLeftCell="A1">
      <selection activeCell="B20" sqref="B20"/>
    </sheetView>
  </sheetViews>
  <sheetFormatPr defaultColWidth="8.796875" defaultRowHeight="15"/>
  <cols>
    <col min="1" max="1" width="17.796875" style="480" customWidth="1"/>
    <col min="2" max="2" width="21.3984375" style="480" customWidth="1"/>
    <col min="3" max="6" width="12.796875" style="480" customWidth="1"/>
    <col min="7" max="16384" width="8.8984375" style="480" customWidth="1"/>
  </cols>
  <sheetData>
    <row r="1" spans="1:6" ht="14.25">
      <c r="A1" s="665" t="str">
        <f>inputPrYr!D2</f>
        <v>Kansas City</v>
      </c>
      <c r="B1" s="665"/>
      <c r="C1" s="664"/>
      <c r="D1" s="664"/>
      <c r="E1" s="664"/>
      <c r="F1" s="664">
        <f>inputPrYr!$C$5</f>
        <v>2012</v>
      </c>
    </row>
    <row r="2" spans="1:6" ht="14.25">
      <c r="A2" s="870"/>
      <c r="B2" s="870"/>
      <c r="C2" s="870"/>
      <c r="D2" s="870"/>
      <c r="E2" s="870"/>
      <c r="F2" s="870"/>
    </row>
    <row r="3" spans="1:6" ht="15">
      <c r="A3" s="871" t="s">
        <v>228</v>
      </c>
      <c r="B3" s="871"/>
      <c r="C3" s="871"/>
      <c r="D3" s="871"/>
      <c r="E3" s="871"/>
      <c r="F3" s="871"/>
    </row>
    <row r="4" spans="1:6" ht="15">
      <c r="A4" s="872"/>
      <c r="B4" s="872"/>
      <c r="C4" s="872"/>
      <c r="D4" s="872"/>
      <c r="E4" s="872"/>
      <c r="F4" s="872"/>
    </row>
    <row r="5" spans="1:6" ht="15">
      <c r="A5" s="873" t="s">
        <v>653</v>
      </c>
      <c r="B5" s="873" t="s">
        <v>654</v>
      </c>
      <c r="C5" s="873" t="s">
        <v>124</v>
      </c>
      <c r="D5" s="873" t="s">
        <v>243</v>
      </c>
      <c r="E5" s="873" t="s">
        <v>244</v>
      </c>
      <c r="F5" s="873" t="s">
        <v>280</v>
      </c>
    </row>
    <row r="6" spans="1:6" ht="15">
      <c r="A6" s="874" t="s">
        <v>655</v>
      </c>
      <c r="B6" s="874" t="s">
        <v>656</v>
      </c>
      <c r="C6" s="874" t="s">
        <v>281</v>
      </c>
      <c r="D6" s="874" t="s">
        <v>281</v>
      </c>
      <c r="E6" s="874" t="s">
        <v>281</v>
      </c>
      <c r="F6" s="874" t="s">
        <v>282</v>
      </c>
    </row>
    <row r="7" spans="1:6" ht="15" customHeight="1">
      <c r="A7" s="875" t="s">
        <v>283</v>
      </c>
      <c r="B7" s="875" t="s">
        <v>284</v>
      </c>
      <c r="C7" s="876">
        <f>F1-2</f>
        <v>2010</v>
      </c>
      <c r="D7" s="876">
        <f>F1-1</f>
        <v>2011</v>
      </c>
      <c r="E7" s="876">
        <f>F1</f>
        <v>2012</v>
      </c>
      <c r="F7" s="875" t="s">
        <v>285</v>
      </c>
    </row>
    <row r="8" spans="1:6" ht="14.25" customHeight="1">
      <c r="A8" s="505" t="s">
        <v>847</v>
      </c>
      <c r="B8" s="505" t="s">
        <v>1048</v>
      </c>
      <c r="C8" s="877">
        <v>291000</v>
      </c>
      <c r="D8" s="877">
        <v>291000</v>
      </c>
      <c r="E8" s="877">
        <v>291000</v>
      </c>
      <c r="F8" s="696" t="s">
        <v>1154</v>
      </c>
    </row>
    <row r="9" spans="1:6" ht="15" customHeight="1">
      <c r="A9" s="505" t="s">
        <v>1049</v>
      </c>
      <c r="B9" s="505" t="s">
        <v>1048</v>
      </c>
      <c r="C9" s="878">
        <v>1561983</v>
      </c>
      <c r="D9" s="878">
        <v>2605862</v>
      </c>
      <c r="E9" s="878">
        <v>2569631</v>
      </c>
      <c r="F9" s="696" t="s">
        <v>1155</v>
      </c>
    </row>
    <row r="10" spans="1:6" ht="15" customHeight="1">
      <c r="A10" s="505" t="s">
        <v>1050</v>
      </c>
      <c r="B10" s="505" t="s">
        <v>1048</v>
      </c>
      <c r="C10" s="878">
        <v>289118</v>
      </c>
      <c r="D10" s="878">
        <v>287618</v>
      </c>
      <c r="E10" s="878">
        <v>290793</v>
      </c>
      <c r="F10" s="696" t="s">
        <v>1156</v>
      </c>
    </row>
    <row r="11" spans="1:6" ht="15" customHeight="1">
      <c r="A11" s="505" t="s">
        <v>843</v>
      </c>
      <c r="B11" s="505" t="s">
        <v>1048</v>
      </c>
      <c r="C11" s="878">
        <v>155413</v>
      </c>
      <c r="D11" s="878">
        <v>197713</v>
      </c>
      <c r="E11" s="878">
        <v>232613</v>
      </c>
      <c r="F11" s="696" t="s">
        <v>1157</v>
      </c>
    </row>
    <row r="12" spans="1:6" ht="15" customHeight="1">
      <c r="A12" s="505" t="s">
        <v>850</v>
      </c>
      <c r="B12" s="505" t="s">
        <v>1048</v>
      </c>
      <c r="C12" s="878">
        <v>0</v>
      </c>
      <c r="D12" s="878">
        <v>90205</v>
      </c>
      <c r="E12" s="878">
        <v>180547</v>
      </c>
      <c r="F12" s="697" t="s">
        <v>1158</v>
      </c>
    </row>
    <row r="13" spans="1:6" ht="15" customHeight="1">
      <c r="A13" s="505" t="s">
        <v>1051</v>
      </c>
      <c r="B13" s="505" t="s">
        <v>1048</v>
      </c>
      <c r="C13" s="878">
        <v>13650</v>
      </c>
      <c r="D13" s="878">
        <v>13325</v>
      </c>
      <c r="E13" s="878">
        <v>13000</v>
      </c>
      <c r="F13" s="697" t="s">
        <v>1159</v>
      </c>
    </row>
    <row r="14" spans="1:6" ht="15" customHeight="1">
      <c r="A14" s="505" t="s">
        <v>1052</v>
      </c>
      <c r="B14" s="505" t="s">
        <v>1053</v>
      </c>
      <c r="C14" s="878">
        <v>2606000</v>
      </c>
      <c r="D14" s="878">
        <v>2606000</v>
      </c>
      <c r="E14" s="878">
        <v>2256000</v>
      </c>
      <c r="F14" s="697" t="s">
        <v>1160</v>
      </c>
    </row>
    <row r="15" spans="1:6" ht="15" customHeight="1">
      <c r="A15" s="505" t="s">
        <v>1054</v>
      </c>
      <c r="B15" s="505" t="s">
        <v>1048</v>
      </c>
      <c r="C15" s="878">
        <f>1162124+750000</f>
        <v>1912124</v>
      </c>
      <c r="D15" s="878">
        <v>750000</v>
      </c>
      <c r="E15" s="878">
        <v>250000</v>
      </c>
      <c r="F15" s="697" t="s">
        <v>1161</v>
      </c>
    </row>
    <row r="16" spans="1:6" ht="15" customHeight="1">
      <c r="A16" s="505" t="s">
        <v>1055</v>
      </c>
      <c r="B16" s="505" t="s">
        <v>1052</v>
      </c>
      <c r="C16" s="878">
        <v>475000</v>
      </c>
      <c r="D16" s="878">
        <v>950000</v>
      </c>
      <c r="E16" s="878">
        <v>500000</v>
      </c>
      <c r="F16" s="697" t="s">
        <v>1162</v>
      </c>
    </row>
    <row r="17" spans="1:6" ht="15" customHeight="1">
      <c r="A17" s="505"/>
      <c r="B17" s="505"/>
      <c r="C17" s="878"/>
      <c r="D17" s="878"/>
      <c r="E17" s="878"/>
      <c r="F17" s="697"/>
    </row>
    <row r="18" spans="1:6" ht="15" customHeight="1">
      <c r="A18" s="879"/>
      <c r="B18" s="544" t="s">
        <v>94</v>
      </c>
      <c r="C18" s="878">
        <f>SUM(C8:C17)</f>
        <v>7304288</v>
      </c>
      <c r="D18" s="878">
        <f>SUM(D8:D17)</f>
        <v>7791723</v>
      </c>
      <c r="E18" s="878">
        <f>SUM(E8:E17)</f>
        <v>6583584</v>
      </c>
      <c r="F18" s="880"/>
    </row>
    <row r="19" spans="1:6" ht="15" customHeight="1">
      <c r="A19" s="879"/>
      <c r="B19" s="535" t="s">
        <v>286</v>
      </c>
      <c r="C19" s="881">
        <f>C15</f>
        <v>1912124</v>
      </c>
      <c r="D19" s="881">
        <f>D15</f>
        <v>750000</v>
      </c>
      <c r="E19" s="881">
        <f>E15</f>
        <v>250000</v>
      </c>
      <c r="F19" s="880"/>
    </row>
    <row r="20" spans="1:6" ht="15" customHeight="1">
      <c r="A20" s="879"/>
      <c r="B20" s="544" t="s">
        <v>287</v>
      </c>
      <c r="C20" s="878">
        <f>C18-C19</f>
        <v>5392164</v>
      </c>
      <c r="D20" s="878">
        <f>D18-D19</f>
        <v>7041723</v>
      </c>
      <c r="E20" s="878">
        <f>E18-E19</f>
        <v>6333584</v>
      </c>
      <c r="F20" s="880"/>
    </row>
    <row r="21" spans="1:6" ht="15" customHeight="1">
      <c r="A21" s="879"/>
      <c r="B21" s="879"/>
      <c r="C21" s="879"/>
      <c r="D21" s="879"/>
      <c r="E21" s="879"/>
      <c r="F21" s="879"/>
    </row>
    <row r="22" spans="1:6" ht="15" customHeight="1">
      <c r="A22" s="879"/>
      <c r="B22" s="879"/>
      <c r="C22" s="879"/>
      <c r="D22" s="879"/>
      <c r="E22" s="879"/>
      <c r="F22" s="879"/>
    </row>
    <row r="23" spans="1:6" ht="15" customHeight="1">
      <c r="A23" s="882" t="s">
        <v>652</v>
      </c>
      <c r="B23" s="471" t="str">
        <f>CONCATENATE("Adjustments are required only if the transfer is being made in ",D7," and/or ",E7," from a non-budgeted fund.")</f>
        <v>Adjustments are required only if the transfer is being made in 2011 and/or 2012 from a non-budgeted fund.</v>
      </c>
      <c r="C23" s="879"/>
      <c r="D23" s="879"/>
      <c r="E23" s="879"/>
      <c r="F23" s="879"/>
    </row>
    <row r="24" ht="15" customHeight="1"/>
  </sheetData>
  <sheetProtection/>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&amp;CKC -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56"/>
  <sheetViews>
    <sheetView zoomScale="75" zoomScaleNormal="75" zoomScalePageLayoutView="0" workbookViewId="0" topLeftCell="A4">
      <selection activeCell="F49" sqref="F49"/>
    </sheetView>
  </sheetViews>
  <sheetFormatPr defaultColWidth="8.796875" defaultRowHeight="15"/>
  <cols>
    <col min="1" max="1" width="20.796875" style="396" customWidth="1"/>
    <col min="2" max="2" width="9.296875" style="396" customWidth="1"/>
    <col min="3" max="3" width="8.69921875" style="396" customWidth="1"/>
    <col min="4" max="4" width="8.796875" style="396" customWidth="1"/>
    <col min="5" max="5" width="14.3984375" style="396" customWidth="1"/>
    <col min="6" max="6" width="14.296875" style="396" customWidth="1"/>
    <col min="7" max="8" width="9.796875" style="396" customWidth="1"/>
    <col min="9" max="9" width="11.59765625" style="396" bestFit="1" customWidth="1"/>
    <col min="10" max="10" width="12.3984375" style="396" bestFit="1" customWidth="1"/>
    <col min="11" max="11" width="11.59765625" style="396" bestFit="1" customWidth="1"/>
    <col min="12" max="12" width="11.796875" style="396" bestFit="1" customWidth="1"/>
    <col min="13" max="16384" width="8.8984375" style="396" customWidth="1"/>
  </cols>
  <sheetData>
    <row r="1" spans="1:12" ht="14.25">
      <c r="A1" s="447" t="str">
        <f>inputPrYr!$D$2</f>
        <v>Kansas City</v>
      </c>
      <c r="B1" s="448"/>
      <c r="C1" s="448"/>
      <c r="D1" s="448"/>
      <c r="E1" s="448"/>
      <c r="F1" s="448"/>
      <c r="G1" s="448"/>
      <c r="H1" s="448"/>
      <c r="I1" s="448"/>
      <c r="J1" s="448"/>
      <c r="K1" s="448"/>
      <c r="L1" s="506">
        <f>inputPrYr!$C$5</f>
        <v>2012</v>
      </c>
    </row>
    <row r="2" spans="1:12" ht="14.25">
      <c r="A2" s="447"/>
      <c r="B2" s="448"/>
      <c r="C2" s="448"/>
      <c r="D2" s="448"/>
      <c r="E2" s="448"/>
      <c r="F2" s="448"/>
      <c r="G2" s="448"/>
      <c r="H2" s="448"/>
      <c r="I2" s="448"/>
      <c r="J2" s="448"/>
      <c r="K2" s="448"/>
      <c r="L2" s="450"/>
    </row>
    <row r="3" spans="1:12" ht="15">
      <c r="A3" s="507" t="s">
        <v>172</v>
      </c>
      <c r="B3" s="508"/>
      <c r="C3" s="508"/>
      <c r="D3" s="508"/>
      <c r="E3" s="508"/>
      <c r="F3" s="508"/>
      <c r="G3" s="508"/>
      <c r="H3" s="508"/>
      <c r="I3" s="508"/>
      <c r="J3" s="508"/>
      <c r="K3" s="508"/>
      <c r="L3" s="508"/>
    </row>
    <row r="4" spans="1:12" ht="10.5" customHeight="1">
      <c r="A4" s="448"/>
      <c r="B4" s="509"/>
      <c r="C4" s="509"/>
      <c r="D4" s="509"/>
      <c r="E4" s="509"/>
      <c r="F4" s="509"/>
      <c r="G4" s="509"/>
      <c r="H4" s="509"/>
      <c r="I4" s="509"/>
      <c r="J4" s="509"/>
      <c r="K4" s="509"/>
      <c r="L4" s="509"/>
    </row>
    <row r="5" spans="1:12" ht="18" customHeight="1">
      <c r="A5" s="448"/>
      <c r="B5" s="510" t="s">
        <v>139</v>
      </c>
      <c r="C5" s="510" t="s">
        <v>139</v>
      </c>
      <c r="D5" s="510" t="s">
        <v>154</v>
      </c>
      <c r="E5" s="510"/>
      <c r="F5" s="510" t="s">
        <v>275</v>
      </c>
      <c r="G5" s="448"/>
      <c r="H5" s="448"/>
      <c r="I5" s="511" t="s">
        <v>140</v>
      </c>
      <c r="J5" s="512"/>
      <c r="K5" s="511" t="s">
        <v>140</v>
      </c>
      <c r="L5" s="512"/>
    </row>
    <row r="6" spans="1:12" ht="14.25">
      <c r="A6" s="448"/>
      <c r="B6" s="513" t="s">
        <v>141</v>
      </c>
      <c r="C6" s="513" t="s">
        <v>276</v>
      </c>
      <c r="D6" s="513" t="s">
        <v>142</v>
      </c>
      <c r="E6" s="513" t="s">
        <v>99</v>
      </c>
      <c r="F6" s="513" t="s">
        <v>277</v>
      </c>
      <c r="G6" s="710" t="s">
        <v>143</v>
      </c>
      <c r="H6" s="711"/>
      <c r="I6" s="712">
        <f>L1-1</f>
        <v>2011</v>
      </c>
      <c r="J6" s="713"/>
      <c r="K6" s="712">
        <f>L1</f>
        <v>2012</v>
      </c>
      <c r="L6" s="713"/>
    </row>
    <row r="7" spans="1:12" ht="14.25">
      <c r="A7" s="514" t="s">
        <v>144</v>
      </c>
      <c r="B7" s="515" t="s">
        <v>145</v>
      </c>
      <c r="C7" s="515" t="s">
        <v>278</v>
      </c>
      <c r="D7" s="515" t="s">
        <v>119</v>
      </c>
      <c r="E7" s="515" t="s">
        <v>146</v>
      </c>
      <c r="F7" s="516" t="str">
        <f>CONCATENATE("Jan 1,",L1-1,"")</f>
        <v>Jan 1,2011</v>
      </c>
      <c r="G7" s="517" t="s">
        <v>154</v>
      </c>
      <c r="H7" s="517" t="s">
        <v>156</v>
      </c>
      <c r="I7" s="517" t="s">
        <v>154</v>
      </c>
      <c r="J7" s="517" t="s">
        <v>156</v>
      </c>
      <c r="K7" s="517" t="s">
        <v>154</v>
      </c>
      <c r="L7" s="517" t="s">
        <v>156</v>
      </c>
    </row>
    <row r="8" spans="1:12" ht="14.25">
      <c r="A8" s="514" t="s">
        <v>147</v>
      </c>
      <c r="B8" s="518"/>
      <c r="C8" s="518"/>
      <c r="D8" s="519"/>
      <c r="E8" s="455"/>
      <c r="F8" s="455"/>
      <c r="G8" s="518"/>
      <c r="H8" s="518"/>
      <c r="I8" s="455"/>
      <c r="J8" s="455"/>
      <c r="K8" s="455"/>
      <c r="L8" s="455"/>
    </row>
    <row r="9" spans="1:12" ht="14.25">
      <c r="A9" s="520" t="s">
        <v>1056</v>
      </c>
      <c r="B9" s="521">
        <v>37561</v>
      </c>
      <c r="C9" s="521">
        <v>44774</v>
      </c>
      <c r="D9" s="522" t="s">
        <v>1084</v>
      </c>
      <c r="E9" s="523">
        <v>23605000</v>
      </c>
      <c r="F9" s="524">
        <v>14785000</v>
      </c>
      <c r="G9" s="522" t="s">
        <v>1124</v>
      </c>
      <c r="H9" s="522" t="s">
        <v>1125</v>
      </c>
      <c r="I9" s="523">
        <v>580412.5</v>
      </c>
      <c r="J9" s="523">
        <v>1345000</v>
      </c>
      <c r="K9" s="656">
        <v>534975</v>
      </c>
      <c r="L9" s="656">
        <v>1240000</v>
      </c>
    </row>
    <row r="10" spans="1:12" ht="14.25">
      <c r="A10" s="520" t="s">
        <v>1057</v>
      </c>
      <c r="B10" s="521">
        <v>38013</v>
      </c>
      <c r="C10" s="521">
        <v>43313</v>
      </c>
      <c r="D10" s="522" t="s">
        <v>1085</v>
      </c>
      <c r="E10" s="523">
        <v>38095000</v>
      </c>
      <c r="F10" s="524">
        <v>15540000</v>
      </c>
      <c r="G10" s="522" t="s">
        <v>1124</v>
      </c>
      <c r="H10" s="522" t="s">
        <v>1125</v>
      </c>
      <c r="I10" s="523">
        <v>624237.5</v>
      </c>
      <c r="J10" s="523">
        <v>1700000</v>
      </c>
      <c r="K10" s="656">
        <v>573237.5</v>
      </c>
      <c r="L10" s="656">
        <v>1755000</v>
      </c>
    </row>
    <row r="11" spans="1:12" ht="14.25">
      <c r="A11" s="520" t="s">
        <v>1058</v>
      </c>
      <c r="B11" s="521">
        <v>38687</v>
      </c>
      <c r="C11" s="521">
        <v>41883</v>
      </c>
      <c r="D11" s="522" t="s">
        <v>1086</v>
      </c>
      <c r="E11" s="523">
        <v>30620000</v>
      </c>
      <c r="F11" s="524">
        <v>13685000</v>
      </c>
      <c r="G11" s="522" t="s">
        <v>1126</v>
      </c>
      <c r="H11" s="522" t="s">
        <v>1127</v>
      </c>
      <c r="I11" s="523">
        <v>684250</v>
      </c>
      <c r="J11" s="523">
        <v>2870000</v>
      </c>
      <c r="K11" s="656">
        <v>540750</v>
      </c>
      <c r="L11" s="656">
        <v>3665000</v>
      </c>
    </row>
    <row r="12" spans="1:12" ht="14.25">
      <c r="A12" s="520" t="s">
        <v>1059</v>
      </c>
      <c r="B12" s="521">
        <v>38791</v>
      </c>
      <c r="C12" s="521">
        <v>45870</v>
      </c>
      <c r="D12" s="522" t="s">
        <v>1087</v>
      </c>
      <c r="E12" s="523">
        <v>39685000</v>
      </c>
      <c r="F12" s="524">
        <v>31820000</v>
      </c>
      <c r="G12" s="522" t="s">
        <v>1124</v>
      </c>
      <c r="H12" s="522" t="s">
        <v>1125</v>
      </c>
      <c r="I12" s="523">
        <v>1431980</v>
      </c>
      <c r="J12" s="523">
        <v>1570000</v>
      </c>
      <c r="K12" s="656">
        <v>1367555</v>
      </c>
      <c r="L12" s="656">
        <v>1635000</v>
      </c>
    </row>
    <row r="13" spans="1:12" ht="14.25">
      <c r="A13" s="520" t="s">
        <v>1060</v>
      </c>
      <c r="B13" s="521">
        <v>39141</v>
      </c>
      <c r="C13" s="521">
        <v>42948</v>
      </c>
      <c r="D13" s="522" t="s">
        <v>1087</v>
      </c>
      <c r="E13" s="523">
        <v>16805000</v>
      </c>
      <c r="F13" s="524">
        <v>12315000</v>
      </c>
      <c r="G13" s="522" t="s">
        <v>1128</v>
      </c>
      <c r="H13" s="522" t="s">
        <v>1129</v>
      </c>
      <c r="I13" s="523">
        <v>486025</v>
      </c>
      <c r="J13" s="523">
        <v>2320000</v>
      </c>
      <c r="K13" s="656">
        <v>391725</v>
      </c>
      <c r="L13" s="656">
        <v>2395000</v>
      </c>
    </row>
    <row r="14" spans="1:12" ht="14.25">
      <c r="A14" s="520" t="s">
        <v>1061</v>
      </c>
      <c r="B14" s="521">
        <v>39513</v>
      </c>
      <c r="C14" s="521">
        <v>46600</v>
      </c>
      <c r="D14" s="522" t="s">
        <v>1088</v>
      </c>
      <c r="E14" s="523">
        <v>34660000</v>
      </c>
      <c r="F14" s="524">
        <v>33385000</v>
      </c>
      <c r="G14" s="522" t="s">
        <v>1124</v>
      </c>
      <c r="H14" s="522" t="s">
        <v>1125</v>
      </c>
      <c r="I14" s="523">
        <v>1565771.26</v>
      </c>
      <c r="J14" s="523">
        <v>630000</v>
      </c>
      <c r="K14" s="656">
        <v>1541258.76</v>
      </c>
      <c r="L14" s="656">
        <v>650000</v>
      </c>
    </row>
    <row r="15" spans="1:12" ht="14.25">
      <c r="A15" s="520" t="s">
        <v>1062</v>
      </c>
      <c r="B15" s="521">
        <v>39904</v>
      </c>
      <c r="C15" s="521">
        <v>47331</v>
      </c>
      <c r="D15" s="522" t="s">
        <v>1089</v>
      </c>
      <c r="E15" s="523">
        <v>23515000</v>
      </c>
      <c r="F15" s="524">
        <v>23250000</v>
      </c>
      <c r="G15" s="522" t="s">
        <v>1124</v>
      </c>
      <c r="H15" s="522" t="s">
        <v>1125</v>
      </c>
      <c r="I15" s="523">
        <v>939935.02</v>
      </c>
      <c r="J15" s="523">
        <v>840000</v>
      </c>
      <c r="K15" s="656">
        <v>912435.02</v>
      </c>
      <c r="L15" s="656">
        <v>855000</v>
      </c>
    </row>
    <row r="16" spans="1:12" ht="14.25">
      <c r="A16" s="520" t="s">
        <v>1063</v>
      </c>
      <c r="B16" s="521">
        <v>40238</v>
      </c>
      <c r="C16" s="521">
        <v>47696</v>
      </c>
      <c r="D16" s="522" t="s">
        <v>1090</v>
      </c>
      <c r="E16" s="523">
        <v>88840000</v>
      </c>
      <c r="F16" s="524">
        <v>88840000</v>
      </c>
      <c r="G16" s="522" t="s">
        <v>1124</v>
      </c>
      <c r="H16" s="522" t="s">
        <v>1125</v>
      </c>
      <c r="I16" s="523">
        <v>5879756.8</v>
      </c>
      <c r="J16" s="523">
        <v>600000</v>
      </c>
      <c r="K16" s="656">
        <v>4102571.26</v>
      </c>
      <c r="L16" s="656">
        <v>1215000</v>
      </c>
    </row>
    <row r="17" spans="1:12" ht="14.25">
      <c r="A17" s="520" t="s">
        <v>1064</v>
      </c>
      <c r="B17" s="521">
        <v>40358</v>
      </c>
      <c r="C17" s="521">
        <v>41852</v>
      </c>
      <c r="D17" s="522">
        <v>2.37</v>
      </c>
      <c r="E17" s="523">
        <v>8175000</v>
      </c>
      <c r="F17" s="524">
        <v>8175000</v>
      </c>
      <c r="G17" s="522" t="s">
        <v>1124</v>
      </c>
      <c r="H17" s="522" t="s">
        <v>1125</v>
      </c>
      <c r="I17" s="523">
        <v>209158.34000000003</v>
      </c>
      <c r="J17" s="523">
        <v>380000</v>
      </c>
      <c r="K17" s="656">
        <v>182875.01</v>
      </c>
      <c r="L17" s="656">
        <v>385000</v>
      </c>
    </row>
    <row r="18" spans="1:12" ht="14.25">
      <c r="A18" s="520" t="s">
        <v>1137</v>
      </c>
      <c r="B18" s="521">
        <v>40528</v>
      </c>
      <c r="C18" s="521">
        <v>11171</v>
      </c>
      <c r="D18" s="522">
        <v>2.82</v>
      </c>
      <c r="E18" s="523">
        <v>10785000</v>
      </c>
      <c r="F18" s="524">
        <v>10785000</v>
      </c>
      <c r="G18" s="522" t="s">
        <v>1124</v>
      </c>
      <c r="H18" s="522" t="s">
        <v>1125</v>
      </c>
      <c r="I18" s="523">
        <v>294528.13</v>
      </c>
      <c r="J18" s="523">
        <v>325000</v>
      </c>
      <c r="K18" s="656">
        <v>468970</v>
      </c>
      <c r="L18" s="656">
        <v>235000</v>
      </c>
    </row>
    <row r="19" spans="1:12" ht="14.25">
      <c r="A19" s="520" t="s">
        <v>1136</v>
      </c>
      <c r="B19" s="521">
        <v>40528</v>
      </c>
      <c r="C19" s="521">
        <v>46600</v>
      </c>
      <c r="D19" s="522">
        <v>1.98</v>
      </c>
      <c r="E19" s="523">
        <v>2530000</v>
      </c>
      <c r="F19" s="524">
        <v>2530000</v>
      </c>
      <c r="G19" s="522" t="s">
        <v>1124</v>
      </c>
      <c r="H19" s="522" t="s">
        <v>1125</v>
      </c>
      <c r="I19" s="523">
        <v>90921.88</v>
      </c>
      <c r="J19" s="523">
        <v>0</v>
      </c>
      <c r="K19" s="656">
        <v>145475</v>
      </c>
      <c r="L19" s="656">
        <v>0</v>
      </c>
    </row>
    <row r="20" spans="1:12" ht="14.25">
      <c r="A20" s="520" t="s">
        <v>1135</v>
      </c>
      <c r="B20" s="521">
        <v>40540</v>
      </c>
      <c r="C20" s="521">
        <v>11658</v>
      </c>
      <c r="D20" s="522">
        <v>5.75</v>
      </c>
      <c r="E20" s="523">
        <v>7725000</v>
      </c>
      <c r="F20" s="524">
        <v>7725000</v>
      </c>
      <c r="G20" s="522" t="s">
        <v>1133</v>
      </c>
      <c r="H20" s="522" t="s">
        <v>1131</v>
      </c>
      <c r="I20" s="523">
        <v>353049.38</v>
      </c>
      <c r="J20" s="523">
        <v>0</v>
      </c>
      <c r="K20" s="656">
        <v>381675</v>
      </c>
      <c r="L20" s="656">
        <v>260000</v>
      </c>
    </row>
    <row r="21" spans="1:12" ht="14.25">
      <c r="A21" s="520" t="s">
        <v>1145</v>
      </c>
      <c r="B21" s="521">
        <v>40598</v>
      </c>
      <c r="C21" s="521">
        <v>11536</v>
      </c>
      <c r="D21" s="522">
        <v>4.28</v>
      </c>
      <c r="E21" s="523">
        <v>18500000</v>
      </c>
      <c r="F21" s="524">
        <v>0</v>
      </c>
      <c r="G21" s="522" t="s">
        <v>1124</v>
      </c>
      <c r="H21" s="522" t="s">
        <v>1125</v>
      </c>
      <c r="I21" s="523">
        <v>0</v>
      </c>
      <c r="J21" s="523">
        <v>0</v>
      </c>
      <c r="K21" s="656">
        <v>1079740.14</v>
      </c>
      <c r="L21" s="656">
        <v>360000</v>
      </c>
    </row>
    <row r="22" spans="1:12" ht="14.25">
      <c r="A22" s="520" t="s">
        <v>1146</v>
      </c>
      <c r="B22" s="521">
        <v>40598</v>
      </c>
      <c r="C22" s="521">
        <v>46235</v>
      </c>
      <c r="D22" s="522">
        <v>4.69</v>
      </c>
      <c r="E22" s="523">
        <v>2750000</v>
      </c>
      <c r="F22" s="524">
        <v>0</v>
      </c>
      <c r="G22" s="522" t="s">
        <v>1124</v>
      </c>
      <c r="H22" s="522" t="s">
        <v>1125</v>
      </c>
      <c r="I22" s="523">
        <v>0</v>
      </c>
      <c r="J22" s="523">
        <v>0</v>
      </c>
      <c r="K22" s="656">
        <v>155568.54</v>
      </c>
      <c r="L22" s="656">
        <v>45000</v>
      </c>
    </row>
    <row r="23" spans="1:12" ht="15">
      <c r="A23" s="525" t="s">
        <v>148</v>
      </c>
      <c r="B23" s="526"/>
      <c r="C23" s="526"/>
      <c r="D23" s="527"/>
      <c r="E23" s="528"/>
      <c r="F23" s="529">
        <f>SUM(F9:F22)</f>
        <v>262835000</v>
      </c>
      <c r="G23" s="530"/>
      <c r="H23" s="530"/>
      <c r="I23" s="529">
        <f>SUM(I9:I22)</f>
        <v>13140025.81</v>
      </c>
      <c r="J23" s="529">
        <f>SUM(J9:J22)</f>
        <v>12580000</v>
      </c>
      <c r="K23" s="529">
        <f>SUM(K9:K22)</f>
        <v>12378811.229999999</v>
      </c>
      <c r="L23" s="529">
        <f>SUM(L9:L22)</f>
        <v>14695000</v>
      </c>
    </row>
    <row r="24" spans="1:12" ht="15">
      <c r="A24" s="531"/>
      <c r="B24" s="532"/>
      <c r="C24" s="532"/>
      <c r="D24" s="533"/>
      <c r="E24" s="534"/>
      <c r="F24" s="535"/>
      <c r="G24" s="536"/>
      <c r="H24" s="536"/>
      <c r="I24" s="535"/>
      <c r="J24" s="535"/>
      <c r="K24" s="535"/>
      <c r="L24" s="535"/>
    </row>
    <row r="25" spans="1:12" ht="14.25">
      <c r="A25" s="514" t="s">
        <v>149</v>
      </c>
      <c r="B25" s="537"/>
      <c r="C25" s="537"/>
      <c r="D25" s="538"/>
      <c r="E25" s="466"/>
      <c r="F25" s="466"/>
      <c r="G25" s="539"/>
      <c r="H25" s="539"/>
      <c r="I25" s="466"/>
      <c r="J25" s="466"/>
      <c r="K25" s="466"/>
      <c r="L25" s="466"/>
    </row>
    <row r="26" spans="1:12" ht="14.25">
      <c r="A26" s="520" t="s">
        <v>1065</v>
      </c>
      <c r="B26" s="521">
        <v>38412</v>
      </c>
      <c r="C26" s="521">
        <v>45536</v>
      </c>
      <c r="D26" s="522" t="s">
        <v>1147</v>
      </c>
      <c r="E26" s="523">
        <v>29387802</v>
      </c>
      <c r="F26" s="524">
        <v>12574768</v>
      </c>
      <c r="G26" s="522" t="s">
        <v>1126</v>
      </c>
      <c r="H26" s="522" t="s">
        <v>1126</v>
      </c>
      <c r="I26" s="523">
        <v>500264.74</v>
      </c>
      <c r="J26" s="523">
        <v>1391134.2</v>
      </c>
      <c r="K26" s="657">
        <v>455585.35</v>
      </c>
      <c r="L26" s="657">
        <v>1435813.57</v>
      </c>
    </row>
    <row r="27" spans="1:12" ht="15">
      <c r="A27" s="525" t="s">
        <v>150</v>
      </c>
      <c r="B27" s="526"/>
      <c r="C27" s="526"/>
      <c r="D27" s="540"/>
      <c r="E27" s="528"/>
      <c r="F27" s="528">
        <f>SUM(F26:F26)</f>
        <v>12574768</v>
      </c>
      <c r="G27" s="530"/>
      <c r="H27" s="530"/>
      <c r="I27" s="528">
        <f>SUM(I26:I26)</f>
        <v>500264.74</v>
      </c>
      <c r="J27" s="528">
        <f>SUM(J26:J26)</f>
        <v>1391134.2</v>
      </c>
      <c r="K27" s="529">
        <f>SUM(K26:K26)</f>
        <v>455585.35</v>
      </c>
      <c r="L27" s="528">
        <f>SUM(L26:L26)</f>
        <v>1435813.57</v>
      </c>
    </row>
    <row r="28" spans="1:12" ht="15">
      <c r="A28" s="531"/>
      <c r="B28" s="532"/>
      <c r="C28" s="532"/>
      <c r="D28" s="541"/>
      <c r="E28" s="534"/>
      <c r="F28" s="534"/>
      <c r="G28" s="536"/>
      <c r="H28" s="536"/>
      <c r="I28" s="534"/>
      <c r="J28" s="534"/>
      <c r="K28" s="535"/>
      <c r="L28" s="534"/>
    </row>
    <row r="29" spans="1:12" ht="15">
      <c r="A29" s="514" t="s">
        <v>1069</v>
      </c>
      <c r="B29" s="537"/>
      <c r="C29" s="537"/>
      <c r="D29" s="538"/>
      <c r="E29" s="466"/>
      <c r="F29" s="534"/>
      <c r="G29" s="536"/>
      <c r="H29" s="536"/>
      <c r="I29" s="534"/>
      <c r="J29" s="534"/>
      <c r="K29" s="535"/>
      <c r="L29" s="534"/>
    </row>
    <row r="30" spans="1:12" ht="14.25">
      <c r="A30" s="520" t="s">
        <v>1070</v>
      </c>
      <c r="B30" s="521">
        <v>36923</v>
      </c>
      <c r="C30" s="521">
        <v>44166</v>
      </c>
      <c r="D30" s="522" t="s">
        <v>1079</v>
      </c>
      <c r="E30" s="523">
        <v>28665000</v>
      </c>
      <c r="F30" s="523">
        <v>19465000</v>
      </c>
      <c r="G30" s="522" t="s">
        <v>1130</v>
      </c>
      <c r="H30" s="522" t="s">
        <v>1131</v>
      </c>
      <c r="I30" s="523">
        <v>960525</v>
      </c>
      <c r="J30" s="523">
        <v>1610000</v>
      </c>
      <c r="K30" s="523">
        <v>892050</v>
      </c>
      <c r="L30" s="523">
        <v>1640000</v>
      </c>
    </row>
    <row r="31" spans="1:12" ht="14.25">
      <c r="A31" s="520" t="s">
        <v>1071</v>
      </c>
      <c r="B31" s="521">
        <v>38200</v>
      </c>
      <c r="C31" s="521">
        <v>44166</v>
      </c>
      <c r="D31" s="522" t="s">
        <v>1080</v>
      </c>
      <c r="E31" s="523">
        <v>5460000</v>
      </c>
      <c r="F31" s="523">
        <v>4610000</v>
      </c>
      <c r="G31" s="522" t="s">
        <v>1130</v>
      </c>
      <c r="H31" s="522" t="s">
        <v>1131</v>
      </c>
      <c r="I31" s="523">
        <v>247773.5</v>
      </c>
      <c r="J31" s="523">
        <v>310000</v>
      </c>
      <c r="K31" s="523">
        <v>232924.5</v>
      </c>
      <c r="L31" s="523">
        <v>365000</v>
      </c>
    </row>
    <row r="32" spans="1:12" ht="14.25">
      <c r="A32" s="520" t="s">
        <v>1072</v>
      </c>
      <c r="B32" s="521">
        <v>38561</v>
      </c>
      <c r="C32" s="521">
        <v>44166</v>
      </c>
      <c r="D32" s="522" t="s">
        <v>1081</v>
      </c>
      <c r="E32" s="523">
        <v>264855000</v>
      </c>
      <c r="F32" s="523">
        <v>91245000</v>
      </c>
      <c r="G32" s="522" t="s">
        <v>1130</v>
      </c>
      <c r="H32" s="522" t="s">
        <v>1131</v>
      </c>
      <c r="I32" s="523">
        <v>4982250</v>
      </c>
      <c r="J32" s="523">
        <v>0</v>
      </c>
      <c r="K32" s="523">
        <v>4562250</v>
      </c>
      <c r="L32" s="523">
        <v>0</v>
      </c>
    </row>
    <row r="33" spans="1:12" ht="14.25">
      <c r="A33" s="520" t="s">
        <v>1073</v>
      </c>
      <c r="B33" s="521">
        <v>38763</v>
      </c>
      <c r="C33" s="521">
        <v>46357</v>
      </c>
      <c r="D33" s="522">
        <v>5</v>
      </c>
      <c r="E33" s="523">
        <v>2415000</v>
      </c>
      <c r="F33" s="523">
        <v>1775000</v>
      </c>
      <c r="G33" s="522" t="s">
        <v>1130</v>
      </c>
      <c r="H33" s="522" t="s">
        <v>1131</v>
      </c>
      <c r="I33" s="523">
        <v>86125</v>
      </c>
      <c r="J33" s="523">
        <v>60000</v>
      </c>
      <c r="K33" s="523">
        <v>80500</v>
      </c>
      <c r="L33" s="523">
        <v>65000</v>
      </c>
    </row>
    <row r="34" spans="1:12" ht="14.25">
      <c r="A34" s="520" t="s">
        <v>1074</v>
      </c>
      <c r="B34" s="521">
        <v>38899</v>
      </c>
      <c r="C34" s="521">
        <v>47027</v>
      </c>
      <c r="D34" s="522" t="s">
        <v>1082</v>
      </c>
      <c r="E34" s="523">
        <v>17200000</v>
      </c>
      <c r="F34" s="523">
        <v>15915000</v>
      </c>
      <c r="G34" s="522" t="s">
        <v>1131</v>
      </c>
      <c r="H34" s="522" t="s">
        <v>1131</v>
      </c>
      <c r="I34" s="523">
        <v>767331.26</v>
      </c>
      <c r="J34" s="523">
        <v>405000</v>
      </c>
      <c r="K34" s="523">
        <v>748701.26</v>
      </c>
      <c r="L34" s="523">
        <v>445000</v>
      </c>
    </row>
    <row r="35" spans="1:12" ht="14.25">
      <c r="A35" s="520" t="s">
        <v>1075</v>
      </c>
      <c r="B35" s="521">
        <v>39672</v>
      </c>
      <c r="C35" s="521">
        <v>40695</v>
      </c>
      <c r="D35" s="522">
        <v>5.5</v>
      </c>
      <c r="E35" s="523">
        <v>2000000</v>
      </c>
      <c r="F35" s="523">
        <v>1940000</v>
      </c>
      <c r="G35" s="522" t="s">
        <v>1130</v>
      </c>
      <c r="H35" s="522"/>
      <c r="I35" s="523">
        <v>55000</v>
      </c>
      <c r="J35" s="523">
        <v>2000000</v>
      </c>
      <c r="K35" s="523">
        <v>91950</v>
      </c>
      <c r="L35" s="523">
        <v>0</v>
      </c>
    </row>
    <row r="36" spans="1:12" ht="14.25">
      <c r="A36" s="520" t="s">
        <v>1076</v>
      </c>
      <c r="B36" s="521">
        <v>40071</v>
      </c>
      <c r="C36" s="521">
        <v>41791</v>
      </c>
      <c r="D36" s="522">
        <v>3.75</v>
      </c>
      <c r="E36" s="523">
        <v>400000</v>
      </c>
      <c r="F36" s="523">
        <v>382000</v>
      </c>
      <c r="G36" s="522" t="s">
        <v>1130</v>
      </c>
      <c r="H36" s="522" t="s">
        <v>1130</v>
      </c>
      <c r="I36" s="523">
        <v>28125</v>
      </c>
      <c r="J36" s="523">
        <v>10000</v>
      </c>
      <c r="K36" s="523">
        <v>27262.5</v>
      </c>
      <c r="L36" s="523">
        <v>10000</v>
      </c>
    </row>
    <row r="37" spans="1:12" ht="15">
      <c r="A37" s="520" t="s">
        <v>1077</v>
      </c>
      <c r="B37" s="521">
        <v>40310</v>
      </c>
      <c r="C37" s="521"/>
      <c r="D37" s="522"/>
      <c r="E37" s="523">
        <v>150589488.5</v>
      </c>
      <c r="F37" s="523">
        <v>150589488.5</v>
      </c>
      <c r="G37" s="530"/>
      <c r="H37" s="530"/>
      <c r="I37" s="523">
        <v>0</v>
      </c>
      <c r="J37" s="523">
        <v>0</v>
      </c>
      <c r="K37" s="523">
        <v>0</v>
      </c>
      <c r="L37" s="523">
        <v>0</v>
      </c>
    </row>
    <row r="38" spans="1:12" ht="15">
      <c r="A38" s="658" t="s">
        <v>1078</v>
      </c>
      <c r="B38" s="659"/>
      <c r="C38" s="659"/>
      <c r="D38" s="660"/>
      <c r="E38" s="661">
        <f>SUM(E30:E37)</f>
        <v>471584488.5</v>
      </c>
      <c r="F38" s="661">
        <f>SUM(F30:F37)</f>
        <v>285921488.5</v>
      </c>
      <c r="G38" s="662"/>
      <c r="H38" s="662"/>
      <c r="I38" s="661">
        <f>SUM(I30:I37)</f>
        <v>7127129.76</v>
      </c>
      <c r="J38" s="661">
        <f>SUM(J30:J37)</f>
        <v>4395000</v>
      </c>
      <c r="K38" s="661">
        <f>SUM(K30:K37)</f>
        <v>6635638.26</v>
      </c>
      <c r="L38" s="661">
        <f>SUM(L30:L37)</f>
        <v>2525000</v>
      </c>
    </row>
    <row r="39" spans="1:12" ht="15">
      <c r="A39" s="531"/>
      <c r="B39" s="532"/>
      <c r="C39" s="532"/>
      <c r="D39" s="541"/>
      <c r="E39" s="534"/>
      <c r="F39" s="534"/>
      <c r="G39" s="536"/>
      <c r="H39" s="536"/>
      <c r="I39" s="534"/>
      <c r="J39" s="534"/>
      <c r="K39" s="535"/>
      <c r="L39" s="534"/>
    </row>
    <row r="40" spans="1:12" ht="15">
      <c r="A40" s="531"/>
      <c r="B40" s="532"/>
      <c r="C40" s="532"/>
      <c r="D40" s="541"/>
      <c r="E40" s="534"/>
      <c r="F40" s="534"/>
      <c r="G40" s="536"/>
      <c r="H40" s="536"/>
      <c r="I40" s="534"/>
      <c r="J40" s="534"/>
      <c r="K40" s="535"/>
      <c r="L40" s="534"/>
    </row>
    <row r="41" spans="1:12" ht="14.25">
      <c r="A41" s="514" t="s">
        <v>151</v>
      </c>
      <c r="B41" s="537"/>
      <c r="C41" s="537"/>
      <c r="D41" s="538"/>
      <c r="E41" s="466"/>
      <c r="F41" s="542"/>
      <c r="G41" s="539"/>
      <c r="H41" s="539"/>
      <c r="I41" s="466"/>
      <c r="J41" s="466"/>
      <c r="K41" s="466"/>
      <c r="L41" s="466"/>
    </row>
    <row r="42" spans="1:12" ht="14.25">
      <c r="A42" s="520" t="s">
        <v>1066</v>
      </c>
      <c r="B42" s="521">
        <v>40148</v>
      </c>
      <c r="C42" s="521">
        <v>41609</v>
      </c>
      <c r="D42" s="522">
        <v>2.97</v>
      </c>
      <c r="E42" s="523">
        <v>2515000</v>
      </c>
      <c r="F42" s="524"/>
      <c r="G42" s="522" t="s">
        <v>1133</v>
      </c>
      <c r="H42" s="522" t="s">
        <v>1131</v>
      </c>
      <c r="I42" s="523">
        <v>71725.5</v>
      </c>
      <c r="J42" s="523">
        <v>100000</v>
      </c>
      <c r="K42" s="657">
        <v>68755.5</v>
      </c>
      <c r="L42" s="657">
        <v>100000</v>
      </c>
    </row>
    <row r="43" spans="1:12" ht="14.25">
      <c r="A43" s="520" t="s">
        <v>1067</v>
      </c>
      <c r="B43" s="521">
        <v>40235</v>
      </c>
      <c r="C43" s="521">
        <v>40603</v>
      </c>
      <c r="D43" s="522" t="s">
        <v>1083</v>
      </c>
      <c r="E43" s="523">
        <v>50120000</v>
      </c>
      <c r="F43" s="524">
        <v>50120000</v>
      </c>
      <c r="G43" s="522" t="s">
        <v>1134</v>
      </c>
      <c r="H43" s="522" t="s">
        <v>1132</v>
      </c>
      <c r="I43" s="523">
        <v>234937.5</v>
      </c>
      <c r="J43" s="523">
        <v>50120000</v>
      </c>
      <c r="K43" s="657">
        <v>0</v>
      </c>
      <c r="L43" s="657">
        <v>0</v>
      </c>
    </row>
    <row r="44" spans="1:12" ht="14.25">
      <c r="A44" s="520" t="s">
        <v>1068</v>
      </c>
      <c r="B44" s="521">
        <v>40235</v>
      </c>
      <c r="C44" s="521">
        <v>40603</v>
      </c>
      <c r="D44" s="522" t="s">
        <v>1083</v>
      </c>
      <c r="E44" s="523">
        <v>635000</v>
      </c>
      <c r="F44" s="524">
        <v>635000</v>
      </c>
      <c r="G44" s="522" t="s">
        <v>1134</v>
      </c>
      <c r="H44" s="522" t="s">
        <v>1132</v>
      </c>
      <c r="I44" s="523">
        <v>8096.25</v>
      </c>
      <c r="J44" s="523">
        <v>635000</v>
      </c>
      <c r="K44" s="657">
        <v>0</v>
      </c>
      <c r="L44" s="657">
        <v>0</v>
      </c>
    </row>
    <row r="45" spans="1:12" ht="14.25">
      <c r="A45" s="520" t="s">
        <v>1138</v>
      </c>
      <c r="B45" s="521">
        <v>40598</v>
      </c>
      <c r="C45" s="521">
        <v>40969</v>
      </c>
      <c r="D45" s="522" t="s">
        <v>1083</v>
      </c>
      <c r="E45" s="523">
        <v>40470000</v>
      </c>
      <c r="F45" s="524">
        <v>0</v>
      </c>
      <c r="G45" s="522" t="s">
        <v>1134</v>
      </c>
      <c r="H45" s="522" t="s">
        <v>1139</v>
      </c>
      <c r="I45" s="524"/>
      <c r="J45" s="524">
        <v>0</v>
      </c>
      <c r="K45" s="657"/>
      <c r="L45" s="657">
        <v>40470000</v>
      </c>
    </row>
    <row r="46" spans="1:12" ht="14.25">
      <c r="A46" s="520" t="s">
        <v>1140</v>
      </c>
      <c r="B46" s="521">
        <v>40598</v>
      </c>
      <c r="C46" s="521">
        <v>40969</v>
      </c>
      <c r="D46" s="522" t="s">
        <v>1083</v>
      </c>
      <c r="E46" s="523">
        <v>3020000</v>
      </c>
      <c r="F46" s="524">
        <v>0</v>
      </c>
      <c r="G46" s="522" t="s">
        <v>1134</v>
      </c>
      <c r="H46" s="522" t="s">
        <v>1144</v>
      </c>
      <c r="I46" s="524"/>
      <c r="J46" s="524">
        <v>0</v>
      </c>
      <c r="K46" s="657"/>
      <c r="L46" s="657">
        <v>3020000</v>
      </c>
    </row>
    <row r="47" spans="1:12" ht="14.25">
      <c r="A47" s="520" t="s">
        <v>1141</v>
      </c>
      <c r="B47" s="521">
        <v>40682</v>
      </c>
      <c r="C47" s="521">
        <v>41395</v>
      </c>
      <c r="D47" s="522">
        <v>1.14</v>
      </c>
      <c r="E47" s="523">
        <v>4315000</v>
      </c>
      <c r="F47" s="524">
        <v>0</v>
      </c>
      <c r="G47" s="522" t="s">
        <v>1143</v>
      </c>
      <c r="H47" s="522" t="s">
        <v>1144</v>
      </c>
      <c r="I47" s="523">
        <v>0</v>
      </c>
      <c r="J47" s="523">
        <v>0</v>
      </c>
      <c r="K47" s="657">
        <v>57161.76</v>
      </c>
      <c r="L47" s="657">
        <v>0</v>
      </c>
    </row>
    <row r="48" spans="1:12" ht="14.25">
      <c r="A48" s="520" t="s">
        <v>1142</v>
      </c>
      <c r="B48" s="521">
        <v>40682</v>
      </c>
      <c r="C48" s="521">
        <v>40969</v>
      </c>
      <c r="D48" s="522">
        <v>0.4</v>
      </c>
      <c r="E48" s="523">
        <v>360000</v>
      </c>
      <c r="F48" s="524">
        <v>0</v>
      </c>
      <c r="G48" s="522" t="s">
        <v>1132</v>
      </c>
      <c r="H48" s="522" t="s">
        <v>1132</v>
      </c>
      <c r="I48" s="523">
        <v>0</v>
      </c>
      <c r="J48" s="523">
        <v>0</v>
      </c>
      <c r="K48" s="657">
        <v>1088.1</v>
      </c>
      <c r="L48" s="657">
        <v>360000</v>
      </c>
    </row>
    <row r="49" spans="1:12" ht="15">
      <c r="A49" s="525" t="s">
        <v>279</v>
      </c>
      <c r="B49" s="543"/>
      <c r="C49" s="543"/>
      <c r="D49" s="540"/>
      <c r="E49" s="528"/>
      <c r="F49" s="528">
        <f>SUM(F42:F48)</f>
        <v>50755000</v>
      </c>
      <c r="G49" s="528"/>
      <c r="H49" s="528"/>
      <c r="I49" s="528">
        <f>SUM(I42:I48)</f>
        <v>314759.25</v>
      </c>
      <c r="J49" s="528">
        <f>SUM(J42:J48)</f>
        <v>50855000</v>
      </c>
      <c r="K49" s="528">
        <f>SUM(K42:K48)</f>
        <v>127005.36000000002</v>
      </c>
      <c r="L49" s="528">
        <f>SUM(L42:L48)</f>
        <v>43950000</v>
      </c>
    </row>
    <row r="50" spans="1:12" ht="15">
      <c r="A50" s="531"/>
      <c r="B50" s="544"/>
      <c r="C50" s="544"/>
      <c r="D50" s="541"/>
      <c r="E50" s="534"/>
      <c r="F50" s="534"/>
      <c r="G50" s="534"/>
      <c r="H50" s="534"/>
      <c r="I50" s="534"/>
      <c r="J50" s="534"/>
      <c r="K50" s="534"/>
      <c r="L50" s="534"/>
    </row>
    <row r="51" spans="1:12" ht="15">
      <c r="A51" s="531" t="s">
        <v>152</v>
      </c>
      <c r="B51" s="544"/>
      <c r="C51" s="544"/>
      <c r="D51" s="544"/>
      <c r="E51" s="534"/>
      <c r="F51" s="534">
        <f>SUM(F23+F27+F38+F49)</f>
        <v>612086256.5</v>
      </c>
      <c r="G51" s="534"/>
      <c r="H51" s="534"/>
      <c r="I51" s="534">
        <f>SUM(I23+I27+I38+I49)</f>
        <v>21082179.560000002</v>
      </c>
      <c r="J51" s="534">
        <f>SUM(J23+J27+J38+J49)</f>
        <v>69221134.2</v>
      </c>
      <c r="K51" s="534">
        <f>SUM(K23+K27+K38+K49)</f>
        <v>19597040.199999996</v>
      </c>
      <c r="L51" s="534">
        <f>SUM(L23+L27+L38+L49)</f>
        <v>62605813.57</v>
      </c>
    </row>
    <row r="52" spans="1:12" ht="14.25">
      <c r="A52" s="480"/>
      <c r="B52" s="480"/>
      <c r="C52" s="480"/>
      <c r="D52" s="480"/>
      <c r="E52" s="480"/>
      <c r="F52" s="480"/>
      <c r="G52" s="480"/>
      <c r="H52" s="480"/>
      <c r="I52" s="480"/>
      <c r="J52" s="480"/>
      <c r="K52" s="480"/>
      <c r="L52" s="480"/>
    </row>
    <row r="53" spans="5:12" ht="14.25">
      <c r="E53" s="545"/>
      <c r="F53" s="545"/>
      <c r="I53" s="545"/>
      <c r="J53" s="545"/>
      <c r="K53" s="545"/>
      <c r="L53" s="545"/>
    </row>
    <row r="54" spans="5:13" ht="14.25">
      <c r="E54" s="480"/>
      <c r="G54" s="546"/>
      <c r="M54" s="480"/>
    </row>
    <row r="55" spans="1:12" ht="14.25">
      <c r="A55" s="480"/>
      <c r="B55" s="480"/>
      <c r="C55" s="480"/>
      <c r="D55" s="480"/>
      <c r="E55" s="480"/>
      <c r="F55" s="480"/>
      <c r="G55" s="480"/>
      <c r="H55" s="480"/>
      <c r="I55" s="480"/>
      <c r="J55" s="480"/>
      <c r="K55" s="480"/>
      <c r="L55" s="480"/>
    </row>
    <row r="56" spans="1:12" ht="14.25">
      <c r="A56" s="480"/>
      <c r="B56" s="480"/>
      <c r="C56" s="480"/>
      <c r="D56" s="480"/>
      <c r="E56" s="480"/>
      <c r="F56" s="480"/>
      <c r="G56" s="480"/>
      <c r="H56" s="480"/>
      <c r="I56" s="480"/>
      <c r="J56" s="480"/>
      <c r="K56" s="480"/>
      <c r="L56" s="480"/>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4" r:id="rId1"/>
  <headerFooter alignWithMargins="0">
    <oddHeader>&amp;RState of Kansas
City</oddHeader>
    <oddFooter>&amp;C&amp;"Arial,Regular"&amp;10KC -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zoomScale="80" zoomScaleNormal="80" zoomScalePageLayoutView="0" workbookViewId="0" topLeftCell="A1">
      <selection activeCell="F38" sqref="F38"/>
    </sheetView>
  </sheetViews>
  <sheetFormatPr defaultColWidth="8.796875" defaultRowHeight="15"/>
  <cols>
    <col min="1" max="1" width="23.59765625" style="559" customWidth="1"/>
    <col min="2" max="4" width="9.796875" style="559" customWidth="1"/>
    <col min="5" max="5" width="18.296875" style="559" customWidth="1"/>
    <col min="6" max="8" width="15.796875" style="559" customWidth="1"/>
    <col min="9" max="16384" width="8.8984375" style="559" customWidth="1"/>
  </cols>
  <sheetData>
    <row r="1" spans="1:8" ht="14.25">
      <c r="A1" s="556" t="str">
        <f>inputPrYr!$D$2</f>
        <v>Kansas City</v>
      </c>
      <c r="B1" s="557"/>
      <c r="C1" s="557"/>
      <c r="D1" s="557"/>
      <c r="E1" s="557"/>
      <c r="F1" s="557"/>
      <c r="G1" s="557"/>
      <c r="H1" s="558">
        <f>inputPrYr!C5</f>
        <v>2012</v>
      </c>
    </row>
    <row r="2" spans="1:8" ht="14.25">
      <c r="A2" s="556"/>
      <c r="B2" s="557"/>
      <c r="C2" s="557"/>
      <c r="D2" s="557"/>
      <c r="E2" s="557"/>
      <c r="F2" s="557"/>
      <c r="G2" s="557"/>
      <c r="H2" s="560"/>
    </row>
    <row r="3" spans="1:8" ht="14.25">
      <c r="A3" s="557"/>
      <c r="B3" s="557"/>
      <c r="C3" s="557"/>
      <c r="D3" s="557"/>
      <c r="E3" s="557"/>
      <c r="F3" s="557"/>
      <c r="G3" s="557"/>
      <c r="H3" s="561"/>
    </row>
    <row r="4" spans="1:8" ht="15">
      <c r="A4" s="562" t="s">
        <v>167</v>
      </c>
      <c r="B4" s="563"/>
      <c r="C4" s="563"/>
      <c r="D4" s="563"/>
      <c r="E4" s="563"/>
      <c r="F4" s="563"/>
      <c r="G4" s="563"/>
      <c r="H4" s="563"/>
    </row>
    <row r="5" spans="1:8" ht="14.25">
      <c r="A5" s="564"/>
      <c r="B5" s="565"/>
      <c r="C5" s="565"/>
      <c r="D5" s="565"/>
      <c r="E5" s="565"/>
      <c r="F5" s="565"/>
      <c r="G5" s="565"/>
      <c r="H5" s="565"/>
    </row>
    <row r="6" spans="1:8" ht="14.25">
      <c r="A6" s="557"/>
      <c r="B6" s="566"/>
      <c r="C6" s="566"/>
      <c r="D6" s="566"/>
      <c r="E6" s="567" t="s">
        <v>78</v>
      </c>
      <c r="F6" s="566"/>
      <c r="G6" s="566"/>
      <c r="H6" s="566"/>
    </row>
    <row r="7" spans="1:8" ht="14.25">
      <c r="A7" s="557"/>
      <c r="B7" s="568"/>
      <c r="C7" s="568" t="s">
        <v>153</v>
      </c>
      <c r="D7" s="568" t="s">
        <v>154</v>
      </c>
      <c r="E7" s="568" t="s">
        <v>99</v>
      </c>
      <c r="F7" s="568" t="s">
        <v>156</v>
      </c>
      <c r="G7" s="568" t="s">
        <v>157</v>
      </c>
      <c r="H7" s="568" t="s">
        <v>157</v>
      </c>
    </row>
    <row r="8" spans="1:8" ht="14.25">
      <c r="A8" s="557"/>
      <c r="B8" s="568" t="s">
        <v>158</v>
      </c>
      <c r="C8" s="568" t="s">
        <v>159</v>
      </c>
      <c r="D8" s="568" t="s">
        <v>142</v>
      </c>
      <c r="E8" s="568" t="s">
        <v>160</v>
      </c>
      <c r="F8" s="568" t="s">
        <v>205</v>
      </c>
      <c r="G8" s="568" t="s">
        <v>161</v>
      </c>
      <c r="H8" s="568" t="s">
        <v>161</v>
      </c>
    </row>
    <row r="9" spans="1:8" ht="14.25">
      <c r="A9" s="569" t="s">
        <v>162</v>
      </c>
      <c r="B9" s="570" t="s">
        <v>139</v>
      </c>
      <c r="C9" s="570" t="s">
        <v>163</v>
      </c>
      <c r="D9" s="570" t="s">
        <v>119</v>
      </c>
      <c r="E9" s="570" t="s">
        <v>229</v>
      </c>
      <c r="F9" s="571" t="str">
        <f>CONCATENATE("Jan 1,",H1-1,"")</f>
        <v>Jan 1,2011</v>
      </c>
      <c r="G9" s="570">
        <f>H1-1</f>
        <v>2011</v>
      </c>
      <c r="H9" s="570">
        <f>H1</f>
        <v>2012</v>
      </c>
    </row>
    <row r="10" spans="1:8" ht="14.25">
      <c r="A10" s="547" t="s">
        <v>1091</v>
      </c>
      <c r="B10" s="548">
        <v>37469</v>
      </c>
      <c r="C10" s="547">
        <v>120</v>
      </c>
      <c r="D10" s="547">
        <v>5.17</v>
      </c>
      <c r="E10" s="549">
        <v>520000</v>
      </c>
      <c r="F10" s="687">
        <v>63571</v>
      </c>
      <c r="G10" s="688">
        <v>66763</v>
      </c>
      <c r="H10" s="688">
        <v>0</v>
      </c>
    </row>
    <row r="11" spans="1:8" ht="14.25">
      <c r="A11" s="547" t="s">
        <v>1092</v>
      </c>
      <c r="B11" s="548">
        <v>37469</v>
      </c>
      <c r="C11" s="547">
        <v>120</v>
      </c>
      <c r="D11" s="547">
        <v>5.17</v>
      </c>
      <c r="E11" s="549">
        <v>600000</v>
      </c>
      <c r="F11" s="687">
        <v>73353</v>
      </c>
      <c r="G11" s="688">
        <v>77035</v>
      </c>
      <c r="H11" s="688">
        <v>0</v>
      </c>
    </row>
    <row r="12" spans="1:8" ht="14.25">
      <c r="A12" s="547" t="s">
        <v>1093</v>
      </c>
      <c r="B12" s="548">
        <v>37469</v>
      </c>
      <c r="C12" s="547">
        <v>120</v>
      </c>
      <c r="D12" s="547">
        <v>5.17</v>
      </c>
      <c r="E12" s="549">
        <v>140000</v>
      </c>
      <c r="F12" s="687">
        <v>17117</v>
      </c>
      <c r="G12" s="688">
        <v>17975</v>
      </c>
      <c r="H12" s="688">
        <v>0</v>
      </c>
    </row>
    <row r="13" spans="1:8" ht="14.25">
      <c r="A13" s="547" t="s">
        <v>1094</v>
      </c>
      <c r="B13" s="548">
        <v>37365</v>
      </c>
      <c r="C13" s="547">
        <v>180</v>
      </c>
      <c r="D13" s="547">
        <v>5.54</v>
      </c>
      <c r="E13" s="549">
        <v>560000</v>
      </c>
      <c r="F13" s="687">
        <v>275833</v>
      </c>
      <c r="G13" s="688">
        <v>54317</v>
      </c>
      <c r="H13" s="688">
        <v>54317</v>
      </c>
    </row>
    <row r="14" spans="1:8" ht="14.25">
      <c r="A14" s="547" t="s">
        <v>1095</v>
      </c>
      <c r="B14" s="548">
        <v>37681</v>
      </c>
      <c r="C14" s="547">
        <v>120</v>
      </c>
      <c r="D14" s="547">
        <v>3.37</v>
      </c>
      <c r="E14" s="549">
        <v>610000</v>
      </c>
      <c r="F14" s="687">
        <v>135344</v>
      </c>
      <c r="G14" s="688">
        <v>71119</v>
      </c>
      <c r="H14" s="688">
        <v>71119</v>
      </c>
    </row>
    <row r="15" spans="1:8" ht="14.25">
      <c r="A15" s="547" t="s">
        <v>1096</v>
      </c>
      <c r="B15" s="548">
        <v>37681</v>
      </c>
      <c r="C15" s="547">
        <v>120</v>
      </c>
      <c r="D15" s="547">
        <v>3.37</v>
      </c>
      <c r="E15" s="549">
        <v>665000</v>
      </c>
      <c r="F15" s="687">
        <v>147548</v>
      </c>
      <c r="G15" s="688">
        <v>77531</v>
      </c>
      <c r="H15" s="688">
        <v>77531</v>
      </c>
    </row>
    <row r="16" spans="1:8" ht="14.25">
      <c r="A16" s="547" t="s">
        <v>1097</v>
      </c>
      <c r="B16" s="548">
        <v>38072</v>
      </c>
      <c r="C16" s="547">
        <v>72</v>
      </c>
      <c r="D16" s="547">
        <v>2.46</v>
      </c>
      <c r="E16" s="549">
        <v>52124</v>
      </c>
      <c r="F16" s="687">
        <v>0</v>
      </c>
      <c r="G16" s="688">
        <v>0</v>
      </c>
      <c r="H16" s="688">
        <v>0</v>
      </c>
    </row>
    <row r="17" spans="1:8" ht="14.25">
      <c r="A17" s="547" t="s">
        <v>1098</v>
      </c>
      <c r="B17" s="548">
        <v>38072</v>
      </c>
      <c r="C17" s="547">
        <v>84</v>
      </c>
      <c r="D17" s="547">
        <v>2.7</v>
      </c>
      <c r="E17" s="549">
        <v>1448684</v>
      </c>
      <c r="F17" s="687">
        <v>0</v>
      </c>
      <c r="G17" s="688">
        <v>0</v>
      </c>
      <c r="H17" s="688">
        <v>0</v>
      </c>
    </row>
    <row r="18" spans="1:8" ht="14.25">
      <c r="A18" s="547" t="s">
        <v>1099</v>
      </c>
      <c r="B18" s="548">
        <v>38072</v>
      </c>
      <c r="C18" s="547">
        <v>120</v>
      </c>
      <c r="D18" s="547">
        <v>3.24</v>
      </c>
      <c r="E18" s="549">
        <v>250000</v>
      </c>
      <c r="F18" s="687">
        <v>80911</v>
      </c>
      <c r="G18" s="688">
        <v>28737</v>
      </c>
      <c r="H18" s="688">
        <v>28737</v>
      </c>
    </row>
    <row r="19" spans="1:8" ht="14.25">
      <c r="A19" s="547" t="s">
        <v>1100</v>
      </c>
      <c r="B19" s="548">
        <v>38471</v>
      </c>
      <c r="C19" s="547">
        <v>120</v>
      </c>
      <c r="D19" s="547">
        <v>3.52</v>
      </c>
      <c r="E19" s="549">
        <v>820377</v>
      </c>
      <c r="F19" s="687">
        <v>350191</v>
      </c>
      <c r="G19" s="688">
        <v>95385</v>
      </c>
      <c r="H19" s="688">
        <v>95385</v>
      </c>
    </row>
    <row r="20" spans="1:8" ht="14.25">
      <c r="A20" s="547" t="s">
        <v>1101</v>
      </c>
      <c r="B20" s="548">
        <v>38439</v>
      </c>
      <c r="C20" s="547">
        <v>60</v>
      </c>
      <c r="D20" s="547">
        <v>3.24</v>
      </c>
      <c r="E20" s="550">
        <v>841416.0000000001</v>
      </c>
      <c r="F20" s="687">
        <v>0</v>
      </c>
      <c r="G20" s="688">
        <v>0</v>
      </c>
      <c r="H20" s="688">
        <v>0</v>
      </c>
    </row>
    <row r="21" spans="1:8" ht="14.25">
      <c r="A21" s="547" t="s">
        <v>1102</v>
      </c>
      <c r="B21" s="548">
        <v>38439</v>
      </c>
      <c r="C21" s="547">
        <v>72</v>
      </c>
      <c r="D21" s="547">
        <v>3.35</v>
      </c>
      <c r="E21" s="550">
        <v>487500</v>
      </c>
      <c r="F21" s="687">
        <v>0</v>
      </c>
      <c r="G21" s="688">
        <v>0</v>
      </c>
      <c r="H21" s="688">
        <v>0</v>
      </c>
    </row>
    <row r="22" spans="1:8" ht="14.25">
      <c r="A22" s="547" t="s">
        <v>1103</v>
      </c>
      <c r="B22" s="548">
        <v>38439</v>
      </c>
      <c r="C22" s="547">
        <v>84</v>
      </c>
      <c r="D22" s="547">
        <v>3.35</v>
      </c>
      <c r="E22" s="549">
        <v>455000</v>
      </c>
      <c r="F22" s="687">
        <v>69277</v>
      </c>
      <c r="G22" s="688">
        <v>71598</v>
      </c>
      <c r="H22" s="688">
        <v>0</v>
      </c>
    </row>
    <row r="23" spans="1:8" ht="14.25">
      <c r="A23" s="547" t="s">
        <v>1104</v>
      </c>
      <c r="B23" s="548">
        <v>38439</v>
      </c>
      <c r="C23" s="547">
        <v>120</v>
      </c>
      <c r="D23" s="547">
        <v>3.67</v>
      </c>
      <c r="E23" s="549">
        <v>280000</v>
      </c>
      <c r="F23" s="687">
        <v>119826</v>
      </c>
      <c r="G23" s="688">
        <v>32755</v>
      </c>
      <c r="H23" s="688">
        <v>32755</v>
      </c>
    </row>
    <row r="24" spans="1:8" ht="14.25">
      <c r="A24" s="547" t="s">
        <v>1105</v>
      </c>
      <c r="B24" s="548">
        <v>38439</v>
      </c>
      <c r="C24" s="547">
        <v>60</v>
      </c>
      <c r="D24" s="547">
        <v>3.52</v>
      </c>
      <c r="E24" s="549">
        <v>674000</v>
      </c>
      <c r="F24" s="687">
        <v>0</v>
      </c>
      <c r="G24" s="688">
        <v>0</v>
      </c>
      <c r="H24" s="688">
        <v>0</v>
      </c>
    </row>
    <row r="25" spans="1:8" ht="14.25">
      <c r="A25" s="547" t="s">
        <v>1106</v>
      </c>
      <c r="B25" s="548">
        <v>38439</v>
      </c>
      <c r="C25" s="547">
        <v>84</v>
      </c>
      <c r="D25" s="547">
        <v>3.54</v>
      </c>
      <c r="E25" s="549">
        <v>1231321</v>
      </c>
      <c r="F25" s="687">
        <v>369823</v>
      </c>
      <c r="G25" s="688">
        <v>194794</v>
      </c>
      <c r="H25" s="688">
        <v>194794</v>
      </c>
    </row>
    <row r="26" spans="1:8" ht="14.25">
      <c r="A26" s="547" t="s">
        <v>1107</v>
      </c>
      <c r="B26" s="548">
        <v>38439</v>
      </c>
      <c r="C26" s="547">
        <v>96</v>
      </c>
      <c r="D26" s="547">
        <v>3.55</v>
      </c>
      <c r="E26" s="549">
        <v>2400000</v>
      </c>
      <c r="F26" s="687">
        <v>945731</v>
      </c>
      <c r="G26" s="688">
        <v>337898</v>
      </c>
      <c r="H26" s="688">
        <v>337898</v>
      </c>
    </row>
    <row r="27" spans="1:8" ht="14.25">
      <c r="A27" s="547" t="s">
        <v>1108</v>
      </c>
      <c r="B27" s="548">
        <v>38439</v>
      </c>
      <c r="C27" s="547">
        <v>120</v>
      </c>
      <c r="D27" s="547">
        <v>3.64</v>
      </c>
      <c r="E27" s="549">
        <v>650000</v>
      </c>
      <c r="F27" s="687">
        <v>341526</v>
      </c>
      <c r="G27" s="688">
        <v>75935</v>
      </c>
      <c r="H27" s="688">
        <v>75935</v>
      </c>
    </row>
    <row r="28" spans="1:8" ht="14.25">
      <c r="A28" s="547" t="s">
        <v>1109</v>
      </c>
      <c r="B28" s="548">
        <v>39182</v>
      </c>
      <c r="C28" s="547">
        <v>36</v>
      </c>
      <c r="D28" s="547">
        <v>3.97</v>
      </c>
      <c r="E28" s="550">
        <v>1583951.2507685714</v>
      </c>
      <c r="F28" s="687">
        <v>0</v>
      </c>
      <c r="G28" s="688">
        <v>0</v>
      </c>
      <c r="H28" s="688">
        <v>0</v>
      </c>
    </row>
    <row r="29" spans="1:8" ht="14.25">
      <c r="A29" s="547" t="s">
        <v>1110</v>
      </c>
      <c r="B29" s="548">
        <v>39182</v>
      </c>
      <c r="C29" s="547">
        <v>60</v>
      </c>
      <c r="D29" s="547">
        <v>4.09</v>
      </c>
      <c r="E29" s="549">
        <v>230000</v>
      </c>
      <c r="F29" s="687">
        <v>47805</v>
      </c>
      <c r="G29" s="688">
        <v>49760</v>
      </c>
      <c r="H29" s="688">
        <v>0</v>
      </c>
    </row>
    <row r="30" spans="1:8" ht="14.25">
      <c r="A30" s="547" t="s">
        <v>1111</v>
      </c>
      <c r="B30" s="548">
        <v>39182</v>
      </c>
      <c r="C30" s="547">
        <v>120</v>
      </c>
      <c r="D30" s="551">
        <v>3.9</v>
      </c>
      <c r="E30" s="550">
        <v>700000</v>
      </c>
      <c r="F30" s="687">
        <v>434620</v>
      </c>
      <c r="G30" s="688">
        <v>82651</v>
      </c>
      <c r="H30" s="688">
        <v>82651</v>
      </c>
    </row>
    <row r="31" spans="1:8" ht="14.25">
      <c r="A31" s="547" t="s">
        <v>1112</v>
      </c>
      <c r="B31" s="548">
        <v>39346</v>
      </c>
      <c r="C31" s="547">
        <v>72</v>
      </c>
      <c r="D31" s="547">
        <v>4.12</v>
      </c>
      <c r="E31" s="550">
        <v>3700000</v>
      </c>
      <c r="F31" s="687">
        <v>504952</v>
      </c>
      <c r="G31" s="688">
        <v>522497</v>
      </c>
      <c r="H31" s="688">
        <v>0</v>
      </c>
    </row>
    <row r="32" spans="1:8" ht="14.25">
      <c r="A32" s="547" t="s">
        <v>1113</v>
      </c>
      <c r="B32" s="548">
        <v>39854</v>
      </c>
      <c r="C32" s="547">
        <v>48</v>
      </c>
      <c r="D32" s="547">
        <v>2.15</v>
      </c>
      <c r="E32" s="550">
        <v>436630</v>
      </c>
      <c r="F32" s="687">
        <v>185348</v>
      </c>
      <c r="G32" s="688">
        <v>150678</v>
      </c>
      <c r="H32" s="688">
        <v>37670</v>
      </c>
    </row>
    <row r="33" spans="1:8" ht="14.25">
      <c r="A33" s="547" t="s">
        <v>1114</v>
      </c>
      <c r="B33" s="548">
        <v>39895</v>
      </c>
      <c r="C33" s="547">
        <v>72</v>
      </c>
      <c r="D33" s="551">
        <v>2.5245</v>
      </c>
      <c r="E33" s="550">
        <v>294256</v>
      </c>
      <c r="F33" s="687">
        <v>195450</v>
      </c>
      <c r="G33" s="688">
        <v>62828</v>
      </c>
      <c r="H33" s="688">
        <v>62828</v>
      </c>
    </row>
    <row r="34" spans="1:8" ht="14.25">
      <c r="A34" s="547" t="s">
        <v>1115</v>
      </c>
      <c r="B34" s="548">
        <v>40010</v>
      </c>
      <c r="C34" s="547">
        <v>48</v>
      </c>
      <c r="D34" s="552">
        <v>2.0464</v>
      </c>
      <c r="E34" s="553">
        <v>446916</v>
      </c>
      <c r="F34" s="687">
        <v>264021</v>
      </c>
      <c r="G34" s="688">
        <v>153972</v>
      </c>
      <c r="H34" s="688">
        <v>115479</v>
      </c>
    </row>
    <row r="35" spans="1:8" ht="14.25">
      <c r="A35" s="547" t="s">
        <v>1116</v>
      </c>
      <c r="B35" s="548">
        <v>40053</v>
      </c>
      <c r="C35" s="547">
        <v>96</v>
      </c>
      <c r="D35" s="554">
        <v>3.73</v>
      </c>
      <c r="E35" s="553">
        <v>492969.61</v>
      </c>
      <c r="F35" s="687">
        <v>414067</v>
      </c>
      <c r="G35" s="688">
        <v>80344</v>
      </c>
      <c r="H35" s="688">
        <v>80344</v>
      </c>
    </row>
    <row r="36" spans="1:8" ht="14.25">
      <c r="A36" s="547" t="s">
        <v>1117</v>
      </c>
      <c r="B36" s="548">
        <v>40053</v>
      </c>
      <c r="C36" s="547">
        <v>72</v>
      </c>
      <c r="D36" s="554">
        <v>3.24</v>
      </c>
      <c r="E36" s="553">
        <v>58834</v>
      </c>
      <c r="F36" s="687">
        <v>45003</v>
      </c>
      <c r="G36" s="688">
        <v>12793</v>
      </c>
      <c r="H36" s="688">
        <v>12793</v>
      </c>
    </row>
    <row r="37" spans="1:8" ht="14.25">
      <c r="A37" s="547" t="s">
        <v>1118</v>
      </c>
      <c r="B37" s="548">
        <v>40391</v>
      </c>
      <c r="C37" s="555" t="s">
        <v>1083</v>
      </c>
      <c r="D37" s="554">
        <v>0</v>
      </c>
      <c r="E37" s="553">
        <v>0</v>
      </c>
      <c r="F37" s="687">
        <v>1597528</v>
      </c>
      <c r="G37" s="688">
        <v>362052</v>
      </c>
      <c r="H37" s="688">
        <v>362052</v>
      </c>
    </row>
    <row r="38" spans="1:8" ht="15.75" thickBot="1">
      <c r="A38" s="572" t="s">
        <v>94</v>
      </c>
      <c r="B38" s="573"/>
      <c r="C38" s="573"/>
      <c r="D38" s="573"/>
      <c r="E38" s="573"/>
      <c r="F38" s="574">
        <f>SUM(F10:F37)</f>
        <v>6678845</v>
      </c>
      <c r="G38" s="574">
        <f>SUM(G10:G37)</f>
        <v>2679417</v>
      </c>
      <c r="H38" s="574">
        <f>SUM(H10:H37)</f>
        <v>1722288</v>
      </c>
    </row>
    <row r="39" spans="1:8" ht="15" thickTop="1">
      <c r="A39" s="557"/>
      <c r="B39" s="557"/>
      <c r="C39" s="557"/>
      <c r="D39" s="557"/>
      <c r="E39" s="557"/>
      <c r="F39" s="557"/>
      <c r="G39" s="556"/>
      <c r="H39" s="556"/>
    </row>
    <row r="40" spans="1:8" ht="14.25">
      <c r="A40" s="575" t="s">
        <v>24</v>
      </c>
      <c r="B40" s="557"/>
      <c r="C40" s="557"/>
      <c r="D40" s="557"/>
      <c r="E40" s="557"/>
      <c r="F40" s="557"/>
      <c r="G40" s="556"/>
      <c r="H40" s="556"/>
    </row>
  </sheetData>
  <sheetProtection/>
  <printOptions/>
  <pageMargins left="0.25" right="0.25" top="1" bottom="0.5" header="0.5" footer="0.5"/>
  <pageSetup blackAndWhite="1" fitToHeight="1" fitToWidth="1" horizontalDpi="120" verticalDpi="120" orientation="landscape" scale="79" r:id="rId1"/>
  <headerFooter alignWithMargins="0">
    <oddHeader>&amp;RState of Kansas
City</oddHeader>
    <oddFooter>&amp;CKC - &amp;P</oddFooter>
  </headerFooter>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B1:K153"/>
  <sheetViews>
    <sheetView zoomScale="80" zoomScaleNormal="80" zoomScaleSheetLayoutView="100" zoomScalePageLayoutView="0" workbookViewId="0" topLeftCell="A1">
      <pane xSplit="1" ySplit="6" topLeftCell="B116" activePane="bottomRight" state="frozen"/>
      <selection pane="topLeft" activeCell="A1" sqref="A1"/>
      <selection pane="topRight" activeCell="B1" sqref="B1"/>
      <selection pane="bottomLeft" activeCell="A7" sqref="A7"/>
      <selection pane="bottomRight" activeCell="F138" sqref="F138"/>
    </sheetView>
  </sheetViews>
  <sheetFormatPr defaultColWidth="8.796875" defaultRowHeight="15"/>
  <cols>
    <col min="1" max="1" width="2.3984375" style="308" customWidth="1"/>
    <col min="2" max="2" width="31.09765625" style="308" customWidth="1"/>
    <col min="3" max="5" width="15.796875" style="308" customWidth="1"/>
    <col min="6" max="6" width="16.296875" style="308" customWidth="1"/>
    <col min="7" max="7" width="6.8984375" style="308" customWidth="1"/>
    <col min="8" max="8" width="13.3984375" style="308" customWidth="1"/>
    <col min="9" max="9" width="8.8984375" style="308" customWidth="1"/>
    <col min="10" max="10" width="5" style="308" customWidth="1"/>
    <col min="11" max="11" width="7.796875" style="308" customWidth="1"/>
    <col min="12" max="16384" width="8.8984375" style="308" customWidth="1"/>
  </cols>
  <sheetData>
    <row r="1" spans="2:6" ht="15">
      <c r="B1" s="345" t="str">
        <f>inputPrYr!D2</f>
        <v>Kansas City</v>
      </c>
      <c r="C1" s="346"/>
      <c r="D1" s="346"/>
      <c r="E1" s="346"/>
      <c r="F1" s="347">
        <f>inputPrYr!C5</f>
        <v>2012</v>
      </c>
    </row>
    <row r="2" spans="2:6" ht="15">
      <c r="B2" s="346"/>
      <c r="C2" s="346"/>
      <c r="D2" s="346"/>
      <c r="E2" s="346"/>
      <c r="F2" s="348"/>
    </row>
    <row r="3" spans="2:6" ht="15.75">
      <c r="B3" s="349"/>
      <c r="C3" s="346"/>
      <c r="D3" s="346"/>
      <c r="E3" s="346"/>
      <c r="F3" s="350"/>
    </row>
    <row r="4" spans="2:6" ht="15.75">
      <c r="B4" s="351" t="s">
        <v>170</v>
      </c>
      <c r="C4" s="352"/>
      <c r="D4" s="352"/>
      <c r="E4" s="352"/>
      <c r="F4" s="352"/>
    </row>
    <row r="5" spans="2:6" ht="15">
      <c r="B5" s="353" t="s">
        <v>106</v>
      </c>
      <c r="C5" s="354" t="s">
        <v>857</v>
      </c>
      <c r="D5" s="355">
        <v>2011</v>
      </c>
      <c r="E5" s="356" t="s">
        <v>858</v>
      </c>
      <c r="F5" s="356" t="s">
        <v>859</v>
      </c>
    </row>
    <row r="6" spans="2:6" ht="15">
      <c r="B6" s="376" t="str">
        <f>inputPrYr!B17</f>
        <v>General</v>
      </c>
      <c r="C6" s="357" t="s">
        <v>861</v>
      </c>
      <c r="D6" s="358" t="s">
        <v>860</v>
      </c>
      <c r="E6" s="359" t="s">
        <v>862</v>
      </c>
      <c r="F6" s="357">
        <v>2012</v>
      </c>
    </row>
    <row r="7" spans="2:6" ht="15">
      <c r="B7" s="360" t="s">
        <v>223</v>
      </c>
      <c r="C7" s="361">
        <v>1761164</v>
      </c>
      <c r="D7" s="361">
        <v>90786</v>
      </c>
      <c r="E7" s="362">
        <f>C132</f>
        <v>619828</v>
      </c>
      <c r="F7" s="363">
        <f>E132</f>
        <v>815851</v>
      </c>
    </row>
    <row r="8" spans="2:6" ht="15">
      <c r="B8" s="364" t="s">
        <v>225</v>
      </c>
      <c r="C8" s="365"/>
      <c r="D8" s="365"/>
      <c r="E8" s="365"/>
      <c r="F8" s="366"/>
    </row>
    <row r="9" spans="2:6" ht="15">
      <c r="B9" s="367" t="s">
        <v>107</v>
      </c>
      <c r="C9" s="365">
        <v>23199701</v>
      </c>
      <c r="D9" s="365">
        <v>22562079.01999998</v>
      </c>
      <c r="E9" s="365">
        <v>22390000</v>
      </c>
      <c r="F9" s="408" t="s">
        <v>95</v>
      </c>
    </row>
    <row r="10" spans="2:6" ht="15">
      <c r="B10" s="367" t="s">
        <v>108</v>
      </c>
      <c r="C10" s="365">
        <v>1162488</v>
      </c>
      <c r="D10" s="365">
        <v>875100</v>
      </c>
      <c r="E10" s="368">
        <v>1039000</v>
      </c>
      <c r="F10" s="370">
        <v>1032600</v>
      </c>
    </row>
    <row r="11" spans="2:6" ht="15">
      <c r="B11" s="367" t="s">
        <v>109</v>
      </c>
      <c r="C11" s="365">
        <v>2747588</v>
      </c>
      <c r="D11" s="365">
        <v>2757499</v>
      </c>
      <c r="E11" s="368">
        <v>2573500</v>
      </c>
      <c r="F11" s="366">
        <f>mvalloc!C7</f>
        <v>2626188</v>
      </c>
    </row>
    <row r="12" spans="2:6" ht="15">
      <c r="B12" s="367" t="s">
        <v>110</v>
      </c>
      <c r="C12" s="365">
        <v>11734</v>
      </c>
      <c r="D12" s="365">
        <v>12789</v>
      </c>
      <c r="E12" s="368">
        <v>10710</v>
      </c>
      <c r="F12" s="366">
        <f>mvalloc!D7</f>
        <v>12386</v>
      </c>
    </row>
    <row r="13" spans="2:6" ht="15">
      <c r="B13" s="367" t="s">
        <v>202</v>
      </c>
      <c r="C13" s="365">
        <v>21666</v>
      </c>
      <c r="D13" s="365">
        <v>19753</v>
      </c>
      <c r="E13" s="368">
        <v>21120</v>
      </c>
      <c r="F13" s="366">
        <f>mvalloc!E7</f>
        <v>23960</v>
      </c>
    </row>
    <row r="14" spans="2:6" ht="15">
      <c r="B14" s="367" t="s">
        <v>261</v>
      </c>
      <c r="C14" s="365">
        <v>0</v>
      </c>
      <c r="D14" s="365">
        <v>0</v>
      </c>
      <c r="E14" s="368">
        <v>0</v>
      </c>
      <c r="F14" s="366">
        <f>inputOth!E16</f>
        <v>0</v>
      </c>
    </row>
    <row r="15" spans="2:6" ht="15">
      <c r="B15" s="367" t="s">
        <v>262</v>
      </c>
      <c r="C15" s="365">
        <v>0</v>
      </c>
      <c r="D15" s="365">
        <v>0</v>
      </c>
      <c r="E15" s="368">
        <v>0</v>
      </c>
      <c r="F15" s="366">
        <f>inputOth!E31</f>
        <v>0</v>
      </c>
    </row>
    <row r="16" spans="2:6" ht="15">
      <c r="B16" s="371" t="s">
        <v>863</v>
      </c>
      <c r="C16" s="365">
        <v>0</v>
      </c>
      <c r="D16" s="365">
        <v>0</v>
      </c>
      <c r="E16" s="368">
        <v>0</v>
      </c>
      <c r="F16" s="366">
        <f>inputOth!E32</f>
        <v>0</v>
      </c>
    </row>
    <row r="17" spans="2:6" ht="15">
      <c r="B17" s="372" t="s">
        <v>864</v>
      </c>
      <c r="C17" s="365">
        <v>675842</v>
      </c>
      <c r="D17" s="365">
        <v>471370</v>
      </c>
      <c r="E17" s="368">
        <v>444000</v>
      </c>
      <c r="F17" s="366">
        <v>324570</v>
      </c>
    </row>
    <row r="18" spans="2:6" ht="15">
      <c r="B18" s="372" t="s">
        <v>865</v>
      </c>
      <c r="C18" s="365">
        <v>119170</v>
      </c>
      <c r="D18" s="365">
        <v>70000</v>
      </c>
      <c r="E18" s="368">
        <v>95000</v>
      </c>
      <c r="F18" s="366">
        <v>95000</v>
      </c>
    </row>
    <row r="19" spans="2:6" ht="15">
      <c r="B19" s="372" t="s">
        <v>866</v>
      </c>
      <c r="C19" s="365">
        <v>18334</v>
      </c>
      <c r="D19" s="365">
        <v>14140</v>
      </c>
      <c r="E19" s="368">
        <v>15260</v>
      </c>
      <c r="F19" s="366">
        <v>13320</v>
      </c>
    </row>
    <row r="20" spans="2:6" ht="15">
      <c r="B20" s="372" t="s">
        <v>867</v>
      </c>
      <c r="C20" s="365">
        <v>9622909</v>
      </c>
      <c r="D20" s="365">
        <v>9550000</v>
      </c>
      <c r="E20" s="368">
        <v>9600000</v>
      </c>
      <c r="F20" s="366">
        <v>9600000</v>
      </c>
    </row>
    <row r="21" spans="2:6" ht="15">
      <c r="B21" s="372" t="s">
        <v>868</v>
      </c>
      <c r="C21" s="365">
        <v>11541373</v>
      </c>
      <c r="D21" s="365">
        <v>10975000</v>
      </c>
      <c r="E21" s="368">
        <v>11000000</v>
      </c>
      <c r="F21" s="366">
        <v>11000000</v>
      </c>
    </row>
    <row r="22" spans="2:6" ht="15">
      <c r="B22" s="372" t="s">
        <v>869</v>
      </c>
      <c r="C22" s="365">
        <v>2087402</v>
      </c>
      <c r="D22" s="365">
        <v>2040000</v>
      </c>
      <c r="E22" s="368">
        <v>2150000</v>
      </c>
      <c r="F22" s="366">
        <v>2150000</v>
      </c>
    </row>
    <row r="23" spans="2:6" ht="15">
      <c r="B23" s="372" t="s">
        <v>870</v>
      </c>
      <c r="C23" s="365">
        <v>2616096</v>
      </c>
      <c r="D23" s="365">
        <v>2550000</v>
      </c>
      <c r="E23" s="368">
        <v>2725000</v>
      </c>
      <c r="F23" s="366">
        <v>2725000</v>
      </c>
    </row>
    <row r="24" spans="2:6" ht="15">
      <c r="B24" s="372" t="s">
        <v>1148</v>
      </c>
      <c r="C24" s="365">
        <v>0</v>
      </c>
      <c r="D24" s="365">
        <v>0</v>
      </c>
      <c r="E24" s="368">
        <v>1000000</v>
      </c>
      <c r="F24" s="366">
        <v>600000</v>
      </c>
    </row>
    <row r="25" spans="2:6" ht="15">
      <c r="B25" s="372" t="s">
        <v>871</v>
      </c>
      <c r="C25" s="365">
        <v>112090</v>
      </c>
      <c r="D25" s="365">
        <v>85000</v>
      </c>
      <c r="E25" s="368">
        <v>100000</v>
      </c>
      <c r="F25" s="366">
        <v>100000</v>
      </c>
    </row>
    <row r="26" spans="2:6" ht="15">
      <c r="B26" s="372" t="s">
        <v>872</v>
      </c>
      <c r="C26" s="365">
        <v>2794401</v>
      </c>
      <c r="D26" s="365">
        <v>3049500</v>
      </c>
      <c r="E26" s="368">
        <v>2350000</v>
      </c>
      <c r="F26" s="366">
        <v>2420500</v>
      </c>
    </row>
    <row r="27" spans="2:6" ht="15">
      <c r="B27" s="372" t="s">
        <v>873</v>
      </c>
      <c r="C27" s="365">
        <v>22986987</v>
      </c>
      <c r="D27" s="365">
        <v>25000000</v>
      </c>
      <c r="E27" s="368">
        <v>23700000</v>
      </c>
      <c r="F27" s="366">
        <v>24293496</v>
      </c>
    </row>
    <row r="28" spans="2:6" ht="15">
      <c r="B28" s="372" t="s">
        <v>874</v>
      </c>
      <c r="C28" s="365">
        <v>2934363</v>
      </c>
      <c r="D28" s="365">
        <v>2690888</v>
      </c>
      <c r="E28" s="368">
        <v>2915000</v>
      </c>
      <c r="F28" s="366">
        <v>3285000</v>
      </c>
    </row>
    <row r="29" spans="2:6" ht="15">
      <c r="B29" s="372" t="s">
        <v>875</v>
      </c>
      <c r="C29" s="365">
        <v>4218927</v>
      </c>
      <c r="D29" s="365">
        <v>4500000</v>
      </c>
      <c r="E29" s="368">
        <v>4500000</v>
      </c>
      <c r="F29" s="366">
        <v>4634244</v>
      </c>
    </row>
    <row r="30" spans="2:6" ht="15">
      <c r="B30" s="372" t="s">
        <v>876</v>
      </c>
      <c r="C30" s="365">
        <v>1056317</v>
      </c>
      <c r="D30" s="365">
        <v>1122000</v>
      </c>
      <c r="E30" s="368">
        <v>1060000</v>
      </c>
      <c r="F30" s="366">
        <v>1081200</v>
      </c>
    </row>
    <row r="31" spans="2:6" ht="15">
      <c r="B31" s="372" t="s">
        <v>877</v>
      </c>
      <c r="C31" s="365">
        <v>474571</v>
      </c>
      <c r="D31" s="365">
        <v>427500</v>
      </c>
      <c r="E31" s="368">
        <v>420000</v>
      </c>
      <c r="F31" s="366">
        <v>399000</v>
      </c>
    </row>
    <row r="32" spans="2:6" ht="15">
      <c r="B32" s="372" t="s">
        <v>878</v>
      </c>
      <c r="C32" s="365">
        <v>50000</v>
      </c>
      <c r="D32" s="365">
        <v>50000</v>
      </c>
      <c r="E32" s="368">
        <v>50000</v>
      </c>
      <c r="F32" s="366">
        <v>50000</v>
      </c>
    </row>
    <row r="33" spans="2:6" ht="15">
      <c r="B33" s="372" t="s">
        <v>879</v>
      </c>
      <c r="C33" s="365">
        <v>116993</v>
      </c>
      <c r="D33" s="365">
        <v>145000</v>
      </c>
      <c r="E33" s="368">
        <v>150000</v>
      </c>
      <c r="F33" s="366">
        <v>150000</v>
      </c>
    </row>
    <row r="34" spans="2:6" ht="15">
      <c r="B34" s="372" t="s">
        <v>880</v>
      </c>
      <c r="C34" s="365">
        <v>391219</v>
      </c>
      <c r="D34" s="365">
        <v>418200</v>
      </c>
      <c r="E34" s="368">
        <v>418200</v>
      </c>
      <c r="F34" s="366">
        <v>430746</v>
      </c>
    </row>
    <row r="35" spans="2:6" ht="15">
      <c r="B35" s="372" t="s">
        <v>881</v>
      </c>
      <c r="C35" s="365">
        <v>1870846</v>
      </c>
      <c r="D35" s="365">
        <v>1693200</v>
      </c>
      <c r="E35" s="368">
        <v>1675000</v>
      </c>
      <c r="F35" s="366">
        <f>185000+1708500</f>
        <v>1893500</v>
      </c>
    </row>
    <row r="36" spans="2:6" ht="15">
      <c r="B36" s="372" t="s">
        <v>882</v>
      </c>
      <c r="C36" s="365">
        <v>176459</v>
      </c>
      <c r="D36" s="365">
        <v>150000</v>
      </c>
      <c r="E36" s="368">
        <v>175000</v>
      </c>
      <c r="F36" s="366">
        <v>178500</v>
      </c>
    </row>
    <row r="37" spans="2:6" ht="15">
      <c r="B37" s="372" t="s">
        <v>883</v>
      </c>
      <c r="C37" s="365">
        <v>76176</v>
      </c>
      <c r="D37" s="365">
        <v>10000</v>
      </c>
      <c r="E37" s="368">
        <v>24000</v>
      </c>
      <c r="F37" s="366">
        <v>24000</v>
      </c>
    </row>
    <row r="38" spans="2:6" ht="15">
      <c r="B38" s="372" t="s">
        <v>884</v>
      </c>
      <c r="C38" s="365"/>
      <c r="D38" s="365">
        <v>0</v>
      </c>
      <c r="E38" s="368">
        <v>0</v>
      </c>
      <c r="F38" s="366">
        <v>1133264</v>
      </c>
    </row>
    <row r="39" spans="2:6" ht="15">
      <c r="B39" s="372" t="s">
        <v>885</v>
      </c>
      <c r="C39" s="365">
        <v>13800</v>
      </c>
      <c r="D39" s="365">
        <v>10000</v>
      </c>
      <c r="E39" s="368">
        <v>10000</v>
      </c>
      <c r="F39" s="366">
        <v>10000</v>
      </c>
    </row>
    <row r="40" spans="2:6" ht="15">
      <c r="B40" s="372" t="s">
        <v>886</v>
      </c>
      <c r="C40" s="365">
        <v>21327</v>
      </c>
      <c r="D40" s="365">
        <v>17000</v>
      </c>
      <c r="E40" s="368">
        <v>22000</v>
      </c>
      <c r="F40" s="366">
        <v>22000</v>
      </c>
    </row>
    <row r="41" spans="2:6" ht="15">
      <c r="B41" s="372" t="s">
        <v>887</v>
      </c>
      <c r="C41" s="365">
        <v>0</v>
      </c>
      <c r="D41" s="365">
        <v>0</v>
      </c>
      <c r="E41" s="368">
        <v>0</v>
      </c>
      <c r="F41" s="366">
        <v>0</v>
      </c>
    </row>
    <row r="42" spans="2:6" ht="15">
      <c r="B42" s="372" t="s">
        <v>888</v>
      </c>
      <c r="C42" s="365">
        <v>7370</v>
      </c>
      <c r="D42" s="365">
        <v>4500</v>
      </c>
      <c r="E42" s="368">
        <v>6000</v>
      </c>
      <c r="F42" s="366">
        <v>6000</v>
      </c>
    </row>
    <row r="43" spans="2:6" ht="15">
      <c r="B43" s="372" t="s">
        <v>889</v>
      </c>
      <c r="C43" s="365">
        <v>68150</v>
      </c>
      <c r="D43" s="365">
        <v>75000</v>
      </c>
      <c r="E43" s="368">
        <v>68000</v>
      </c>
      <c r="F43" s="366">
        <v>68000</v>
      </c>
    </row>
    <row r="44" spans="2:6" ht="15">
      <c r="B44" s="372" t="s">
        <v>890</v>
      </c>
      <c r="C44" s="365">
        <v>25685</v>
      </c>
      <c r="D44" s="365">
        <v>22000</v>
      </c>
      <c r="E44" s="368">
        <v>25000</v>
      </c>
      <c r="F44" s="366">
        <v>25000</v>
      </c>
    </row>
    <row r="45" spans="2:6" ht="15">
      <c r="B45" s="372" t="s">
        <v>891</v>
      </c>
      <c r="C45" s="365">
        <v>61645</v>
      </c>
      <c r="D45" s="365">
        <v>75000</v>
      </c>
      <c r="E45" s="368">
        <v>75000</v>
      </c>
      <c r="F45" s="366">
        <v>75000</v>
      </c>
    </row>
    <row r="46" spans="2:6" ht="15">
      <c r="B46" s="372" t="s">
        <v>892</v>
      </c>
      <c r="C46" s="365">
        <v>99135</v>
      </c>
      <c r="D46" s="365">
        <v>140000</v>
      </c>
      <c r="E46" s="368">
        <v>100000</v>
      </c>
      <c r="F46" s="366">
        <v>100000</v>
      </c>
    </row>
    <row r="47" spans="2:6" ht="15">
      <c r="B47" s="372" t="s">
        <v>893</v>
      </c>
      <c r="C47" s="365">
        <v>1600</v>
      </c>
      <c r="D47" s="365">
        <v>2000</v>
      </c>
      <c r="E47" s="368">
        <v>2500</v>
      </c>
      <c r="F47" s="366">
        <v>2500</v>
      </c>
    </row>
    <row r="48" spans="2:6" ht="15">
      <c r="B48" s="372" t="s">
        <v>894</v>
      </c>
      <c r="C48" s="365">
        <v>598503</v>
      </c>
      <c r="D48" s="365">
        <v>580000</v>
      </c>
      <c r="E48" s="368">
        <v>600000</v>
      </c>
      <c r="F48" s="366">
        <v>600000</v>
      </c>
    </row>
    <row r="49" spans="2:6" ht="15">
      <c r="B49" s="372" t="s">
        <v>895</v>
      </c>
      <c r="C49" s="365">
        <v>1200</v>
      </c>
      <c r="D49" s="365">
        <v>1000</v>
      </c>
      <c r="E49" s="365">
        <v>1000</v>
      </c>
      <c r="F49" s="366">
        <v>1000</v>
      </c>
    </row>
    <row r="50" spans="2:6" ht="15">
      <c r="B50" s="372" t="s">
        <v>896</v>
      </c>
      <c r="C50" s="365">
        <v>19092</v>
      </c>
      <c r="D50" s="365">
        <v>15000</v>
      </c>
      <c r="E50" s="365">
        <v>15000</v>
      </c>
      <c r="F50" s="366">
        <v>15000</v>
      </c>
    </row>
    <row r="51" spans="2:6" ht="15">
      <c r="B51" s="372" t="s">
        <v>897</v>
      </c>
      <c r="C51" s="365">
        <v>264562</v>
      </c>
      <c r="D51" s="365">
        <v>147000</v>
      </c>
      <c r="E51" s="368">
        <v>300000</v>
      </c>
      <c r="F51" s="366">
        <v>225000</v>
      </c>
    </row>
    <row r="52" spans="2:6" ht="15">
      <c r="B52" s="372" t="s">
        <v>898</v>
      </c>
      <c r="C52" s="365">
        <v>75</v>
      </c>
      <c r="D52" s="365">
        <v>200</v>
      </c>
      <c r="E52" s="368">
        <v>100</v>
      </c>
      <c r="F52" s="366">
        <v>100</v>
      </c>
    </row>
    <row r="53" spans="2:6" ht="15">
      <c r="B53" s="372" t="s">
        <v>899</v>
      </c>
      <c r="C53" s="365">
        <v>9275</v>
      </c>
      <c r="D53" s="365">
        <v>12000</v>
      </c>
      <c r="E53" s="368">
        <v>10000</v>
      </c>
      <c r="F53" s="366">
        <v>10000</v>
      </c>
    </row>
    <row r="54" spans="2:6" ht="15">
      <c r="B54" s="372" t="s">
        <v>900</v>
      </c>
      <c r="C54" s="365">
        <v>9527</v>
      </c>
      <c r="D54" s="365">
        <v>8000</v>
      </c>
      <c r="E54" s="368">
        <v>8000</v>
      </c>
      <c r="F54" s="366">
        <v>8000</v>
      </c>
    </row>
    <row r="55" spans="2:6" ht="15">
      <c r="B55" s="372" t="s">
        <v>901</v>
      </c>
      <c r="C55" s="365">
        <v>1850</v>
      </c>
      <c r="D55" s="365">
        <v>2500</v>
      </c>
      <c r="E55" s="368">
        <v>2000</v>
      </c>
      <c r="F55" s="366">
        <v>2000</v>
      </c>
    </row>
    <row r="56" spans="2:6" ht="15">
      <c r="B56" s="372" t="s">
        <v>902</v>
      </c>
      <c r="C56" s="365">
        <v>9905</v>
      </c>
      <c r="D56" s="365">
        <v>10000</v>
      </c>
      <c r="E56" s="368">
        <v>10000</v>
      </c>
      <c r="F56" s="366">
        <v>10000</v>
      </c>
    </row>
    <row r="57" spans="2:6" ht="15">
      <c r="B57" s="372" t="s">
        <v>903</v>
      </c>
      <c r="C57" s="365">
        <v>2305</v>
      </c>
      <c r="D57" s="365">
        <v>1200</v>
      </c>
      <c r="E57" s="368">
        <v>1200</v>
      </c>
      <c r="F57" s="366">
        <v>1200</v>
      </c>
    </row>
    <row r="58" spans="2:6" ht="15">
      <c r="B58" s="372" t="s">
        <v>904</v>
      </c>
      <c r="C58" s="365">
        <v>69850</v>
      </c>
      <c r="D58" s="365">
        <v>72000</v>
      </c>
      <c r="E58" s="368">
        <v>70000</v>
      </c>
      <c r="F58" s="366">
        <v>70000</v>
      </c>
    </row>
    <row r="59" spans="2:6" ht="15">
      <c r="B59" s="372" t="s">
        <v>905</v>
      </c>
      <c r="C59" s="365">
        <v>0</v>
      </c>
      <c r="D59" s="365">
        <v>25400</v>
      </c>
      <c r="E59" s="368">
        <v>0</v>
      </c>
      <c r="F59" s="366">
        <v>0</v>
      </c>
    </row>
    <row r="60" spans="2:6" ht="15">
      <c r="B60" s="372" t="s">
        <v>906</v>
      </c>
      <c r="C60" s="365">
        <v>30000</v>
      </c>
      <c r="D60" s="365">
        <v>5893</v>
      </c>
      <c r="E60" s="368">
        <v>7000</v>
      </c>
      <c r="F60" s="366">
        <v>7000</v>
      </c>
    </row>
    <row r="61" spans="2:6" ht="15">
      <c r="B61" s="372" t="s">
        <v>907</v>
      </c>
      <c r="C61" s="365">
        <v>188358</v>
      </c>
      <c r="D61" s="365">
        <v>188000</v>
      </c>
      <c r="E61" s="368">
        <v>188000</v>
      </c>
      <c r="F61" s="366">
        <v>188000</v>
      </c>
    </row>
    <row r="62" spans="2:6" ht="15">
      <c r="B62" s="372" t="s">
        <v>908</v>
      </c>
      <c r="C62" s="365">
        <v>468080</v>
      </c>
      <c r="D62" s="365">
        <v>475000</v>
      </c>
      <c r="E62" s="368">
        <v>475000</v>
      </c>
      <c r="F62" s="366">
        <v>475000</v>
      </c>
    </row>
    <row r="63" spans="2:6" ht="15">
      <c r="B63" s="372" t="s">
        <v>909</v>
      </c>
      <c r="C63" s="365">
        <v>108750</v>
      </c>
      <c r="D63" s="365">
        <v>20000</v>
      </c>
      <c r="E63" s="368">
        <v>20000</v>
      </c>
      <c r="F63" s="366">
        <v>20000</v>
      </c>
    </row>
    <row r="64" spans="2:6" ht="15">
      <c r="B64" s="372" t="s">
        <v>910</v>
      </c>
      <c r="C64" s="365">
        <v>398388</v>
      </c>
      <c r="D64" s="365">
        <v>400000</v>
      </c>
      <c r="E64" s="368">
        <v>375000</v>
      </c>
      <c r="F64" s="366">
        <v>375000</v>
      </c>
    </row>
    <row r="65" spans="2:6" ht="15">
      <c r="B65" s="372" t="s">
        <v>911</v>
      </c>
      <c r="C65" s="365">
        <v>560</v>
      </c>
      <c r="D65" s="365">
        <v>600</v>
      </c>
      <c r="E65" s="368">
        <v>600</v>
      </c>
      <c r="F65" s="366">
        <v>600</v>
      </c>
    </row>
    <row r="66" spans="2:6" ht="15">
      <c r="B66" s="372" t="s">
        <v>912</v>
      </c>
      <c r="C66" s="365">
        <v>10090</v>
      </c>
      <c r="D66" s="365">
        <v>10000</v>
      </c>
      <c r="E66" s="368">
        <v>10000</v>
      </c>
      <c r="F66" s="366">
        <v>10000</v>
      </c>
    </row>
    <row r="67" spans="2:6" ht="15">
      <c r="B67" s="372" t="s">
        <v>913</v>
      </c>
      <c r="C67" s="365">
        <v>17580</v>
      </c>
      <c r="D67" s="365">
        <v>16000</v>
      </c>
      <c r="E67" s="368">
        <v>16000</v>
      </c>
      <c r="F67" s="366">
        <v>16000</v>
      </c>
    </row>
    <row r="68" spans="2:6" ht="15">
      <c r="B68" s="372" t="s">
        <v>914</v>
      </c>
      <c r="C68" s="365">
        <v>82946</v>
      </c>
      <c r="D68" s="365">
        <v>90000</v>
      </c>
      <c r="E68" s="368">
        <v>90000</v>
      </c>
      <c r="F68" s="366">
        <v>90000</v>
      </c>
    </row>
    <row r="69" spans="2:6" ht="15">
      <c r="B69" s="372" t="s">
        <v>915</v>
      </c>
      <c r="C69" s="365">
        <v>48180</v>
      </c>
      <c r="D69" s="365">
        <v>52000</v>
      </c>
      <c r="E69" s="368">
        <v>50000</v>
      </c>
      <c r="F69" s="366">
        <v>50000</v>
      </c>
    </row>
    <row r="70" spans="2:6" ht="15">
      <c r="B70" s="372" t="s">
        <v>916</v>
      </c>
      <c r="C70" s="365">
        <v>408</v>
      </c>
      <c r="D70" s="365">
        <v>700</v>
      </c>
      <c r="E70" s="368">
        <v>700</v>
      </c>
      <c r="F70" s="663">
        <v>700</v>
      </c>
    </row>
    <row r="71" spans="2:6" ht="15">
      <c r="B71" s="372" t="s">
        <v>917</v>
      </c>
      <c r="C71" s="365">
        <v>13321</v>
      </c>
      <c r="D71" s="365">
        <v>13000</v>
      </c>
      <c r="E71" s="368">
        <v>15000</v>
      </c>
      <c r="F71" s="366">
        <v>15000</v>
      </c>
    </row>
    <row r="72" spans="2:6" ht="15">
      <c r="B72" s="372" t="s">
        <v>918</v>
      </c>
      <c r="C72" s="365">
        <v>2113</v>
      </c>
      <c r="D72" s="365">
        <v>2500</v>
      </c>
      <c r="E72" s="368">
        <v>2000</v>
      </c>
      <c r="F72" s="366">
        <v>2000</v>
      </c>
    </row>
    <row r="73" spans="2:6" ht="15">
      <c r="B73" s="372" t="s">
        <v>919</v>
      </c>
      <c r="C73" s="365">
        <v>25015</v>
      </c>
      <c r="D73" s="365">
        <v>25000</v>
      </c>
      <c r="E73" s="368">
        <v>24000</v>
      </c>
      <c r="F73" s="366">
        <v>24000</v>
      </c>
    </row>
    <row r="74" spans="2:6" ht="15">
      <c r="B74" s="372" t="s">
        <v>920</v>
      </c>
      <c r="C74" s="365">
        <v>37258</v>
      </c>
      <c r="D74" s="365">
        <v>38000</v>
      </c>
      <c r="E74" s="368">
        <v>38000</v>
      </c>
      <c r="F74" s="366">
        <v>38000</v>
      </c>
    </row>
    <row r="75" spans="2:6" ht="15">
      <c r="B75" s="372" t="s">
        <v>921</v>
      </c>
      <c r="C75" s="365">
        <v>7625</v>
      </c>
      <c r="D75" s="365">
        <v>10000</v>
      </c>
      <c r="E75" s="368">
        <v>6000</v>
      </c>
      <c r="F75" s="366">
        <v>6000</v>
      </c>
    </row>
    <row r="76" spans="2:6" ht="15">
      <c r="B76" s="372" t="s">
        <v>922</v>
      </c>
      <c r="C76" s="365">
        <v>149633</v>
      </c>
      <c r="D76" s="365">
        <v>150000</v>
      </c>
      <c r="E76" s="368">
        <v>155000</v>
      </c>
      <c r="F76" s="366">
        <v>155000</v>
      </c>
    </row>
    <row r="77" spans="2:6" ht="15">
      <c r="B77" s="372" t="s">
        <v>923</v>
      </c>
      <c r="C77" s="365">
        <v>80472</v>
      </c>
      <c r="D77" s="365">
        <v>85000</v>
      </c>
      <c r="E77" s="368">
        <v>85000</v>
      </c>
      <c r="F77" s="366">
        <v>85000</v>
      </c>
    </row>
    <row r="78" spans="2:6" ht="15">
      <c r="B78" s="372" t="s">
        <v>924</v>
      </c>
      <c r="C78" s="365">
        <v>376628</v>
      </c>
      <c r="D78" s="365">
        <v>360000</v>
      </c>
      <c r="E78" s="368">
        <v>300000</v>
      </c>
      <c r="F78" s="366">
        <v>300000</v>
      </c>
    </row>
    <row r="79" spans="2:6" ht="15">
      <c r="B79" s="372" t="s">
        <v>925</v>
      </c>
      <c r="C79" s="365">
        <v>1986</v>
      </c>
      <c r="D79" s="365">
        <v>1600</v>
      </c>
      <c r="E79" s="368">
        <v>1000</v>
      </c>
      <c r="F79" s="366">
        <v>1000</v>
      </c>
    </row>
    <row r="80" spans="2:6" ht="15">
      <c r="B80" s="372" t="s">
        <v>926</v>
      </c>
      <c r="C80" s="365">
        <v>55868</v>
      </c>
      <c r="D80" s="365">
        <v>56000</v>
      </c>
      <c r="E80" s="368">
        <v>60000</v>
      </c>
      <c r="F80" s="366">
        <v>60000</v>
      </c>
    </row>
    <row r="81" spans="2:6" ht="15">
      <c r="B81" s="372" t="s">
        <v>927</v>
      </c>
      <c r="C81" s="365">
        <v>72543</v>
      </c>
      <c r="D81" s="365">
        <v>70000</v>
      </c>
      <c r="E81" s="368">
        <v>50000</v>
      </c>
      <c r="F81" s="366">
        <v>50000</v>
      </c>
    </row>
    <row r="82" spans="2:6" ht="15">
      <c r="B82" s="372" t="s">
        <v>928</v>
      </c>
      <c r="C82" s="365">
        <v>1175</v>
      </c>
      <c r="D82" s="365">
        <v>1200</v>
      </c>
      <c r="E82" s="368">
        <v>1200</v>
      </c>
      <c r="F82" s="366">
        <v>1200</v>
      </c>
    </row>
    <row r="83" spans="2:6" ht="15">
      <c r="B83" s="372" t="s">
        <v>929</v>
      </c>
      <c r="C83" s="365">
        <v>6554842</v>
      </c>
      <c r="D83" s="365">
        <v>7030000</v>
      </c>
      <c r="E83" s="368">
        <v>6930000</v>
      </c>
      <c r="F83" s="366">
        <v>6930000</v>
      </c>
    </row>
    <row r="84" spans="2:6" ht="15">
      <c r="B84" s="372" t="s">
        <v>930</v>
      </c>
      <c r="C84" s="365">
        <v>41316</v>
      </c>
      <c r="D84" s="365">
        <v>60000</v>
      </c>
      <c r="E84" s="368">
        <v>60000</v>
      </c>
      <c r="F84" s="366">
        <v>60000</v>
      </c>
    </row>
    <row r="85" spans="2:6" ht="15">
      <c r="B85" s="372" t="s">
        <v>931</v>
      </c>
      <c r="C85" s="365">
        <v>44780</v>
      </c>
      <c r="D85" s="365">
        <v>50000</v>
      </c>
      <c r="E85" s="368">
        <v>45000</v>
      </c>
      <c r="F85" s="366">
        <v>45000</v>
      </c>
    </row>
    <row r="86" spans="2:6" ht="15">
      <c r="B86" s="372" t="s">
        <v>932</v>
      </c>
      <c r="C86" s="365">
        <v>601889</v>
      </c>
      <c r="D86" s="365">
        <v>247500</v>
      </c>
      <c r="E86" s="368">
        <v>400000</v>
      </c>
      <c r="F86" s="366">
        <v>400000</v>
      </c>
    </row>
    <row r="87" spans="2:6" ht="15">
      <c r="B87" s="372" t="s">
        <v>933</v>
      </c>
      <c r="C87" s="365">
        <v>1287303</v>
      </c>
      <c r="D87" s="365">
        <v>900000</v>
      </c>
      <c r="E87" s="368">
        <v>1000000</v>
      </c>
      <c r="F87" s="366">
        <v>1000000</v>
      </c>
    </row>
    <row r="88" spans="2:6" ht="15">
      <c r="B88" s="372" t="s">
        <v>934</v>
      </c>
      <c r="C88" s="365">
        <v>5040071</v>
      </c>
      <c r="D88" s="365">
        <v>5100000</v>
      </c>
      <c r="E88" s="368">
        <v>5000000</v>
      </c>
      <c r="F88" s="366">
        <v>5000000</v>
      </c>
    </row>
    <row r="89" spans="2:6" ht="15">
      <c r="B89" s="372" t="s">
        <v>935</v>
      </c>
      <c r="C89" s="365">
        <v>115802</v>
      </c>
      <c r="D89" s="365">
        <v>110000</v>
      </c>
      <c r="E89" s="368">
        <v>110000</v>
      </c>
      <c r="F89" s="366">
        <v>110000</v>
      </c>
    </row>
    <row r="90" spans="2:6" ht="15">
      <c r="B90" s="372" t="s">
        <v>936</v>
      </c>
      <c r="C90" s="365">
        <v>0</v>
      </c>
      <c r="D90" s="365">
        <v>100</v>
      </c>
      <c r="E90" s="368">
        <v>100</v>
      </c>
      <c r="F90" s="366">
        <v>100</v>
      </c>
    </row>
    <row r="91" spans="2:6" ht="15">
      <c r="B91" s="372" t="s">
        <v>937</v>
      </c>
      <c r="C91" s="365">
        <v>14555</v>
      </c>
      <c r="D91" s="365">
        <v>16000</v>
      </c>
      <c r="E91" s="368">
        <v>15000</v>
      </c>
      <c r="F91" s="366">
        <v>15000</v>
      </c>
    </row>
    <row r="92" spans="2:6" ht="15">
      <c r="B92" s="372" t="s">
        <v>938</v>
      </c>
      <c r="C92" s="365">
        <v>10289</v>
      </c>
      <c r="D92" s="365">
        <v>15000</v>
      </c>
      <c r="E92" s="368">
        <v>10000</v>
      </c>
      <c r="F92" s="366">
        <v>10000</v>
      </c>
    </row>
    <row r="93" spans="2:6" ht="15">
      <c r="B93" s="372" t="s">
        <v>939</v>
      </c>
      <c r="C93" s="365">
        <v>43262</v>
      </c>
      <c r="D93" s="365">
        <v>35000</v>
      </c>
      <c r="E93" s="368">
        <v>40000</v>
      </c>
      <c r="F93" s="366">
        <v>40000</v>
      </c>
    </row>
    <row r="94" spans="2:6" ht="15">
      <c r="B94" s="372" t="s">
        <v>940</v>
      </c>
      <c r="C94" s="365">
        <v>49530</v>
      </c>
      <c r="D94" s="365">
        <v>0</v>
      </c>
      <c r="E94" s="368">
        <v>18200</v>
      </c>
      <c r="F94" s="366">
        <v>18200</v>
      </c>
    </row>
    <row r="95" spans="2:6" ht="15">
      <c r="B95" s="372" t="s">
        <v>154</v>
      </c>
      <c r="C95" s="365">
        <v>132961</v>
      </c>
      <c r="D95" s="365">
        <v>137600</v>
      </c>
      <c r="E95" s="368">
        <v>168100</v>
      </c>
      <c r="F95" s="366">
        <v>168100</v>
      </c>
    </row>
    <row r="96" spans="2:6" ht="15">
      <c r="B96" s="372" t="s">
        <v>941</v>
      </c>
      <c r="C96" s="365">
        <v>19800</v>
      </c>
      <c r="D96" s="365">
        <v>19800</v>
      </c>
      <c r="E96" s="368">
        <v>19800</v>
      </c>
      <c r="F96" s="370">
        <v>19800</v>
      </c>
    </row>
    <row r="97" spans="2:6" ht="15">
      <c r="B97" s="372" t="s">
        <v>942</v>
      </c>
      <c r="C97" s="365">
        <v>0</v>
      </c>
      <c r="D97" s="365">
        <v>545454</v>
      </c>
      <c r="E97" s="368">
        <v>68000</v>
      </c>
      <c r="F97" s="370">
        <v>18000</v>
      </c>
    </row>
    <row r="98" spans="2:6" ht="15">
      <c r="B98" s="372" t="s">
        <v>943</v>
      </c>
      <c r="C98" s="365">
        <v>0</v>
      </c>
      <c r="D98" s="365">
        <v>0</v>
      </c>
      <c r="E98" s="368">
        <v>0</v>
      </c>
      <c r="F98" s="370">
        <v>0</v>
      </c>
    </row>
    <row r="99" spans="2:6" ht="15">
      <c r="B99" s="372" t="s">
        <v>944</v>
      </c>
      <c r="C99" s="365">
        <v>1978909</v>
      </c>
      <c r="D99" s="365">
        <v>2014692</v>
      </c>
      <c r="E99" s="368">
        <v>2014692</v>
      </c>
      <c r="F99" s="370">
        <v>335782</v>
      </c>
    </row>
    <row r="100" spans="2:6" ht="15">
      <c r="B100" s="372" t="s">
        <v>945</v>
      </c>
      <c r="C100" s="365">
        <v>35348</v>
      </c>
      <c r="D100" s="365">
        <v>150000</v>
      </c>
      <c r="E100" s="368">
        <v>50000</v>
      </c>
      <c r="F100" s="370">
        <v>50000</v>
      </c>
    </row>
    <row r="101" spans="2:6" ht="15">
      <c r="B101" s="372" t="s">
        <v>946</v>
      </c>
      <c r="C101" s="365">
        <v>647858</v>
      </c>
      <c r="D101" s="365">
        <v>881972</v>
      </c>
      <c r="E101" s="368">
        <v>1105184</v>
      </c>
      <c r="F101" s="370">
        <v>870771</v>
      </c>
    </row>
    <row r="102" spans="2:6" ht="15">
      <c r="B102" s="372" t="s">
        <v>947</v>
      </c>
      <c r="C102" s="365">
        <v>120</v>
      </c>
      <c r="D102" s="365">
        <v>200</v>
      </c>
      <c r="E102" s="368">
        <v>200</v>
      </c>
      <c r="F102" s="370">
        <v>200</v>
      </c>
    </row>
    <row r="103" spans="2:6" ht="15">
      <c r="B103" s="372" t="s">
        <v>948</v>
      </c>
      <c r="C103" s="365">
        <v>8000</v>
      </c>
      <c r="D103" s="365">
        <v>12000</v>
      </c>
      <c r="E103" s="368">
        <v>12000</v>
      </c>
      <c r="F103" s="370">
        <v>12000</v>
      </c>
    </row>
    <row r="104" spans="2:6" ht="15">
      <c r="B104" s="372" t="s">
        <v>949</v>
      </c>
      <c r="C104" s="365">
        <v>9894</v>
      </c>
      <c r="D104" s="365">
        <v>15000</v>
      </c>
      <c r="E104" s="368">
        <v>15000</v>
      </c>
      <c r="F104" s="370">
        <v>15000</v>
      </c>
    </row>
    <row r="105" spans="2:6" ht="15">
      <c r="B105" s="372" t="s">
        <v>950</v>
      </c>
      <c r="C105" s="365">
        <v>27330</v>
      </c>
      <c r="D105" s="365">
        <v>0</v>
      </c>
      <c r="E105" s="368">
        <v>15000</v>
      </c>
      <c r="F105" s="370">
        <v>15000</v>
      </c>
    </row>
    <row r="106" spans="2:6" ht="15">
      <c r="B106" s="372" t="s">
        <v>951</v>
      </c>
      <c r="C106" s="365">
        <v>372566</v>
      </c>
      <c r="D106" s="365">
        <v>294000</v>
      </c>
      <c r="E106" s="368">
        <v>294000</v>
      </c>
      <c r="F106" s="370">
        <v>294000</v>
      </c>
    </row>
    <row r="107" spans="2:6" ht="15">
      <c r="B107" s="372" t="s">
        <v>1119</v>
      </c>
      <c r="C107" s="365">
        <v>17366</v>
      </c>
      <c r="D107" s="365">
        <v>0</v>
      </c>
      <c r="E107" s="368">
        <v>3500</v>
      </c>
      <c r="F107" s="370">
        <v>3500</v>
      </c>
    </row>
    <row r="108" spans="2:6" ht="15">
      <c r="B108" s="372" t="s">
        <v>952</v>
      </c>
      <c r="C108" s="365">
        <v>102660</v>
      </c>
      <c r="D108" s="365">
        <v>100000</v>
      </c>
      <c r="E108" s="368">
        <v>100000</v>
      </c>
      <c r="F108" s="370">
        <v>100000</v>
      </c>
    </row>
    <row r="109" spans="2:6" ht="15">
      <c r="B109" s="372" t="s">
        <v>953</v>
      </c>
      <c r="C109" s="365">
        <v>35</v>
      </c>
      <c r="D109" s="365">
        <v>1000</v>
      </c>
      <c r="E109" s="368">
        <v>1000</v>
      </c>
      <c r="F109" s="370">
        <v>1000</v>
      </c>
    </row>
    <row r="110" spans="2:6" ht="15">
      <c r="B110" s="372" t="s">
        <v>954</v>
      </c>
      <c r="C110" s="365">
        <v>23037</v>
      </c>
      <c r="D110" s="365">
        <v>25000</v>
      </c>
      <c r="E110" s="368">
        <v>25000</v>
      </c>
      <c r="F110" s="370">
        <v>25000</v>
      </c>
    </row>
    <row r="111" spans="2:6" ht="15">
      <c r="B111" s="372" t="s">
        <v>955</v>
      </c>
      <c r="C111" s="365">
        <v>146209</v>
      </c>
      <c r="D111" s="365">
        <v>145000</v>
      </c>
      <c r="E111" s="365">
        <v>145000</v>
      </c>
      <c r="F111" s="370">
        <v>145000</v>
      </c>
    </row>
    <row r="112" spans="2:6" ht="15">
      <c r="B112" s="372" t="s">
        <v>956</v>
      </c>
      <c r="C112" s="365">
        <v>4072</v>
      </c>
      <c r="D112" s="365">
        <v>125000</v>
      </c>
      <c r="E112" s="365">
        <v>125000</v>
      </c>
      <c r="F112" s="370">
        <v>125000</v>
      </c>
    </row>
    <row r="113" spans="2:6" ht="15">
      <c r="B113" s="372" t="s">
        <v>957</v>
      </c>
      <c r="C113" s="365">
        <v>0</v>
      </c>
      <c r="D113" s="365">
        <v>0</v>
      </c>
      <c r="E113" s="368">
        <v>0</v>
      </c>
      <c r="F113" s="370">
        <v>0</v>
      </c>
    </row>
    <row r="114" spans="2:6" ht="15">
      <c r="B114" s="372" t="s">
        <v>958</v>
      </c>
      <c r="C114" s="365">
        <v>592888</v>
      </c>
      <c r="D114" s="365">
        <v>0</v>
      </c>
      <c r="E114" s="368">
        <v>555455</v>
      </c>
      <c r="F114" s="370">
        <v>545455</v>
      </c>
    </row>
    <row r="115" spans="2:6" ht="15">
      <c r="B115" s="372" t="s">
        <v>959</v>
      </c>
      <c r="C115" s="365">
        <v>135428</v>
      </c>
      <c r="D115" s="365">
        <v>25000</v>
      </c>
      <c r="E115" s="368">
        <v>25000</v>
      </c>
      <c r="F115" s="370">
        <v>15000</v>
      </c>
    </row>
    <row r="116" spans="2:6" ht="15">
      <c r="B116" s="372" t="s">
        <v>960</v>
      </c>
      <c r="C116" s="365">
        <v>2606000</v>
      </c>
      <c r="D116" s="365">
        <v>2606000</v>
      </c>
      <c r="E116" s="368">
        <v>2606000</v>
      </c>
      <c r="F116" s="370">
        <v>2256000</v>
      </c>
    </row>
    <row r="117" spans="2:6" ht="15">
      <c r="B117" s="365" t="s">
        <v>16</v>
      </c>
      <c r="C117" s="365">
        <v>0</v>
      </c>
      <c r="D117" s="365">
        <v>0</v>
      </c>
      <c r="E117" s="365">
        <v>0</v>
      </c>
      <c r="F117" s="370">
        <v>0</v>
      </c>
    </row>
    <row r="118" spans="2:6" ht="15">
      <c r="B118" s="360" t="s">
        <v>804</v>
      </c>
      <c r="C118" s="385">
        <f>IF(C119*0.1&lt;C117,"Exceed 10% Rule","")</f>
      </c>
      <c r="D118" s="385" t="s">
        <v>666</v>
      </c>
      <c r="E118" s="385">
        <f>IF(E119*0.1&lt;E117,"Exceed 10% Rule","")</f>
      </c>
      <c r="F118" s="386">
        <f>IF(F119*0.1+F138&lt;F117,"Exceed 10% Rule","")</f>
      </c>
    </row>
    <row r="119" spans="2:6" ht="15.75">
      <c r="B119" s="373" t="s">
        <v>111</v>
      </c>
      <c r="C119" s="374">
        <f>SUM(C9:C117)</f>
        <v>115209605</v>
      </c>
      <c r="D119" s="374">
        <f>SUM(D9:D117)</f>
        <v>115190629.01999998</v>
      </c>
      <c r="E119" s="374">
        <f>SUM(E9:E117)</f>
        <v>114872321</v>
      </c>
      <c r="F119" s="375">
        <f>SUM(F9:F117)</f>
        <v>92139682</v>
      </c>
    </row>
    <row r="120" spans="2:8" ht="15.75">
      <c r="B120" s="373" t="s">
        <v>112</v>
      </c>
      <c r="C120" s="374">
        <f>C7+C119</f>
        <v>116970769</v>
      </c>
      <c r="D120" s="374">
        <f>D7+D119</f>
        <v>115281415.01999998</v>
      </c>
      <c r="E120" s="374">
        <f>E7+E119</f>
        <v>115492149</v>
      </c>
      <c r="F120" s="375">
        <f>F7+F119</f>
        <v>92955533</v>
      </c>
      <c r="H120" s="644"/>
    </row>
    <row r="121" spans="2:6" ht="15">
      <c r="B121" s="364" t="s">
        <v>113</v>
      </c>
      <c r="C121" s="365"/>
      <c r="D121" s="365"/>
      <c r="E121" s="365"/>
      <c r="F121" s="366"/>
    </row>
    <row r="122" spans="2:7" ht="15">
      <c r="B122" s="384" t="s">
        <v>962</v>
      </c>
      <c r="C122" s="365">
        <v>89913035</v>
      </c>
      <c r="D122" s="365">
        <v>86346362</v>
      </c>
      <c r="E122" s="362">
        <v>86613939</v>
      </c>
      <c r="F122" s="363">
        <v>89515888</v>
      </c>
      <c r="G122" s="309"/>
    </row>
    <row r="123" spans="2:7" ht="15">
      <c r="B123" s="384" t="s">
        <v>963</v>
      </c>
      <c r="C123" s="365">
        <v>13873640</v>
      </c>
      <c r="D123" s="365">
        <v>14883197</v>
      </c>
      <c r="E123" s="362">
        <v>15132156</v>
      </c>
      <c r="F123" s="363">
        <v>15592404</v>
      </c>
      <c r="G123" s="309"/>
    </row>
    <row r="124" spans="2:6" ht="15">
      <c r="B124" s="384" t="s">
        <v>964</v>
      </c>
      <c r="C124" s="365">
        <v>3979131</v>
      </c>
      <c r="D124" s="365">
        <v>4129562</v>
      </c>
      <c r="E124" s="362">
        <v>4191288</v>
      </c>
      <c r="F124" s="363">
        <v>4166330</v>
      </c>
    </row>
    <row r="125" spans="2:6" ht="15">
      <c r="B125" s="384" t="s">
        <v>965</v>
      </c>
      <c r="C125" s="365">
        <v>6287980</v>
      </c>
      <c r="D125" s="365">
        <v>4960442</v>
      </c>
      <c r="E125" s="362">
        <v>4886891</v>
      </c>
      <c r="F125" s="363">
        <v>4221891</v>
      </c>
    </row>
    <row r="126" spans="2:6" ht="15">
      <c r="B126" s="384" t="s">
        <v>966</v>
      </c>
      <c r="C126" s="365">
        <v>2091673</v>
      </c>
      <c r="D126" s="365">
        <v>2010359</v>
      </c>
      <c r="E126" s="362">
        <f>2390738+75000</f>
        <v>2465738</v>
      </c>
      <c r="F126" s="363">
        <f>2191236+571000-120000+200000</f>
        <v>2842236</v>
      </c>
    </row>
    <row r="127" spans="2:6" ht="15">
      <c r="B127" s="384" t="s">
        <v>968</v>
      </c>
      <c r="C127" s="365">
        <f>GenDetail!B56</f>
        <v>0</v>
      </c>
      <c r="D127" s="365">
        <v>400000</v>
      </c>
      <c r="E127" s="362">
        <f>GenDetail!C56</f>
        <v>0</v>
      </c>
      <c r="F127" s="363">
        <f>GenDetail!D56</f>
        <v>0</v>
      </c>
    </row>
    <row r="128" spans="2:6" ht="15">
      <c r="B128" s="384" t="s">
        <v>47</v>
      </c>
      <c r="C128" s="365">
        <v>134625</v>
      </c>
      <c r="D128" s="365">
        <v>245029</v>
      </c>
      <c r="E128" s="362">
        <f>363791-30000</f>
        <v>333791</v>
      </c>
      <c r="F128" s="363">
        <f>381152-40000</f>
        <v>341152</v>
      </c>
    </row>
    <row r="129" spans="2:6" ht="15">
      <c r="B129" s="377" t="s">
        <v>16</v>
      </c>
      <c r="C129" s="365">
        <v>70857</v>
      </c>
      <c r="D129" s="365">
        <v>502495</v>
      </c>
      <c r="E129" s="368">
        <f>342495+710000</f>
        <v>1052495</v>
      </c>
      <c r="F129" s="370">
        <f>277418+630000</f>
        <v>907418</v>
      </c>
    </row>
    <row r="130" spans="2:11" ht="15">
      <c r="B130" s="377" t="s">
        <v>805</v>
      </c>
      <c r="C130" s="385">
        <f>IF(C131*0.1&lt;C129,"Exceed 10% Rule","")</f>
      </c>
      <c r="D130" s="385"/>
      <c r="E130" s="385">
        <f>IF(E131*0.1&lt;E129,"Exceed 10% Rule","")</f>
      </c>
      <c r="F130" s="386">
        <f>IF(F131*0.1&lt;F129,"Exceed 10% Rule","")</f>
      </c>
      <c r="H130" s="714" t="str">
        <f>CONCATENATE("Projected Carryover Into ",F1+1,"")</f>
        <v>Projected Carryover Into 2013</v>
      </c>
      <c r="I130" s="715"/>
      <c r="J130" s="715"/>
      <c r="K130" s="716"/>
    </row>
    <row r="131" spans="2:11" ht="15.75">
      <c r="B131" s="373" t="s">
        <v>117</v>
      </c>
      <c r="C131" s="374">
        <f>SUM(C122:C129)</f>
        <v>116350941</v>
      </c>
      <c r="D131" s="374">
        <f>SUM(D122:D129)</f>
        <v>113477446</v>
      </c>
      <c r="E131" s="374">
        <f>SUM(E122:E129)</f>
        <v>114676298</v>
      </c>
      <c r="F131" s="374">
        <f>SUM(F122:F129)</f>
        <v>117587319</v>
      </c>
      <c r="H131" s="310"/>
      <c r="I131" s="311"/>
      <c r="J131" s="311"/>
      <c r="K131" s="312"/>
    </row>
    <row r="132" spans="2:11" ht="15">
      <c r="B132" s="378" t="s">
        <v>224</v>
      </c>
      <c r="C132" s="362">
        <f>C120-C131</f>
        <v>619828</v>
      </c>
      <c r="D132" s="362">
        <f>D120-D131</f>
        <v>1803969.019999981</v>
      </c>
      <c r="E132" s="362">
        <f>E120-E131</f>
        <v>815851</v>
      </c>
      <c r="F132" s="369" t="s">
        <v>95</v>
      </c>
      <c r="H132" s="313">
        <f>E132</f>
        <v>815851</v>
      </c>
      <c r="I132" s="314" t="str">
        <f>CONCATENATE("",F1-1," Ending Cash Balance (est.)")</f>
        <v>2011 Ending Cash Balance (est.)</v>
      </c>
      <c r="J132" s="315"/>
      <c r="K132" s="312"/>
    </row>
    <row r="133" spans="2:11" ht="15">
      <c r="B133" s="350" t="str">
        <f>CONCATENATE("",F1-2,"/",F1-1," Budget Authority Amount:")</f>
        <v>2010/2011 Budget Authority Amount:</v>
      </c>
      <c r="C133" s="379">
        <f>inputOth!B50</f>
        <v>116766578</v>
      </c>
      <c r="D133" s="379"/>
      <c r="E133" s="379">
        <f>inputPrYr!D17</f>
        <v>114676298</v>
      </c>
      <c r="F133" s="369" t="s">
        <v>95</v>
      </c>
      <c r="G133" s="316"/>
      <c r="H133" s="313">
        <f>F119</f>
        <v>92139682</v>
      </c>
      <c r="I133" s="317" t="str">
        <f>CONCATENATE("",F1," Non-AV Receipts (est.)")</f>
        <v>2012 Non-AV Receipts (est.)</v>
      </c>
      <c r="J133" s="315"/>
      <c r="K133" s="312"/>
    </row>
    <row r="134" spans="2:11" ht="15">
      <c r="B134" s="350"/>
      <c r="C134" s="719" t="s">
        <v>664</v>
      </c>
      <c r="D134" s="719"/>
      <c r="E134" s="720"/>
      <c r="F134" s="370">
        <f>285000+437755</f>
        <v>722755</v>
      </c>
      <c r="G134" s="318">
        <f>IF(F131/0.95-F131&lt;F134,"Exceeds 5%","")</f>
      </c>
      <c r="H134" s="319">
        <f>F138</f>
        <v>27559284</v>
      </c>
      <c r="I134" s="317" t="str">
        <f>CONCATENATE("",F1," Ad Valorem Tax (est.)")</f>
        <v>2012 Ad Valorem Tax (est.)</v>
      </c>
      <c r="J134" s="315"/>
      <c r="K134" s="312"/>
    </row>
    <row r="135" spans="2:11" ht="15.75">
      <c r="B135" s="380" t="str">
        <f>CONCATENATE(C152,"     ",E152)</f>
        <v>     </v>
      </c>
      <c r="C135" s="721" t="s">
        <v>665</v>
      </c>
      <c r="D135" s="721"/>
      <c r="E135" s="722"/>
      <c r="F135" s="363">
        <f>F131+F134</f>
        <v>118310074</v>
      </c>
      <c r="H135" s="313">
        <f>SUM(H132:H134)</f>
        <v>120514817</v>
      </c>
      <c r="I135" s="317" t="str">
        <f>CONCATENATE("Total ",F1," Resources Available")</f>
        <v>Total 2012 Resources Available</v>
      </c>
      <c r="J135" s="315"/>
      <c r="K135" s="312"/>
    </row>
    <row r="136" spans="2:11" ht="15.75">
      <c r="B136" s="380" t="str">
        <f>CONCATENATE(C153,"     ",E153)</f>
        <v>     </v>
      </c>
      <c r="C136" s="381"/>
      <c r="D136" s="381"/>
      <c r="E136" s="348" t="s">
        <v>118</v>
      </c>
      <c r="F136" s="363">
        <f>IF(F135-F120&gt;0,F135-F120,0)</f>
        <v>25354541</v>
      </c>
      <c r="H136" s="320"/>
      <c r="I136" s="317"/>
      <c r="J136" s="317"/>
      <c r="K136" s="312"/>
    </row>
    <row r="137" spans="2:11" ht="15.75">
      <c r="B137" s="348"/>
      <c r="C137" s="381"/>
      <c r="D137" s="382" t="s">
        <v>663</v>
      </c>
      <c r="E137" s="383">
        <f>inputOth!$E$37</f>
        <v>0.08</v>
      </c>
      <c r="F137" s="455">
        <f>ROUND(IF(E137&gt;0,(F136/((100-(100*E137))*0.01)-F136),0),0)</f>
        <v>2204743</v>
      </c>
      <c r="H137" s="319">
        <f>C131*0.05+C131</f>
        <v>122168488.05</v>
      </c>
      <c r="I137" s="317" t="str">
        <f>CONCATENATE("Less ",F1-2," Expenditures + 5%")</f>
        <v>Less 2010 Expenditures + 5%</v>
      </c>
      <c r="J137" s="315"/>
      <c r="K137" s="312"/>
    </row>
    <row r="138" spans="2:11" ht="15">
      <c r="B138" s="346"/>
      <c r="C138" s="387"/>
      <c r="D138" s="389" t="str">
        <f>CONCATENATE("Amount of  ",$F$1-1," Ad Valorem Tax")</f>
        <v>Amount of  2011 Ad Valorem Tax</v>
      </c>
      <c r="E138" s="388"/>
      <c r="F138" s="363">
        <f>F136+F137</f>
        <v>27559284</v>
      </c>
      <c r="H138" s="321">
        <f>H135-H137</f>
        <v>-1653671.049999997</v>
      </c>
      <c r="I138" s="322" t="str">
        <f>CONCATENATE("Projected ",F1+1," Carryover (est.)")</f>
        <v>Projected 2013 Carryover (est.)</v>
      </c>
      <c r="J138" s="323"/>
      <c r="K138" s="324"/>
    </row>
    <row r="139" spans="2:11" ht="15">
      <c r="B139" s="346"/>
      <c r="C139" s="346"/>
      <c r="D139" s="346"/>
      <c r="E139" s="346"/>
      <c r="F139" s="346"/>
      <c r="H139" s="325"/>
      <c r="I139" s="325"/>
      <c r="J139" s="325"/>
      <c r="K139" s="325"/>
    </row>
    <row r="140" spans="2:11" ht="15.75">
      <c r="B140" s="718"/>
      <c r="C140" s="718"/>
      <c r="D140" s="718"/>
      <c r="E140" s="718"/>
      <c r="F140" s="718"/>
      <c r="H140" s="326">
        <f>IF(inputOth!E7=0,"",ROUND(general!F138/inputOth!E7*1000,3))</f>
      </c>
      <c r="I140" s="327" t="str">
        <f>CONCATENATE("Projected ",F1-1," Mill Rate (est.)")</f>
        <v>Projected 2011 Mill Rate (est.)</v>
      </c>
      <c r="J140" s="328"/>
      <c r="K140" s="329"/>
    </row>
    <row r="142" spans="2:11" ht="15">
      <c r="B142" s="330"/>
      <c r="H142" s="714" t="str">
        <f>CONCATENATE("Desired Carryover Into ",F1+1,"")</f>
        <v>Desired Carryover Into 2013</v>
      </c>
      <c r="I142" s="717"/>
      <c r="J142" s="717"/>
      <c r="K142" s="716"/>
    </row>
    <row r="143" spans="8:11" ht="15">
      <c r="H143" s="310"/>
      <c r="I143" s="311"/>
      <c r="J143" s="311"/>
      <c r="K143" s="312"/>
    </row>
    <row r="144" spans="8:11" ht="15">
      <c r="H144" s="331" t="s">
        <v>788</v>
      </c>
      <c r="I144" s="317"/>
      <c r="J144" s="317"/>
      <c r="K144" s="332">
        <v>0</v>
      </c>
    </row>
    <row r="145" spans="2:11" ht="15">
      <c r="B145" s="330"/>
      <c r="C145" s="330"/>
      <c r="D145" s="330"/>
      <c r="H145" s="333" t="s">
        <v>789</v>
      </c>
      <c r="I145" s="334"/>
      <c r="J145" s="335"/>
      <c r="K145" s="336">
        <f>IF(K144=0,"",ROUND((K144+F138-H138)/inputOth!E7*1000,3)-general!H140)</f>
      </c>
    </row>
    <row r="146" spans="8:11" ht="15">
      <c r="H146" s="337" t="str">
        <f>CONCATENATE("",F1," Total Expenditures Must Be:")</f>
        <v>2012 Total Expenditures Must Be:</v>
      </c>
      <c r="I146" s="338"/>
      <c r="J146" s="339"/>
      <c r="K146" s="340">
        <v>0</v>
      </c>
    </row>
    <row r="152" spans="3:5" ht="15" hidden="1">
      <c r="C152" s="341">
        <f>IF(C131&gt;C133,"See Tab A","")</f>
      </c>
      <c r="D152" s="341"/>
      <c r="E152" s="341">
        <f>IF(E131&gt;E133,"See Tab C","")</f>
      </c>
    </row>
    <row r="153" spans="3:5" ht="15" hidden="1">
      <c r="C153" s="341">
        <f>IF(C132&lt;0,"See Tab B","")</f>
      </c>
      <c r="D153" s="341"/>
      <c r="E153" s="341">
        <f>IF(E132&lt;0,"See Tab D","")</f>
      </c>
    </row>
  </sheetData>
  <sheetProtection/>
  <mergeCells count="5">
    <mergeCell ref="H130:K130"/>
    <mergeCell ref="H142:K142"/>
    <mergeCell ref="B140:F140"/>
    <mergeCell ref="C134:E134"/>
    <mergeCell ref="C135:E135"/>
  </mergeCells>
  <conditionalFormatting sqref="F129">
    <cfRule type="cellIs" priority="3" dxfId="114" operator="greaterThan" stopIfTrue="1">
      <formula>$F$131*0.1</formula>
    </cfRule>
  </conditionalFormatting>
  <conditionalFormatting sqref="F134">
    <cfRule type="cellIs" priority="4" dxfId="114" operator="greaterThan" stopIfTrue="1">
      <formula>$F$131/0.95-$F$131</formula>
    </cfRule>
  </conditionalFormatting>
  <conditionalFormatting sqref="C131:E131">
    <cfRule type="cellIs" priority="5" dxfId="1" operator="greaterThan" stopIfTrue="1">
      <formula>$C$133</formula>
    </cfRule>
  </conditionalFormatting>
  <conditionalFormatting sqref="C132:D132">
    <cfRule type="cellIs" priority="7" dxfId="1" operator="lessThan" stopIfTrue="1">
      <formula>0</formula>
    </cfRule>
  </conditionalFormatting>
  <conditionalFormatting sqref="E129">
    <cfRule type="cellIs" priority="9" dxfId="1" operator="greaterThan" stopIfTrue="1">
      <formula>$E$131*0.1</formula>
    </cfRule>
  </conditionalFormatting>
  <conditionalFormatting sqref="F117">
    <cfRule type="cellIs" priority="12" dxfId="114" operator="greaterThan" stopIfTrue="1">
      <formula>$F$119*0.1+F138</formula>
    </cfRule>
  </conditionalFormatting>
  <conditionalFormatting sqref="E132">
    <cfRule type="cellIs" priority="2" dxfId="0" operator="lessThan" stopIfTrue="1">
      <formula>0</formula>
    </cfRule>
  </conditionalFormatting>
  <conditionalFormatting sqref="F131">
    <cfRule type="cellIs" priority="1" dxfId="1" operator="greaterThan" stopIfTrue="1">
      <formula>$C$133</formula>
    </cfRule>
  </conditionalFormatting>
  <printOptions/>
  <pageMargins left="0.5" right="0.5" top="1" bottom="0.5" header="0.5" footer="0.5"/>
  <pageSetup blackAndWhite="1" fitToHeight="2" fitToWidth="1" horizontalDpi="120" verticalDpi="120" orientation="portrait" scale="64" r:id="rId1"/>
  <headerFooter alignWithMargins="0">
    <oddHeader>&amp;RState of Kansas
City</oddHeader>
    <oddFooter>&amp;C&amp;"Arial,Regular"&amp;10KC - &amp;P</oddFooter>
  </headerFooter>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B1:J68"/>
  <sheetViews>
    <sheetView zoomScale="80" zoomScaleNormal="80" zoomScalePageLayoutView="0" workbookViewId="0" topLeftCell="A31">
      <selection activeCell="E54" sqref="E54"/>
    </sheetView>
  </sheetViews>
  <sheetFormatPr defaultColWidth="8.796875" defaultRowHeight="15"/>
  <cols>
    <col min="1" max="1" width="2.3984375" style="396" customWidth="1"/>
    <col min="2" max="2" width="39.8984375" style="396" customWidth="1"/>
    <col min="3" max="5" width="15.796875" style="396" customWidth="1"/>
    <col min="6" max="6" width="16.19921875" style="396" customWidth="1"/>
    <col min="7" max="7" width="7.09765625" style="396" customWidth="1"/>
    <col min="8" max="8" width="11.796875" style="396" customWidth="1"/>
    <col min="9" max="16384" width="8.8984375" style="396" customWidth="1"/>
  </cols>
  <sheetData>
    <row r="1" spans="2:6" ht="14.25">
      <c r="B1" s="393" t="str">
        <f>inputPrYr!D2</f>
        <v>Kansas City</v>
      </c>
      <c r="C1" s="393"/>
      <c r="D1" s="393"/>
      <c r="E1" s="394"/>
      <c r="F1" s="395">
        <f>inputPrYr!C5</f>
        <v>2012</v>
      </c>
    </row>
    <row r="2" spans="2:6" ht="14.25">
      <c r="B2" s="394"/>
      <c r="C2" s="394"/>
      <c r="D2" s="394"/>
      <c r="E2" s="394"/>
      <c r="F2" s="397"/>
    </row>
    <row r="3" spans="2:6" ht="15">
      <c r="B3" s="398" t="s">
        <v>170</v>
      </c>
      <c r="C3" s="398"/>
      <c r="D3" s="398"/>
      <c r="E3" s="399"/>
      <c r="F3" s="400"/>
    </row>
    <row r="4" spans="2:6" ht="14.25">
      <c r="B4" s="401" t="s">
        <v>106</v>
      </c>
      <c r="C4" s="354" t="s">
        <v>857</v>
      </c>
      <c r="D4" s="355">
        <v>2011</v>
      </c>
      <c r="E4" s="356" t="s">
        <v>858</v>
      </c>
      <c r="F4" s="356" t="s">
        <v>859</v>
      </c>
    </row>
    <row r="5" spans="2:6" ht="14.25">
      <c r="B5" s="478" t="s">
        <v>47</v>
      </c>
      <c r="C5" s="357" t="s">
        <v>861</v>
      </c>
      <c r="D5" s="358" t="s">
        <v>860</v>
      </c>
      <c r="E5" s="359" t="s">
        <v>862</v>
      </c>
      <c r="F5" s="357">
        <v>2012</v>
      </c>
    </row>
    <row r="6" spans="2:6" ht="14.25">
      <c r="B6" s="402" t="s">
        <v>223</v>
      </c>
      <c r="C6" s="403">
        <v>3638805</v>
      </c>
      <c r="D6" s="403">
        <v>1478141</v>
      </c>
      <c r="E6" s="404">
        <f>C53</f>
        <v>2998967</v>
      </c>
      <c r="F6" s="405">
        <f>E53</f>
        <v>937396</v>
      </c>
    </row>
    <row r="7" spans="2:6" ht="14.25">
      <c r="B7" s="402" t="s">
        <v>225</v>
      </c>
      <c r="C7" s="406"/>
      <c r="D7" s="406"/>
      <c r="E7" s="404"/>
      <c r="F7" s="405"/>
    </row>
    <row r="8" spans="2:6" ht="14.25">
      <c r="B8" s="391" t="s">
        <v>107</v>
      </c>
      <c r="C8" s="407">
        <v>14232789</v>
      </c>
      <c r="D8" s="407">
        <v>14280030</v>
      </c>
      <c r="E8" s="404">
        <v>14226000</v>
      </c>
      <c r="F8" s="408" t="s">
        <v>95</v>
      </c>
    </row>
    <row r="9" spans="2:6" ht="15">
      <c r="B9" s="391" t="s">
        <v>108</v>
      </c>
      <c r="C9" s="407">
        <v>640489</v>
      </c>
      <c r="D9" s="407">
        <v>539600</v>
      </c>
      <c r="E9" s="404">
        <v>604600</v>
      </c>
      <c r="F9" s="366">
        <v>590300</v>
      </c>
    </row>
    <row r="10" spans="2:6" ht="15">
      <c r="B10" s="391" t="s">
        <v>109</v>
      </c>
      <c r="C10" s="407">
        <v>1516537</v>
      </c>
      <c r="D10" s="407">
        <v>1682980</v>
      </c>
      <c r="E10" s="404">
        <v>1508600</v>
      </c>
      <c r="F10" s="366">
        <f>mvalloc!C8</f>
        <v>1662171</v>
      </c>
    </row>
    <row r="11" spans="2:6" ht="15">
      <c r="B11" s="391" t="s">
        <v>110</v>
      </c>
      <c r="C11" s="407">
        <v>6479</v>
      </c>
      <c r="D11" s="407">
        <v>7805</v>
      </c>
      <c r="E11" s="404">
        <v>6270</v>
      </c>
      <c r="F11" s="366">
        <f>mvalloc!D8</f>
        <v>7839</v>
      </c>
    </row>
    <row r="12" spans="2:6" ht="15">
      <c r="B12" s="392" t="s">
        <v>202</v>
      </c>
      <c r="C12" s="407">
        <v>11773</v>
      </c>
      <c r="D12" s="407">
        <v>12056</v>
      </c>
      <c r="E12" s="404">
        <v>11700</v>
      </c>
      <c r="F12" s="366">
        <f>mvalloc!E8</f>
        <v>15164</v>
      </c>
    </row>
    <row r="13" spans="2:6" ht="15">
      <c r="B13" s="392" t="s">
        <v>969</v>
      </c>
      <c r="C13" s="407">
        <f>155812+207928+7352+9813</f>
        <v>380905</v>
      </c>
      <c r="D13" s="407">
        <v>309000</v>
      </c>
      <c r="E13" s="404">
        <v>447000</v>
      </c>
      <c r="F13" s="366">
        <v>460410</v>
      </c>
    </row>
    <row r="14" spans="2:6" ht="15">
      <c r="B14" s="392" t="s">
        <v>1151</v>
      </c>
      <c r="C14" s="407">
        <v>0</v>
      </c>
      <c r="D14" s="407">
        <v>0</v>
      </c>
      <c r="E14" s="404">
        <v>90000</v>
      </c>
      <c r="F14" s="366">
        <v>135000</v>
      </c>
    </row>
    <row r="15" spans="2:6" ht="15">
      <c r="B15" s="392" t="s">
        <v>1152</v>
      </c>
      <c r="C15" s="407">
        <v>0</v>
      </c>
      <c r="D15" s="407">
        <v>0</v>
      </c>
      <c r="E15" s="404">
        <v>10000</v>
      </c>
      <c r="F15" s="366">
        <v>15000</v>
      </c>
    </row>
    <row r="16" spans="2:6" ht="15">
      <c r="B16" s="392" t="s">
        <v>1153</v>
      </c>
      <c r="C16" s="407">
        <v>0</v>
      </c>
      <c r="D16" s="407">
        <v>0</v>
      </c>
      <c r="E16" s="404">
        <v>300000</v>
      </c>
      <c r="F16" s="366">
        <v>500000</v>
      </c>
    </row>
    <row r="17" spans="2:6" ht="15">
      <c r="B17" s="304" t="s">
        <v>970</v>
      </c>
      <c r="C17" s="407">
        <v>0</v>
      </c>
      <c r="D17" s="407">
        <v>0</v>
      </c>
      <c r="E17" s="404">
        <v>0</v>
      </c>
      <c r="F17" s="366">
        <v>0</v>
      </c>
    </row>
    <row r="18" spans="2:6" ht="15">
      <c r="B18" s="344" t="s">
        <v>971</v>
      </c>
      <c r="C18" s="407">
        <v>0</v>
      </c>
      <c r="D18" s="407">
        <v>669238</v>
      </c>
      <c r="E18" s="404">
        <v>801775</v>
      </c>
      <c r="F18" s="366">
        <v>774739</v>
      </c>
    </row>
    <row r="19" spans="2:6" ht="15">
      <c r="B19" s="343" t="s">
        <v>972</v>
      </c>
      <c r="C19" s="407">
        <v>1389930</v>
      </c>
      <c r="D19" s="407">
        <v>1827000</v>
      </c>
      <c r="E19" s="404">
        <v>2052050</v>
      </c>
      <c r="F19" s="366">
        <v>1682000</v>
      </c>
    </row>
    <row r="20" spans="2:6" ht="15">
      <c r="B20" s="343" t="s">
        <v>864</v>
      </c>
      <c r="C20" s="407">
        <v>407580</v>
      </c>
      <c r="D20" s="407">
        <v>284790</v>
      </c>
      <c r="E20" s="404">
        <v>278250</v>
      </c>
      <c r="F20" s="366">
        <v>203400</v>
      </c>
    </row>
    <row r="21" spans="2:6" ht="15">
      <c r="B21" s="343" t="s">
        <v>865</v>
      </c>
      <c r="C21" s="407">
        <v>36663</v>
      </c>
      <c r="D21" s="407">
        <v>65000</v>
      </c>
      <c r="E21" s="404">
        <v>95000</v>
      </c>
      <c r="F21" s="366">
        <v>100000</v>
      </c>
    </row>
    <row r="22" spans="2:6" ht="15">
      <c r="B22" s="343" t="s">
        <v>866</v>
      </c>
      <c r="C22" s="407">
        <v>10074</v>
      </c>
      <c r="D22" s="407">
        <v>8630</v>
      </c>
      <c r="E22" s="404">
        <v>8460</v>
      </c>
      <c r="F22" s="366">
        <v>8430</v>
      </c>
    </row>
    <row r="23" spans="2:6" ht="15">
      <c r="B23" s="343" t="s">
        <v>973</v>
      </c>
      <c r="C23" s="407">
        <v>127359</v>
      </c>
      <c r="D23" s="407">
        <v>5000</v>
      </c>
      <c r="E23" s="404">
        <v>105936</v>
      </c>
      <c r="F23" s="366">
        <v>10000</v>
      </c>
    </row>
    <row r="24" spans="2:6" ht="15">
      <c r="B24" s="343" t="s">
        <v>883</v>
      </c>
      <c r="C24" s="407">
        <v>1468</v>
      </c>
      <c r="D24" s="407">
        <v>5000</v>
      </c>
      <c r="E24" s="404">
        <v>22000</v>
      </c>
      <c r="F24" s="366">
        <v>1500</v>
      </c>
    </row>
    <row r="25" spans="2:6" ht="15">
      <c r="B25" s="343" t="s">
        <v>974</v>
      </c>
      <c r="C25" s="407">
        <v>60612</v>
      </c>
      <c r="D25" s="407">
        <v>70175</v>
      </c>
      <c r="E25" s="404">
        <v>58826</v>
      </c>
      <c r="F25" s="366">
        <v>25000</v>
      </c>
    </row>
    <row r="26" spans="2:6" ht="15">
      <c r="B26" s="343" t="s">
        <v>975</v>
      </c>
      <c r="C26" s="407">
        <v>88842</v>
      </c>
      <c r="D26" s="407">
        <v>132000</v>
      </c>
      <c r="E26" s="404">
        <v>87600</v>
      </c>
      <c r="F26" s="366">
        <v>87600</v>
      </c>
    </row>
    <row r="27" spans="2:6" ht="15">
      <c r="B27" s="343" t="s">
        <v>976</v>
      </c>
      <c r="C27" s="407">
        <v>304336</v>
      </c>
      <c r="D27" s="407">
        <v>589158</v>
      </c>
      <c r="E27" s="404">
        <v>728946</v>
      </c>
      <c r="F27" s="366">
        <v>847702</v>
      </c>
    </row>
    <row r="28" spans="2:6" ht="15">
      <c r="B28" s="343" t="s">
        <v>977</v>
      </c>
      <c r="C28" s="407">
        <v>0</v>
      </c>
      <c r="D28" s="407">
        <v>0</v>
      </c>
      <c r="E28" s="404">
        <v>114748</v>
      </c>
      <c r="F28" s="366">
        <v>0</v>
      </c>
    </row>
    <row r="29" spans="2:6" ht="15">
      <c r="B29" s="343" t="s">
        <v>978</v>
      </c>
      <c r="C29" s="407">
        <v>291000</v>
      </c>
      <c r="D29" s="407">
        <v>291000</v>
      </c>
      <c r="E29" s="404">
        <v>291000</v>
      </c>
      <c r="F29" s="366">
        <v>291000</v>
      </c>
    </row>
    <row r="30" spans="2:6" ht="15">
      <c r="B30" s="343" t="s">
        <v>979</v>
      </c>
      <c r="C30" s="407">
        <v>1561983</v>
      </c>
      <c r="D30" s="407">
        <v>2435788</v>
      </c>
      <c r="E30" s="404">
        <v>2605862</v>
      </c>
      <c r="F30" s="366">
        <v>2569630</v>
      </c>
    </row>
    <row r="31" spans="2:6" ht="15">
      <c r="B31" s="343" t="s">
        <v>980</v>
      </c>
      <c r="C31" s="407">
        <v>289118</v>
      </c>
      <c r="D31" s="407">
        <v>287618</v>
      </c>
      <c r="E31" s="404">
        <v>287618</v>
      </c>
      <c r="F31" s="366">
        <v>290793</v>
      </c>
    </row>
    <row r="32" spans="2:6" ht="15">
      <c r="B32" s="343" t="s">
        <v>981</v>
      </c>
      <c r="C32" s="407">
        <v>155413</v>
      </c>
      <c r="D32" s="407">
        <v>232713</v>
      </c>
      <c r="E32" s="404">
        <v>197713</v>
      </c>
      <c r="F32" s="366">
        <v>232613</v>
      </c>
    </row>
    <row r="33" spans="2:6" ht="15">
      <c r="B33" s="343" t="s">
        <v>982</v>
      </c>
      <c r="C33" s="407">
        <v>13650</v>
      </c>
      <c r="D33" s="407">
        <v>13325</v>
      </c>
      <c r="E33" s="404">
        <v>13325</v>
      </c>
      <c r="F33" s="366">
        <v>13000</v>
      </c>
    </row>
    <row r="34" spans="2:6" ht="15">
      <c r="B34" s="343" t="s">
        <v>983</v>
      </c>
      <c r="C34" s="407">
        <v>0</v>
      </c>
      <c r="D34" s="407">
        <v>90205</v>
      </c>
      <c r="E34" s="404">
        <v>90205</v>
      </c>
      <c r="F34" s="366">
        <v>180547</v>
      </c>
    </row>
    <row r="35" spans="2:6" ht="15">
      <c r="B35" s="343" t="s">
        <v>984</v>
      </c>
      <c r="C35" s="407">
        <v>750000</v>
      </c>
      <c r="D35" s="407">
        <v>250000</v>
      </c>
      <c r="E35" s="404">
        <v>750000</v>
      </c>
      <c r="F35" s="366">
        <v>250000</v>
      </c>
    </row>
    <row r="36" spans="2:6" ht="15">
      <c r="B36" s="343" t="s">
        <v>985</v>
      </c>
      <c r="C36" s="407">
        <v>1162124</v>
      </c>
      <c r="D36" s="407">
        <v>0</v>
      </c>
      <c r="E36" s="404">
        <v>0</v>
      </c>
      <c r="F36" s="366">
        <v>0</v>
      </c>
    </row>
    <row r="37" spans="2:6" ht="15">
      <c r="B37" s="343" t="s">
        <v>986</v>
      </c>
      <c r="C37" s="407">
        <v>5000</v>
      </c>
      <c r="D37" s="407">
        <v>0</v>
      </c>
      <c r="E37" s="404">
        <v>0</v>
      </c>
      <c r="F37" s="366">
        <v>0</v>
      </c>
    </row>
    <row r="38" spans="2:10" ht="15">
      <c r="B38" s="402" t="s">
        <v>16</v>
      </c>
      <c r="C38" s="409">
        <v>0</v>
      </c>
      <c r="D38" s="409">
        <v>0</v>
      </c>
      <c r="E38" s="409">
        <v>0</v>
      </c>
      <c r="F38" s="366">
        <v>0</v>
      </c>
      <c r="G38" s="411"/>
      <c r="H38" s="411"/>
      <c r="I38" s="411"/>
      <c r="J38" s="411"/>
    </row>
    <row r="39" spans="2:10" ht="14.25">
      <c r="B39" s="402" t="s">
        <v>804</v>
      </c>
      <c r="C39" s="412">
        <f>IF(C40*0.1&lt;C38,"Exceed 10% Rule","")</f>
      </c>
      <c r="D39" s="412"/>
      <c r="E39" s="412">
        <f>IF(E40*0.1&lt;E38,"Exceed 10% Rule","")</f>
      </c>
      <c r="F39" s="413">
        <f>IF(F40*0.1+F59&lt;F38,"Exceed 10% Rule","")</f>
      </c>
      <c r="G39" s="411"/>
      <c r="H39" s="411"/>
      <c r="I39" s="411"/>
      <c r="J39" s="411"/>
    </row>
    <row r="40" spans="2:10" ht="15">
      <c r="B40" s="414" t="s">
        <v>111</v>
      </c>
      <c r="C40" s="415">
        <f>SUM(C8:C38)</f>
        <v>23444124</v>
      </c>
      <c r="D40" s="415">
        <f>SUM(D8:D38)</f>
        <v>24088111</v>
      </c>
      <c r="E40" s="415">
        <f>SUM(E8:E38)</f>
        <v>25793484</v>
      </c>
      <c r="F40" s="415">
        <f>SUM(F8:F38)</f>
        <v>10953838</v>
      </c>
      <c r="G40" s="411"/>
      <c r="H40" s="411"/>
      <c r="I40" s="411"/>
      <c r="J40" s="411"/>
    </row>
    <row r="41" spans="2:10" ht="15">
      <c r="B41" s="414" t="s">
        <v>112</v>
      </c>
      <c r="C41" s="415">
        <f>SUM(C6+C40)</f>
        <v>27082929</v>
      </c>
      <c r="D41" s="415">
        <f>SUM(D6+D40)</f>
        <v>25566252</v>
      </c>
      <c r="E41" s="415">
        <f>SUM(E6+E40)</f>
        <v>28792451</v>
      </c>
      <c r="F41" s="416">
        <f>SUM(F6+F40)</f>
        <v>11891234</v>
      </c>
      <c r="G41" s="411"/>
      <c r="H41" s="411"/>
      <c r="I41" s="411"/>
      <c r="J41" s="411"/>
    </row>
    <row r="42" spans="2:10" ht="14.25">
      <c r="B42" s="402" t="s">
        <v>113</v>
      </c>
      <c r="C42" s="402"/>
      <c r="D42" s="402"/>
      <c r="E42" s="404"/>
      <c r="F42" s="405"/>
      <c r="G42" s="411"/>
      <c r="H42" s="411"/>
      <c r="I42" s="411"/>
      <c r="J42" s="411"/>
    </row>
    <row r="43" spans="2:10" ht="14.25">
      <c r="B43" s="343" t="s">
        <v>962</v>
      </c>
      <c r="C43" s="417">
        <v>0</v>
      </c>
      <c r="D43" s="417">
        <v>0</v>
      </c>
      <c r="E43" s="417">
        <v>0</v>
      </c>
      <c r="F43" s="405">
        <v>0</v>
      </c>
      <c r="G43" s="411"/>
      <c r="H43" s="411"/>
      <c r="I43" s="411"/>
      <c r="J43" s="411"/>
    </row>
    <row r="44" spans="2:10" ht="14.25">
      <c r="B44" s="343" t="s">
        <v>963</v>
      </c>
      <c r="C44" s="417">
        <v>0</v>
      </c>
      <c r="D44" s="417">
        <v>0</v>
      </c>
      <c r="E44" s="417">
        <v>0</v>
      </c>
      <c r="F44" s="405">
        <v>0</v>
      </c>
      <c r="G44" s="411"/>
      <c r="H44" s="411"/>
      <c r="I44" s="411"/>
      <c r="J44" s="411"/>
    </row>
    <row r="45" spans="2:10" ht="14.25">
      <c r="B45" s="343" t="s">
        <v>964</v>
      </c>
      <c r="C45" s="417">
        <v>0</v>
      </c>
      <c r="D45" s="417">
        <v>0</v>
      </c>
      <c r="E45" s="417">
        <v>0</v>
      </c>
      <c r="F45" s="405">
        <v>0</v>
      </c>
      <c r="G45" s="411"/>
      <c r="H45" s="411"/>
      <c r="I45" s="411"/>
      <c r="J45" s="411"/>
    </row>
    <row r="46" spans="2:10" ht="14.25">
      <c r="B46" s="343" t="s">
        <v>965</v>
      </c>
      <c r="C46" s="417">
        <v>0</v>
      </c>
      <c r="D46" s="417">
        <v>0</v>
      </c>
      <c r="E46" s="417">
        <v>0</v>
      </c>
      <c r="F46" s="405">
        <v>0</v>
      </c>
      <c r="G46" s="411"/>
      <c r="H46" s="411"/>
      <c r="I46" s="411"/>
      <c r="J46" s="411"/>
    </row>
    <row r="47" spans="2:10" ht="14.25">
      <c r="B47" s="343" t="s">
        <v>155</v>
      </c>
      <c r="C47" s="417">
        <v>0</v>
      </c>
      <c r="D47" s="417">
        <v>0</v>
      </c>
      <c r="E47" s="417">
        <v>0</v>
      </c>
      <c r="F47" s="405">
        <v>0</v>
      </c>
      <c r="G47" s="411"/>
      <c r="H47" s="411"/>
      <c r="I47" s="411"/>
      <c r="J47" s="411"/>
    </row>
    <row r="48" spans="2:10" ht="14.25">
      <c r="B48" s="343" t="s">
        <v>966</v>
      </c>
      <c r="C48" s="417">
        <v>0</v>
      </c>
      <c r="D48" s="417">
        <v>0</v>
      </c>
      <c r="E48" s="417">
        <v>0</v>
      </c>
      <c r="F48" s="405">
        <v>0</v>
      </c>
      <c r="G48" s="411"/>
      <c r="H48" s="411"/>
      <c r="I48" s="411"/>
      <c r="J48" s="411"/>
    </row>
    <row r="49" spans="2:10" ht="14.25">
      <c r="B49" s="343" t="s">
        <v>47</v>
      </c>
      <c r="C49" s="417">
        <v>24083962</v>
      </c>
      <c r="D49" s="417">
        <v>24828252</v>
      </c>
      <c r="E49" s="418">
        <v>26355055</v>
      </c>
      <c r="F49" s="405">
        <v>26370676</v>
      </c>
      <c r="G49" s="411"/>
      <c r="H49" s="411"/>
      <c r="I49" s="411"/>
      <c r="J49" s="411"/>
    </row>
    <row r="50" spans="2:10" ht="14.25">
      <c r="B50" s="420" t="s">
        <v>1150</v>
      </c>
      <c r="C50" s="417">
        <v>0</v>
      </c>
      <c r="D50" s="417">
        <v>500000</v>
      </c>
      <c r="E50" s="418">
        <v>1500000</v>
      </c>
      <c r="F50" s="419">
        <v>400000</v>
      </c>
      <c r="G50" s="411"/>
      <c r="H50" s="411"/>
      <c r="I50" s="411"/>
      <c r="J50" s="411"/>
    </row>
    <row r="51" spans="2:10" ht="15">
      <c r="B51" s="420" t="s">
        <v>806</v>
      </c>
      <c r="C51" s="412">
        <f>IF(C52*0.1&lt;C50,"Exceed 10% Rule","")</f>
      </c>
      <c r="D51" s="412"/>
      <c r="E51" s="412">
        <f>IF(E52*0.1&lt;E50,"Exceed 10% Rule","")</f>
      </c>
      <c r="F51" s="413">
        <f>IF(F52*0.1&lt;F50,"Exceed 10% Rule","")</f>
      </c>
      <c r="G51" s="411"/>
      <c r="H51" s="723" t="str">
        <f>CONCATENATE("Projected Carryover Into ",F1+1,"")</f>
        <v>Projected Carryover Into 2013</v>
      </c>
      <c r="I51" s="724"/>
      <c r="J51" s="725"/>
    </row>
    <row r="52" spans="2:10" ht="15">
      <c r="B52" s="414" t="s">
        <v>117</v>
      </c>
      <c r="C52" s="415">
        <f>SUM(C43:C50)</f>
        <v>24083962</v>
      </c>
      <c r="D52" s="415">
        <f>SUM(D43:D50)</f>
        <v>25328252</v>
      </c>
      <c r="E52" s="415">
        <f>SUM(E43:E50)</f>
        <v>27855055</v>
      </c>
      <c r="F52" s="416">
        <f>SUM(F43:F50)</f>
        <v>26770676</v>
      </c>
      <c r="G52" s="411"/>
      <c r="H52" s="422"/>
      <c r="I52" s="423"/>
      <c r="J52" s="424"/>
    </row>
    <row r="53" spans="2:10" ht="14.25">
      <c r="B53" s="402" t="s">
        <v>224</v>
      </c>
      <c r="C53" s="404">
        <f>SUM(C41-C52)</f>
        <v>2998967</v>
      </c>
      <c r="D53" s="404">
        <f>SUM(D41-D52)</f>
        <v>238000</v>
      </c>
      <c r="E53" s="404">
        <f>SUM(E41-E52)</f>
        <v>937396</v>
      </c>
      <c r="F53" s="408" t="s">
        <v>95</v>
      </c>
      <c r="G53" s="411"/>
      <c r="H53" s="425">
        <f>E53</f>
        <v>937396</v>
      </c>
      <c r="I53" s="426" t="str">
        <f>CONCATENATE("",F1-1," Ending Cash Balance (est.)")</f>
        <v>2011 Ending Cash Balance (est.)</v>
      </c>
      <c r="J53" s="424"/>
    </row>
    <row r="54" spans="2:10" ht="14.25">
      <c r="B54" s="427" t="str">
        <f>CONCATENATE("",F1-2,"/",F1-1," Budget Authority Amount:")</f>
        <v>2010/2011 Budget Authority Amount:</v>
      </c>
      <c r="C54" s="428">
        <f>inputOth!B51</f>
        <v>25354513</v>
      </c>
      <c r="D54" s="429"/>
      <c r="E54" s="430">
        <f>inputPrYr!D18</f>
        <v>27855055</v>
      </c>
      <c r="F54" s="408" t="s">
        <v>95</v>
      </c>
      <c r="G54" s="431"/>
      <c r="H54" s="425">
        <f>F40</f>
        <v>10953838</v>
      </c>
      <c r="I54" s="423" t="str">
        <f>CONCATENATE("",F1," Non-AV Receipts (est.)")</f>
        <v>2012 Non-AV Receipts (est.)</v>
      </c>
      <c r="J54" s="424"/>
    </row>
    <row r="55" spans="2:10" ht="14.25">
      <c r="B55" s="427"/>
      <c r="C55" s="726" t="s">
        <v>664</v>
      </c>
      <c r="D55" s="726"/>
      <c r="E55" s="727"/>
      <c r="F55" s="410">
        <f>82688.3531034476-629</f>
        <v>82059.3531034476</v>
      </c>
      <c r="G55" s="432">
        <f>IF(F52/0.95-F52&lt;F55,"Exceeds 5%","")</f>
      </c>
      <c r="H55" s="433">
        <f>F59</f>
        <v>16262501.353103448</v>
      </c>
      <c r="I55" s="423" t="str">
        <f>CONCATENATE("",F1," Ad Valorem Tax (est.)")</f>
        <v>2012 Ad Valorem Tax (est.)</v>
      </c>
      <c r="J55" s="424"/>
    </row>
    <row r="56" spans="2:10" ht="15">
      <c r="B56" s="434" t="str">
        <f>CONCATENATE(C65,"     ",E65)</f>
        <v>     </v>
      </c>
      <c r="C56" s="728" t="s">
        <v>665</v>
      </c>
      <c r="D56" s="728"/>
      <c r="E56" s="729"/>
      <c r="F56" s="405">
        <f>SUM(F52+F55)</f>
        <v>26852735.353103448</v>
      </c>
      <c r="G56" s="411"/>
      <c r="H56" s="425">
        <f>SUM(H53:H55)</f>
        <v>28153735.353103448</v>
      </c>
      <c r="I56" s="423" t="str">
        <f>CONCATENATE("Total ",F1," Resources Available")</f>
        <v>Total 2012 Resources Available</v>
      </c>
      <c r="J56" s="424"/>
    </row>
    <row r="57" spans="2:10" ht="15">
      <c r="B57" s="434" t="str">
        <f>CONCATENATE(C66,"     ",E66)</f>
        <v>     </v>
      </c>
      <c r="C57" s="435"/>
      <c r="D57" s="435"/>
      <c r="E57" s="397" t="s">
        <v>118</v>
      </c>
      <c r="F57" s="405">
        <f>IF(F56-F41&gt;0,F56-F41,0)</f>
        <v>14961501.353103448</v>
      </c>
      <c r="G57" s="411"/>
      <c r="H57" s="436"/>
      <c r="I57" s="423"/>
      <c r="J57" s="424"/>
    </row>
    <row r="58" spans="2:10" ht="15">
      <c r="B58" s="397"/>
      <c r="C58" s="435"/>
      <c r="D58" s="437" t="s">
        <v>663</v>
      </c>
      <c r="E58" s="438">
        <f>inputOth!$E$37</f>
        <v>0.08</v>
      </c>
      <c r="F58" s="455">
        <f>ROUND(IF(E58&gt;0,(F57/((100-(100*E58))*0.01)-F57),0),0)</f>
        <v>1301000</v>
      </c>
      <c r="G58" s="411"/>
      <c r="H58" s="433">
        <f>C52</f>
        <v>24083962</v>
      </c>
      <c r="I58" s="423" t="str">
        <f>CONCATENATE("Less ",F1-2," Expenditures")</f>
        <v>Less 2010 Expenditures</v>
      </c>
      <c r="J58" s="424"/>
    </row>
    <row r="59" spans="2:10" ht="15">
      <c r="B59" s="394"/>
      <c r="C59" s="435"/>
      <c r="D59" s="444" t="s">
        <v>987</v>
      </c>
      <c r="E59" s="443"/>
      <c r="F59" s="405">
        <f>SUM(F57:F58)</f>
        <v>16262501.353103448</v>
      </c>
      <c r="G59" s="411"/>
      <c r="H59" s="433">
        <f>SUM(H56-H58)</f>
        <v>4069773.3531034477</v>
      </c>
      <c r="I59" s="439" t="str">
        <f>CONCATENATE("Projected ",F1+1," carryover (est.)")</f>
        <v>Projected 2013 carryover (est.)</v>
      </c>
      <c r="J59" s="440"/>
    </row>
    <row r="60" spans="3:5" ht="14.25">
      <c r="C60" s="441" t="s">
        <v>666</v>
      </c>
      <c r="D60" s="441"/>
      <c r="E60" s="441" t="s">
        <v>666</v>
      </c>
    </row>
    <row r="61" spans="3:5" ht="14.25">
      <c r="C61" s="441" t="s">
        <v>666</v>
      </c>
      <c r="D61" s="441"/>
      <c r="E61" s="441" t="s">
        <v>666</v>
      </c>
    </row>
    <row r="63" spans="3:5" ht="14.25">
      <c r="C63" s="441" t="s">
        <v>666</v>
      </c>
      <c r="D63" s="441"/>
      <c r="E63" s="441" t="s">
        <v>666</v>
      </c>
    </row>
    <row r="64" spans="3:5" ht="16.5" customHeight="1">
      <c r="C64" s="441" t="s">
        <v>666</v>
      </c>
      <c r="D64" s="441"/>
      <c r="E64" s="441" t="s">
        <v>666</v>
      </c>
    </row>
    <row r="65" spans="3:5" ht="15" customHeight="1" hidden="1">
      <c r="C65" s="442">
        <f>IF(C52&gt;C54,"See Tab A","")</f>
      </c>
      <c r="D65" s="442"/>
      <c r="E65" s="442">
        <f>IF(E52&gt;E54,"See Tab C","")</f>
      </c>
    </row>
    <row r="66" spans="3:5" ht="15.75" customHeight="1" hidden="1">
      <c r="C66" s="442">
        <f>IF(C53&lt;0,"See Tab B","")</f>
      </c>
      <c r="D66" s="442"/>
      <c r="E66" s="442">
        <f>IF(E53&lt;0,"See Tab D","")</f>
      </c>
    </row>
    <row r="67" spans="3:5" ht="15" customHeight="1" hidden="1">
      <c r="C67" s="442" t="e">
        <f>IF(#REF!&gt;#REF!,"See Tab A","")</f>
        <v>#REF!</v>
      </c>
      <c r="D67" s="442"/>
      <c r="E67" s="442" t="e">
        <f>IF(#REF!&gt;#REF!,"See Tab C","")</f>
        <v>#REF!</v>
      </c>
    </row>
    <row r="68" spans="3:5" ht="14.25" customHeight="1" hidden="1">
      <c r="C68" s="442" t="e">
        <f>IF(#REF!&lt;0,"See Tab B","")</f>
        <v>#REF!</v>
      </c>
      <c r="D68" s="442"/>
      <c r="E68" s="442" t="e">
        <f>IF(#REF!&lt;0,"See Tab D","")</f>
        <v>#REF!</v>
      </c>
    </row>
  </sheetData>
  <sheetProtection/>
  <mergeCells count="3">
    <mergeCell ref="H51:J51"/>
    <mergeCell ref="C55:E55"/>
    <mergeCell ref="C56:E56"/>
  </mergeCells>
  <conditionalFormatting sqref="E38">
    <cfRule type="cellIs" priority="21" dxfId="1" operator="greaterThan" stopIfTrue="1">
      <formula>$E$40*0.1</formula>
    </cfRule>
  </conditionalFormatting>
  <conditionalFormatting sqref="D50">
    <cfRule type="cellIs" priority="16" dxfId="0" operator="greaterThan" stopIfTrue="1">
      <formula>$C$52*0.1</formula>
    </cfRule>
  </conditionalFormatting>
  <conditionalFormatting sqref="E50">
    <cfRule type="cellIs" priority="15" dxfId="0" operator="greaterThan" stopIfTrue="1">
      <formula>$E$52*0.1</formula>
    </cfRule>
  </conditionalFormatting>
  <conditionalFormatting sqref="F50">
    <cfRule type="cellIs" priority="14" dxfId="0" operator="greaterThan" stopIfTrue="1">
      <formula>$F$52*0.1</formula>
    </cfRule>
  </conditionalFormatting>
  <conditionalFormatting sqref="C38:D38">
    <cfRule type="cellIs" priority="12" dxfId="1" operator="greaterThan" stopIfTrue="1">
      <formula>$C$40*0.1</formula>
    </cfRule>
  </conditionalFormatting>
  <conditionalFormatting sqref="F55">
    <cfRule type="cellIs" priority="10" dxfId="114" operator="greaterThan" stopIfTrue="1">
      <formula>$F$52/0.95-$F$52</formula>
    </cfRule>
  </conditionalFormatting>
  <conditionalFormatting sqref="C52:D52">
    <cfRule type="cellIs" priority="8" dxfId="0" operator="greaterThan" stopIfTrue="1">
      <formula>$C$54</formula>
    </cfRule>
  </conditionalFormatting>
  <conditionalFormatting sqref="C53:E53">
    <cfRule type="cellIs" priority="7" dxfId="0" operator="lessThan" stopIfTrue="1">
      <formula>0</formula>
    </cfRule>
  </conditionalFormatting>
  <conditionalFormatting sqref="E52">
    <cfRule type="cellIs" priority="6" dxfId="0" operator="greaterThan" stopIfTrue="1">
      <formula>$E$54</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City</oddHeader>
    <oddFooter>&amp;C&amp;"Arial,Regular"&amp;10KC - &amp;P</oddFooter>
  </headerFooter>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B1:F85"/>
  <sheetViews>
    <sheetView zoomScale="80" zoomScaleNormal="80" zoomScalePageLayoutView="0" workbookViewId="0" topLeftCell="A7">
      <selection activeCell="E81" sqref="E81"/>
    </sheetView>
  </sheetViews>
  <sheetFormatPr defaultColWidth="8.796875" defaultRowHeight="15"/>
  <cols>
    <col min="1" max="1" width="2.3984375" style="396" customWidth="1"/>
    <col min="2" max="2" width="31.09765625" style="396" customWidth="1"/>
    <col min="3" max="5" width="15.796875" style="396" customWidth="1"/>
    <col min="6" max="6" width="16.19921875" style="396" customWidth="1"/>
    <col min="7" max="16384" width="8.8984375" style="396" customWidth="1"/>
  </cols>
  <sheetData>
    <row r="1" spans="2:6" ht="14.25">
      <c r="B1" s="447" t="str">
        <f>(inputPrYr!D2)</f>
        <v>Kansas City</v>
      </c>
      <c r="C1" s="448"/>
      <c r="D1" s="448"/>
      <c r="E1" s="448"/>
      <c r="F1" s="449">
        <f>inputPrYr!C5</f>
        <v>2012</v>
      </c>
    </row>
    <row r="2" spans="2:6" ht="14.25">
      <c r="B2" s="448"/>
      <c r="C2" s="448"/>
      <c r="D2" s="448"/>
      <c r="E2" s="448"/>
      <c r="F2" s="450"/>
    </row>
    <row r="3" spans="2:6" ht="15">
      <c r="B3" s="451" t="s">
        <v>171</v>
      </c>
      <c r="C3" s="452"/>
      <c r="D3" s="452"/>
      <c r="E3" s="452"/>
      <c r="F3" s="452"/>
    </row>
    <row r="4" spans="2:6" ht="14.25">
      <c r="B4" s="453" t="s">
        <v>106</v>
      </c>
      <c r="C4" s="354" t="s">
        <v>857</v>
      </c>
      <c r="D4" s="355">
        <v>2011</v>
      </c>
      <c r="E4" s="356" t="s">
        <v>858</v>
      </c>
      <c r="F4" s="356" t="s">
        <v>859</v>
      </c>
    </row>
    <row r="5" spans="2:6" ht="14.25">
      <c r="B5" s="477" t="str">
        <f>(inputPrYr!B23)</f>
        <v>Special Highway</v>
      </c>
      <c r="C5" s="357" t="s">
        <v>861</v>
      </c>
      <c r="D5" s="358" t="s">
        <v>860</v>
      </c>
      <c r="E5" s="359" t="s">
        <v>862</v>
      </c>
      <c r="F5" s="357">
        <v>2012</v>
      </c>
    </row>
    <row r="6" spans="2:6" ht="14.25">
      <c r="B6" s="454" t="s">
        <v>223</v>
      </c>
      <c r="C6" s="410">
        <v>527454</v>
      </c>
      <c r="D6" s="410">
        <v>244770</v>
      </c>
      <c r="E6" s="455">
        <f>C33</f>
        <v>307774</v>
      </c>
      <c r="F6" s="455">
        <f>E33</f>
        <v>110160</v>
      </c>
    </row>
    <row r="7" spans="2:6" ht="14.25">
      <c r="B7" s="456" t="s">
        <v>225</v>
      </c>
      <c r="C7" s="457"/>
      <c r="D7" s="457"/>
      <c r="E7" s="457"/>
      <c r="F7" s="457"/>
    </row>
    <row r="8" spans="2:6" ht="14.25">
      <c r="B8" s="372" t="s">
        <v>204</v>
      </c>
      <c r="C8" s="410">
        <v>0</v>
      </c>
      <c r="D8" s="648">
        <f>'[1]inputOth'!C49</f>
        <v>0</v>
      </c>
      <c r="E8" s="410">
        <f>inputOth!E42</f>
        <v>0</v>
      </c>
      <c r="F8" s="455">
        <f>inputOth!E40</f>
        <v>0</v>
      </c>
    </row>
    <row r="9" spans="2:6" ht="14.25">
      <c r="B9" s="445" t="s">
        <v>272</v>
      </c>
      <c r="C9" s="410">
        <v>0</v>
      </c>
      <c r="D9" s="648">
        <f>'[1]inputOth'!C50</f>
        <v>0</v>
      </c>
      <c r="E9" s="410">
        <f>inputOth!E43</f>
        <v>0</v>
      </c>
      <c r="F9" s="410">
        <f>inputOth!E41</f>
        <v>0</v>
      </c>
    </row>
    <row r="10" spans="2:6" ht="14.25">
      <c r="B10" s="367" t="s">
        <v>988</v>
      </c>
      <c r="C10" s="410">
        <v>6634288</v>
      </c>
      <c r="D10" s="648">
        <v>6800000</v>
      </c>
      <c r="E10" s="410">
        <v>6765000</v>
      </c>
      <c r="F10" s="410">
        <v>6620000</v>
      </c>
    </row>
    <row r="11" spans="2:6" ht="14.25">
      <c r="B11" s="367" t="s">
        <v>906</v>
      </c>
      <c r="C11" s="410">
        <v>0</v>
      </c>
      <c r="D11" s="648">
        <v>0</v>
      </c>
      <c r="E11" s="410">
        <v>0</v>
      </c>
      <c r="F11" s="410">
        <v>0</v>
      </c>
    </row>
    <row r="12" spans="2:6" ht="14.25">
      <c r="B12" s="367" t="s">
        <v>951</v>
      </c>
      <c r="C12" s="410">
        <v>17500</v>
      </c>
      <c r="D12" s="648">
        <v>20000</v>
      </c>
      <c r="E12" s="410">
        <v>20000</v>
      </c>
      <c r="F12" s="410">
        <v>20000</v>
      </c>
    </row>
    <row r="13" spans="2:6" ht="14.25">
      <c r="B13" s="367" t="s">
        <v>989</v>
      </c>
      <c r="C13" s="410">
        <v>0</v>
      </c>
      <c r="D13" s="648">
        <v>0</v>
      </c>
      <c r="E13" s="410">
        <v>0</v>
      </c>
      <c r="F13" s="410">
        <v>0</v>
      </c>
    </row>
    <row r="14" spans="2:6" ht="14.25">
      <c r="B14" s="367" t="s">
        <v>990</v>
      </c>
      <c r="C14" s="410">
        <v>0</v>
      </c>
      <c r="D14" s="648">
        <v>0</v>
      </c>
      <c r="E14" s="410">
        <v>0</v>
      </c>
      <c r="F14" s="410">
        <v>0</v>
      </c>
    </row>
    <row r="15" spans="2:6" ht="14.25">
      <c r="B15" s="367" t="s">
        <v>956</v>
      </c>
      <c r="C15" s="410">
        <v>0</v>
      </c>
      <c r="D15" s="648">
        <v>0</v>
      </c>
      <c r="E15" s="410">
        <v>0</v>
      </c>
      <c r="F15" s="410">
        <v>0</v>
      </c>
    </row>
    <row r="16" spans="2:6" ht="14.25">
      <c r="B16" s="367" t="s">
        <v>958</v>
      </c>
      <c r="C16" s="410">
        <v>0</v>
      </c>
      <c r="D16" s="648">
        <v>0</v>
      </c>
      <c r="E16" s="410">
        <v>0</v>
      </c>
      <c r="F16" s="410">
        <v>0</v>
      </c>
    </row>
    <row r="17" spans="2:6" ht="14.25">
      <c r="B17" s="458" t="s">
        <v>16</v>
      </c>
      <c r="C17" s="410">
        <v>0</v>
      </c>
      <c r="D17" s="648">
        <v>0</v>
      </c>
      <c r="E17" s="459">
        <v>0</v>
      </c>
      <c r="F17" s="459">
        <v>0</v>
      </c>
    </row>
    <row r="18" spans="2:6" ht="15.75">
      <c r="B18" s="454" t="s">
        <v>804</v>
      </c>
      <c r="C18" s="413">
        <f>IF(C19*0.1&lt;C17,"Exceed 10% Rule","")</f>
      </c>
      <c r="D18" s="94">
        <f>IF(D19*0.1&lt;D17,"Exceed 10% Rule","")</f>
      </c>
      <c r="E18" s="460">
        <f>IF(E19*0.1&lt;E17,"Exceed 10% Rule","")</f>
      </c>
      <c r="F18" s="460">
        <f>IF(F19*0.1&lt;F17,"Exceed 10% Rule","")</f>
      </c>
    </row>
    <row r="19" spans="2:6" ht="15">
      <c r="B19" s="461" t="s">
        <v>111</v>
      </c>
      <c r="C19" s="462">
        <f>SUM(C8:C17)</f>
        <v>6651788</v>
      </c>
      <c r="D19" s="649">
        <f>SUM(D8:D17)</f>
        <v>6820000</v>
      </c>
      <c r="E19" s="462">
        <f>SUM(E8:E17)</f>
        <v>6785000</v>
      </c>
      <c r="F19" s="462">
        <f>SUM(F8:F17)</f>
        <v>6640000</v>
      </c>
    </row>
    <row r="20" spans="2:6" ht="15">
      <c r="B20" s="461" t="s">
        <v>112</v>
      </c>
      <c r="C20" s="462">
        <f>C6+C19</f>
        <v>7179242</v>
      </c>
      <c r="D20" s="649">
        <f>D6+D19</f>
        <v>7064770</v>
      </c>
      <c r="E20" s="462">
        <f>E6+E19</f>
        <v>7092774</v>
      </c>
      <c r="F20" s="462">
        <f>F6+F19</f>
        <v>6750160</v>
      </c>
    </row>
    <row r="21" spans="2:6" ht="15.75">
      <c r="B21" s="463" t="s">
        <v>113</v>
      </c>
      <c r="C21" s="455"/>
      <c r="D21" s="90"/>
      <c r="E21" s="455"/>
      <c r="F21" s="455"/>
    </row>
    <row r="22" spans="2:6" ht="14.25">
      <c r="B22" s="372" t="s">
        <v>962</v>
      </c>
      <c r="C22" s="410">
        <v>5413013</v>
      </c>
      <c r="D22" s="650">
        <v>5125620</v>
      </c>
      <c r="E22" s="410">
        <v>5259680</v>
      </c>
      <c r="F22" s="410">
        <v>5260000</v>
      </c>
    </row>
    <row r="23" spans="2:6" ht="14.25">
      <c r="B23" s="372" t="s">
        <v>963</v>
      </c>
      <c r="C23" s="410">
        <v>0</v>
      </c>
      <c r="D23" s="648">
        <v>0</v>
      </c>
      <c r="E23" s="410">
        <v>0</v>
      </c>
      <c r="F23" s="410">
        <v>0</v>
      </c>
    </row>
    <row r="24" spans="2:6" ht="14.25">
      <c r="B24" s="372" t="s">
        <v>964</v>
      </c>
      <c r="C24" s="410">
        <v>771547</v>
      </c>
      <c r="D24" s="648">
        <v>350000</v>
      </c>
      <c r="E24" s="410">
        <v>350000</v>
      </c>
      <c r="F24" s="410">
        <v>350000</v>
      </c>
    </row>
    <row r="25" spans="2:6" ht="14.25">
      <c r="B25" s="372" t="s">
        <v>965</v>
      </c>
      <c r="C25" s="410">
        <v>18246</v>
      </c>
      <c r="D25" s="648">
        <v>15000</v>
      </c>
      <c r="E25" s="410">
        <v>15000</v>
      </c>
      <c r="F25" s="410">
        <v>15000</v>
      </c>
    </row>
    <row r="26" spans="2:6" ht="14.25">
      <c r="B26" s="372" t="s">
        <v>991</v>
      </c>
      <c r="C26" s="410">
        <v>13650</v>
      </c>
      <c r="D26" s="648">
        <v>13325</v>
      </c>
      <c r="E26" s="410">
        <v>13325</v>
      </c>
      <c r="F26" s="410">
        <v>13000</v>
      </c>
    </row>
    <row r="27" spans="2:6" ht="14.25">
      <c r="B27" s="372" t="s">
        <v>966</v>
      </c>
      <c r="C27" s="410">
        <v>655012</v>
      </c>
      <c r="D27" s="648">
        <v>1195609</v>
      </c>
      <c r="E27" s="410">
        <v>1119609</v>
      </c>
      <c r="F27" s="410">
        <v>1081779</v>
      </c>
    </row>
    <row r="28" spans="2:6" ht="14.25">
      <c r="B28" s="372" t="s">
        <v>47</v>
      </c>
      <c r="C28" s="410">
        <v>0</v>
      </c>
      <c r="D28" s="648">
        <v>0</v>
      </c>
      <c r="E28" s="410">
        <v>0</v>
      </c>
      <c r="F28" s="410">
        <v>0</v>
      </c>
    </row>
    <row r="29" spans="2:6" ht="14.25">
      <c r="B29" s="372" t="s">
        <v>992</v>
      </c>
      <c r="C29" s="410">
        <v>0</v>
      </c>
      <c r="D29" s="648">
        <v>0</v>
      </c>
      <c r="E29" s="410">
        <v>225000</v>
      </c>
      <c r="F29" s="410">
        <v>0</v>
      </c>
    </row>
    <row r="30" spans="2:6" ht="14.25">
      <c r="B30" s="464" t="s">
        <v>16</v>
      </c>
      <c r="C30" s="410">
        <v>0</v>
      </c>
      <c r="D30" s="648">
        <v>150000</v>
      </c>
      <c r="E30" s="459">
        <v>0</v>
      </c>
      <c r="F30" s="459">
        <v>325</v>
      </c>
    </row>
    <row r="31" spans="2:6" ht="14.25">
      <c r="B31" s="464" t="s">
        <v>805</v>
      </c>
      <c r="C31" s="413">
        <f>IF(C32*0.1&lt;C30,"Exceed 10% Rule","")</f>
      </c>
      <c r="D31" s="460"/>
      <c r="E31" s="460">
        <f>IF(E32*0.1&lt;E30,"Exceed 10% Rule","")</f>
      </c>
      <c r="F31" s="460">
        <f>IF(F32*0.1&lt;F30,"Exceed 10% Rule","")</f>
      </c>
    </row>
    <row r="32" spans="2:6" ht="15">
      <c r="B32" s="461" t="s">
        <v>117</v>
      </c>
      <c r="C32" s="462">
        <f>SUM(C22:C30)</f>
        <v>6871468</v>
      </c>
      <c r="D32" s="462">
        <f>SUM(D22:D30)</f>
        <v>6849554</v>
      </c>
      <c r="E32" s="462">
        <f>SUM(E22:E30)</f>
        <v>6982614</v>
      </c>
      <c r="F32" s="462">
        <f>SUM(F22:F30)</f>
        <v>6720104</v>
      </c>
    </row>
    <row r="33" spans="2:6" ht="14.25">
      <c r="B33" s="463" t="s">
        <v>224</v>
      </c>
      <c r="C33" s="410">
        <f>C20-C32</f>
        <v>307774</v>
      </c>
      <c r="D33" s="648">
        <f>D20-D32</f>
        <v>215216</v>
      </c>
      <c r="E33" s="455">
        <f>E20-E32</f>
        <v>110160</v>
      </c>
      <c r="F33" s="455">
        <f>F20-F32</f>
        <v>30056</v>
      </c>
    </row>
    <row r="34" spans="2:6" ht="15">
      <c r="B34" s="465" t="str">
        <f>CONCATENATE("",F1-2,"/",F1-1," Budget Authority Amount:")</f>
        <v>2010/2011 Budget Authority Amount:</v>
      </c>
      <c r="C34" s="466">
        <f>inputOth!B52</f>
        <v>6902684</v>
      </c>
      <c r="D34" s="466"/>
      <c r="E34" s="466">
        <f>inputPrYr!D23</f>
        <v>6982614</v>
      </c>
      <c r="F34" s="467">
        <f>IF(F33&lt;0,"See Tab E","")</f>
      </c>
    </row>
    <row r="35" spans="2:6" ht="15">
      <c r="B35" s="465"/>
      <c r="C35" s="468">
        <f>IF(C32&gt;C34,"See Tab A","")</f>
      </c>
      <c r="D35" s="468"/>
      <c r="E35" s="468">
        <f>IF(E32&gt;E34,"See Tab C","")</f>
      </c>
      <c r="F35" s="469"/>
    </row>
    <row r="36" spans="2:6" ht="15">
      <c r="B36" s="465"/>
      <c r="C36" s="468">
        <f>IF(C33&lt;0,"See Tab B","")</f>
      </c>
      <c r="D36" s="468"/>
      <c r="E36" s="468">
        <f>IF(E33&lt;0,"See Tab D","")</f>
      </c>
      <c r="F36" s="469"/>
    </row>
    <row r="37" spans="2:6" ht="14.25">
      <c r="B37" s="448"/>
      <c r="C37" s="469"/>
      <c r="D37" s="469"/>
      <c r="E37" s="469"/>
      <c r="F37" s="469"/>
    </row>
    <row r="38" spans="2:6" ht="14.25">
      <c r="B38" s="453" t="s">
        <v>106</v>
      </c>
      <c r="C38" s="470"/>
      <c r="D38" s="470"/>
      <c r="E38" s="470"/>
      <c r="F38" s="470"/>
    </row>
    <row r="39" spans="2:6" ht="14.25">
      <c r="B39" s="448"/>
      <c r="C39" s="354" t="s">
        <v>857</v>
      </c>
      <c r="D39" s="355">
        <v>2011</v>
      </c>
      <c r="E39" s="356" t="s">
        <v>858</v>
      </c>
      <c r="F39" s="356" t="s">
        <v>859</v>
      </c>
    </row>
    <row r="40" spans="2:6" ht="14.25">
      <c r="B40" s="477" t="str">
        <f>(inputPrYr!B24)</f>
        <v>Sewer System Enterprise Fund</v>
      </c>
      <c r="C40" s="357" t="s">
        <v>861</v>
      </c>
      <c r="D40" s="358" t="s">
        <v>860</v>
      </c>
      <c r="E40" s="359" t="s">
        <v>862</v>
      </c>
      <c r="F40" s="357">
        <v>2012</v>
      </c>
    </row>
    <row r="41" spans="2:6" ht="14.25">
      <c r="B41" s="454" t="s">
        <v>223</v>
      </c>
      <c r="C41" s="410">
        <v>2773455</v>
      </c>
      <c r="D41" s="457">
        <v>2265358</v>
      </c>
      <c r="E41" s="455">
        <f>C80</f>
        <v>5564354</v>
      </c>
      <c r="F41" s="455">
        <f>E80</f>
        <v>2760651</v>
      </c>
    </row>
    <row r="42" spans="2:6" ht="14.25">
      <c r="B42" s="456" t="s">
        <v>225</v>
      </c>
      <c r="C42" s="457"/>
      <c r="D42" s="457"/>
      <c r="E42" s="457"/>
      <c r="F42" s="457"/>
    </row>
    <row r="43" spans="2:6" ht="14.25">
      <c r="B43" s="367" t="s">
        <v>865</v>
      </c>
      <c r="C43" s="410">
        <f>158757-1</f>
        <v>158756</v>
      </c>
      <c r="D43" s="648">
        <v>160000</v>
      </c>
      <c r="E43" s="410">
        <v>140000</v>
      </c>
      <c r="F43" s="410">
        <v>140000</v>
      </c>
    </row>
    <row r="44" spans="2:6" ht="14.25">
      <c r="B44" s="372" t="s">
        <v>883</v>
      </c>
      <c r="C44" s="410">
        <v>1862</v>
      </c>
      <c r="D44" s="648">
        <v>200</v>
      </c>
      <c r="E44" s="410">
        <v>102000</v>
      </c>
      <c r="F44" s="410">
        <v>200</v>
      </c>
    </row>
    <row r="45" spans="2:6" ht="14.25">
      <c r="B45" s="372" t="s">
        <v>993</v>
      </c>
      <c r="C45" s="648">
        <v>661</v>
      </c>
      <c r="D45" s="648">
        <v>1000</v>
      </c>
      <c r="E45" s="410">
        <v>1000</v>
      </c>
      <c r="F45" s="410">
        <v>1000</v>
      </c>
    </row>
    <row r="46" spans="2:6" ht="14.25">
      <c r="B46" s="372" t="s">
        <v>994</v>
      </c>
      <c r="C46" s="648">
        <v>28452</v>
      </c>
      <c r="D46" s="648">
        <v>10000</v>
      </c>
      <c r="E46" s="410">
        <v>20000</v>
      </c>
      <c r="F46" s="410">
        <v>10000</v>
      </c>
    </row>
    <row r="47" spans="2:6" ht="14.25">
      <c r="B47" s="372" t="s">
        <v>995</v>
      </c>
      <c r="C47" s="648">
        <v>1722</v>
      </c>
      <c r="D47" s="648">
        <v>3000</v>
      </c>
      <c r="E47" s="410">
        <v>1500</v>
      </c>
      <c r="F47" s="410">
        <v>3000</v>
      </c>
    </row>
    <row r="48" spans="2:6" ht="14.25">
      <c r="B48" s="367" t="s">
        <v>996</v>
      </c>
      <c r="C48" s="648">
        <v>307219</v>
      </c>
      <c r="D48" s="648">
        <v>300000</v>
      </c>
      <c r="E48" s="410">
        <v>150000</v>
      </c>
      <c r="F48" s="410">
        <v>300000</v>
      </c>
    </row>
    <row r="49" spans="2:6" ht="14.25">
      <c r="B49" s="367" t="s">
        <v>997</v>
      </c>
      <c r="C49" s="648">
        <v>3529</v>
      </c>
      <c r="D49" s="648">
        <v>0</v>
      </c>
      <c r="E49" s="410">
        <v>11000</v>
      </c>
      <c r="F49" s="410">
        <v>0</v>
      </c>
    </row>
    <row r="50" spans="2:6" ht="14.25">
      <c r="B50" s="367" t="s">
        <v>912</v>
      </c>
      <c r="C50" s="648">
        <v>112</v>
      </c>
      <c r="D50" s="648">
        <v>100</v>
      </c>
      <c r="E50" s="410">
        <v>100</v>
      </c>
      <c r="F50" s="410">
        <v>100</v>
      </c>
    </row>
    <row r="51" spans="2:6" ht="14.25">
      <c r="B51" s="367" t="s">
        <v>998</v>
      </c>
      <c r="C51" s="648">
        <v>70</v>
      </c>
      <c r="D51" s="648">
        <v>0</v>
      </c>
      <c r="E51" s="410">
        <v>0</v>
      </c>
      <c r="F51" s="410">
        <v>0</v>
      </c>
    </row>
    <row r="52" spans="2:6" ht="14.25">
      <c r="B52" s="367" t="s">
        <v>999</v>
      </c>
      <c r="C52" s="648">
        <v>11549815</v>
      </c>
      <c r="D52" s="648">
        <v>12500000</v>
      </c>
      <c r="E52" s="410">
        <v>12500000</v>
      </c>
      <c r="F52" s="410">
        <v>14125000</v>
      </c>
    </row>
    <row r="53" spans="2:6" ht="14.25">
      <c r="B53" s="367" t="s">
        <v>1000</v>
      </c>
      <c r="C53" s="648">
        <v>5025338</v>
      </c>
      <c r="D53" s="648">
        <v>5100000</v>
      </c>
      <c r="E53" s="410">
        <v>5100000</v>
      </c>
      <c r="F53" s="410">
        <v>5763000</v>
      </c>
    </row>
    <row r="54" spans="2:6" ht="14.25">
      <c r="B54" s="367" t="s">
        <v>1001</v>
      </c>
      <c r="C54" s="648">
        <v>4757279</v>
      </c>
      <c r="D54" s="648">
        <v>5000000</v>
      </c>
      <c r="E54" s="410">
        <v>4000000</v>
      </c>
      <c r="F54" s="410">
        <v>4520000</v>
      </c>
    </row>
    <row r="55" spans="2:6" ht="14.25">
      <c r="B55" s="367" t="s">
        <v>1002</v>
      </c>
      <c r="C55" s="648">
        <v>967113</v>
      </c>
      <c r="D55" s="648">
        <v>1000000</v>
      </c>
      <c r="E55" s="410">
        <v>1000000</v>
      </c>
      <c r="F55" s="410">
        <v>1000000</v>
      </c>
    </row>
    <row r="56" spans="2:6" ht="14.25">
      <c r="B56" s="367" t="s">
        <v>1003</v>
      </c>
      <c r="C56" s="648">
        <v>17809</v>
      </c>
      <c r="D56" s="648">
        <v>10000</v>
      </c>
      <c r="E56" s="410">
        <v>10000</v>
      </c>
      <c r="F56" s="410">
        <v>15000</v>
      </c>
    </row>
    <row r="57" spans="2:6" ht="14.25">
      <c r="B57" s="367" t="s">
        <v>1004</v>
      </c>
      <c r="C57" s="648">
        <v>670</v>
      </c>
      <c r="D57" s="648">
        <v>1000</v>
      </c>
      <c r="E57" s="410">
        <v>1000</v>
      </c>
      <c r="F57" s="410">
        <v>1000</v>
      </c>
    </row>
    <row r="58" spans="2:6" ht="14.25">
      <c r="B58" s="367" t="s">
        <v>975</v>
      </c>
      <c r="C58" s="648">
        <v>107052</v>
      </c>
      <c r="D58" s="648">
        <v>62900</v>
      </c>
      <c r="E58" s="410">
        <v>87600</v>
      </c>
      <c r="F58" s="410">
        <v>87600</v>
      </c>
    </row>
    <row r="59" spans="2:6" ht="14.25">
      <c r="B59" s="367" t="s">
        <v>943</v>
      </c>
      <c r="C59" s="648">
        <v>0</v>
      </c>
      <c r="D59" s="648">
        <v>500</v>
      </c>
      <c r="E59" s="410">
        <v>500</v>
      </c>
      <c r="F59" s="410">
        <v>500</v>
      </c>
    </row>
    <row r="60" spans="2:6" ht="14.25">
      <c r="B60" s="367" t="s">
        <v>945</v>
      </c>
      <c r="C60" s="648">
        <v>4869</v>
      </c>
      <c r="D60" s="648">
        <v>5000</v>
      </c>
      <c r="E60" s="410">
        <v>5000</v>
      </c>
      <c r="F60" s="410">
        <v>5000</v>
      </c>
    </row>
    <row r="61" spans="2:6" ht="14.25">
      <c r="B61" s="367" t="s">
        <v>949</v>
      </c>
      <c r="C61" s="648">
        <v>1907</v>
      </c>
      <c r="D61" s="648">
        <v>4000</v>
      </c>
      <c r="E61" s="410">
        <v>4000</v>
      </c>
      <c r="F61" s="410">
        <v>4000</v>
      </c>
    </row>
    <row r="62" spans="2:6" ht="14.25">
      <c r="B62" s="367" t="s">
        <v>951</v>
      </c>
      <c r="C62" s="648">
        <v>6783</v>
      </c>
      <c r="D62" s="648">
        <v>3000</v>
      </c>
      <c r="E62" s="410">
        <v>3000</v>
      </c>
      <c r="F62" s="410">
        <v>3000</v>
      </c>
    </row>
    <row r="63" spans="2:6" ht="14.25">
      <c r="B63" s="367" t="s">
        <v>1005</v>
      </c>
      <c r="C63" s="648"/>
      <c r="D63" s="648">
        <v>0</v>
      </c>
      <c r="E63" s="410">
        <v>0</v>
      </c>
      <c r="F63" s="410">
        <v>0</v>
      </c>
    </row>
    <row r="64" spans="2:6" ht="14.25">
      <c r="B64" s="367" t="s">
        <v>956</v>
      </c>
      <c r="C64" s="648">
        <v>40923</v>
      </c>
      <c r="D64" s="648">
        <v>25000</v>
      </c>
      <c r="E64" s="410">
        <v>25000</v>
      </c>
      <c r="F64" s="410">
        <v>25000</v>
      </c>
    </row>
    <row r="65" spans="2:6" ht="14.25">
      <c r="B65" s="458" t="s">
        <v>16</v>
      </c>
      <c r="C65" s="410"/>
      <c r="D65" s="648">
        <v>0</v>
      </c>
      <c r="E65" s="459">
        <v>0</v>
      </c>
      <c r="F65" s="459">
        <v>0</v>
      </c>
    </row>
    <row r="66" spans="2:6" ht="15.75">
      <c r="B66" s="454" t="s">
        <v>804</v>
      </c>
      <c r="C66" s="413">
        <f>IF(C67*0.1&lt;C65,"Exceed 10% Rule","")</f>
      </c>
      <c r="D66" s="94">
        <f>IF(D67*0.1&lt;D65,"Exceed 10% Rule","")</f>
      </c>
      <c r="E66" s="460">
        <f>IF(E67*0.1&lt;E65,"Exceed 10% Rule","")</f>
      </c>
      <c r="F66" s="460">
        <f>IF(F67*0.1&lt;F65,"Exceed 10% Rule","")</f>
      </c>
    </row>
    <row r="67" spans="2:6" ht="15">
      <c r="B67" s="461" t="s">
        <v>111</v>
      </c>
      <c r="C67" s="462">
        <f>SUM(C43:C65)</f>
        <v>22981941</v>
      </c>
      <c r="D67" s="649">
        <f>SUM(D43:D65)</f>
        <v>24185700</v>
      </c>
      <c r="E67" s="462">
        <f>SUM(E43:E65)</f>
        <v>23161700</v>
      </c>
      <c r="F67" s="462">
        <f>SUM(F43:F65)</f>
        <v>26003400</v>
      </c>
    </row>
    <row r="68" spans="2:6" ht="15">
      <c r="B68" s="461" t="s">
        <v>112</v>
      </c>
      <c r="C68" s="462">
        <f>C41+C67</f>
        <v>25755396</v>
      </c>
      <c r="D68" s="649">
        <f>D41+D67</f>
        <v>26451058</v>
      </c>
      <c r="E68" s="462">
        <f>E41+E67</f>
        <v>28726054</v>
      </c>
      <c r="F68" s="462">
        <f>F41+F67</f>
        <v>28764051</v>
      </c>
    </row>
    <row r="69" spans="2:6" ht="15.75">
      <c r="B69" s="463" t="s">
        <v>113</v>
      </c>
      <c r="C69" s="455"/>
      <c r="D69" s="90"/>
      <c r="E69" s="455"/>
      <c r="F69" s="455"/>
    </row>
    <row r="70" spans="2:6" ht="14.25">
      <c r="B70" s="372" t="s">
        <v>962</v>
      </c>
      <c r="C70" s="410">
        <v>7033210</v>
      </c>
      <c r="D70" s="648">
        <v>7194379</v>
      </c>
      <c r="E70" s="410">
        <v>7179093</v>
      </c>
      <c r="F70" s="410">
        <v>7080625</v>
      </c>
    </row>
    <row r="71" spans="2:6" ht="14.25">
      <c r="B71" s="372" t="s">
        <v>963</v>
      </c>
      <c r="C71" s="410">
        <v>1706193</v>
      </c>
      <c r="D71" s="648">
        <v>1945159</v>
      </c>
      <c r="E71" s="410">
        <v>2548681</v>
      </c>
      <c r="F71" s="410">
        <v>2152533</v>
      </c>
    </row>
    <row r="72" spans="2:6" ht="14.25">
      <c r="B72" s="372" t="s">
        <v>964</v>
      </c>
      <c r="C72" s="410">
        <v>2503486</v>
      </c>
      <c r="D72" s="648">
        <v>2818821</v>
      </c>
      <c r="E72" s="410">
        <v>2949923</v>
      </c>
      <c r="F72" s="410">
        <v>2993180</v>
      </c>
    </row>
    <row r="73" spans="2:6" ht="14.25">
      <c r="B73" s="372" t="s">
        <v>965</v>
      </c>
      <c r="C73" s="410">
        <v>4002129</v>
      </c>
      <c r="D73" s="648">
        <v>3815354</v>
      </c>
      <c r="E73" s="410">
        <v>4072050</v>
      </c>
      <c r="F73" s="410">
        <v>4350354</v>
      </c>
    </row>
    <row r="74" spans="2:6" ht="14.25">
      <c r="B74" s="372" t="s">
        <v>991</v>
      </c>
      <c r="C74" s="410">
        <v>1561983</v>
      </c>
      <c r="D74" s="648">
        <f>2435788+205000+91000</f>
        <v>2731788</v>
      </c>
      <c r="E74" s="410">
        <v>2605862</v>
      </c>
      <c r="F74" s="410">
        <v>2569631</v>
      </c>
    </row>
    <row r="75" spans="2:6" ht="14.25">
      <c r="B75" s="372" t="s">
        <v>966</v>
      </c>
      <c r="C75" s="410">
        <v>1429208</v>
      </c>
      <c r="D75" s="648">
        <v>4526123</v>
      </c>
      <c r="E75" s="410">
        <v>4422394</v>
      </c>
      <c r="F75" s="410">
        <v>3882394</v>
      </c>
    </row>
    <row r="76" spans="2:6" ht="14.25">
      <c r="B76" s="372" t="s">
        <v>47</v>
      </c>
      <c r="C76" s="410">
        <v>1863833</v>
      </c>
      <c r="D76" s="648">
        <v>1891400</v>
      </c>
      <c r="E76" s="410">
        <v>1891400</v>
      </c>
      <c r="F76" s="410">
        <v>1891400</v>
      </c>
    </row>
    <row r="77" spans="2:6" ht="14.25">
      <c r="B77" s="464" t="s">
        <v>16</v>
      </c>
      <c r="C77" s="410">
        <v>91000</v>
      </c>
      <c r="D77" s="648">
        <v>0</v>
      </c>
      <c r="E77" s="459">
        <f>91000+205000</f>
        <v>296000</v>
      </c>
      <c r="F77" s="459">
        <f>91000+205000</f>
        <v>296000</v>
      </c>
    </row>
    <row r="78" spans="2:6" ht="14.25">
      <c r="B78" s="464" t="s">
        <v>805</v>
      </c>
      <c r="C78" s="413">
        <f>IF(C79*0.1&lt;C77,"Exceed 10% Rule","")</f>
      </c>
      <c r="D78" s="460"/>
      <c r="E78" s="460">
        <f>IF(E79*0.1&lt;E77,"Exceed 10% Rule","")</f>
      </c>
      <c r="F78" s="460">
        <f>IF(F79*0.1&lt;F77,"Exceed 10% Rule","")</f>
      </c>
    </row>
    <row r="79" spans="2:6" ht="15">
      <c r="B79" s="461" t="s">
        <v>117</v>
      </c>
      <c r="C79" s="649">
        <f>SUM(C70:C77)</f>
        <v>20191042</v>
      </c>
      <c r="D79" s="649">
        <f>SUM(D70:D77)</f>
        <v>24923024</v>
      </c>
      <c r="E79" s="462">
        <f>SUM(E70:E77)</f>
        <v>25965403</v>
      </c>
      <c r="F79" s="462">
        <f>SUM(F70:F77)</f>
        <v>25216117</v>
      </c>
    </row>
    <row r="80" spans="2:6" ht="14.25">
      <c r="B80" s="463" t="s">
        <v>224</v>
      </c>
      <c r="C80" s="648">
        <f>C68-C79</f>
        <v>5564354</v>
      </c>
      <c r="D80" s="648">
        <f>D68-D79</f>
        <v>1528034</v>
      </c>
      <c r="E80" s="455">
        <f>E68-E79</f>
        <v>2760651</v>
      </c>
      <c r="F80" s="455">
        <f>F68-F79</f>
        <v>3547934</v>
      </c>
    </row>
    <row r="81" spans="2:6" ht="15">
      <c r="B81" s="465" t="str">
        <f>CONCATENATE("",F1-2,"/",F1-1," Budget Authority Amount:")</f>
        <v>2010/2011 Budget Authority Amount:</v>
      </c>
      <c r="C81" s="466">
        <f>inputOth!B53</f>
        <v>22714797</v>
      </c>
      <c r="D81" s="466"/>
      <c r="E81" s="466">
        <f>inputPrYr!D24</f>
        <v>25965403</v>
      </c>
      <c r="F81" s="467">
        <f>IF(F80&lt;0,"See Tab E","")</f>
      </c>
    </row>
    <row r="82" spans="2:6" ht="15">
      <c r="B82" s="465"/>
      <c r="C82" s="468">
        <f>IF(C79&gt;C81,"See Tab A","")</f>
      </c>
      <c r="D82" s="468"/>
      <c r="E82" s="468">
        <f>IF(E79&gt;E81,"See Tab C","")</f>
      </c>
      <c r="F82" s="448"/>
    </row>
    <row r="83" spans="2:6" ht="15">
      <c r="B83" s="465"/>
      <c r="C83" s="468">
        <f>IF(C80&lt;0,"See Tab B","")</f>
      </c>
      <c r="D83" s="468"/>
      <c r="E83" s="468">
        <f>IF(E80&lt;0,"See Tab D","")</f>
      </c>
      <c r="F83" s="448"/>
    </row>
    <row r="84" spans="2:6" ht="14.25">
      <c r="B84" s="448"/>
      <c r="C84" s="448"/>
      <c r="D84" s="448"/>
      <c r="E84" s="448"/>
      <c r="F84" s="448"/>
    </row>
    <row r="85" spans="2:6" ht="14.25">
      <c r="B85" s="397"/>
      <c r="C85" s="471"/>
      <c r="D85" s="471"/>
      <c r="E85" s="448"/>
      <c r="F85" s="448"/>
    </row>
  </sheetData>
  <sheetProtection/>
  <conditionalFormatting sqref="C17:D17">
    <cfRule type="cellIs" priority="4" dxfId="114" operator="greaterThan" stopIfTrue="1">
      <formula>$C$19*0.1</formula>
    </cfRule>
  </conditionalFormatting>
  <conditionalFormatting sqref="E17">
    <cfRule type="cellIs" priority="5" dxfId="114" operator="greaterThan" stopIfTrue="1">
      <formula>$E$19*0.1</formula>
    </cfRule>
  </conditionalFormatting>
  <conditionalFormatting sqref="F17">
    <cfRule type="cellIs" priority="6" dxfId="114" operator="greaterThan" stopIfTrue="1">
      <formula>$F$19*0.1</formula>
    </cfRule>
  </conditionalFormatting>
  <conditionalFormatting sqref="C30">
    <cfRule type="cellIs" priority="7" dxfId="114" operator="greaterThan" stopIfTrue="1">
      <formula>$C$32*0.1</formula>
    </cfRule>
  </conditionalFormatting>
  <conditionalFormatting sqref="E30">
    <cfRule type="cellIs" priority="8" dxfId="114" operator="greaterThan" stopIfTrue="1">
      <formula>$E$32*0.1</formula>
    </cfRule>
  </conditionalFormatting>
  <conditionalFormatting sqref="F30">
    <cfRule type="cellIs" priority="9" dxfId="114" operator="greaterThan" stopIfTrue="1">
      <formula>$F$32*0.1</formula>
    </cfRule>
  </conditionalFormatting>
  <conditionalFormatting sqref="C65:D65">
    <cfRule type="cellIs" priority="10" dxfId="114" operator="greaterThan" stopIfTrue="1">
      <formula>$C$67*0.1</formula>
    </cfRule>
  </conditionalFormatting>
  <conditionalFormatting sqref="E65">
    <cfRule type="cellIs" priority="11" dxfId="114" operator="greaterThan" stopIfTrue="1">
      <formula>$E$67*0.1</formula>
    </cfRule>
  </conditionalFormatting>
  <conditionalFormatting sqref="F65">
    <cfRule type="cellIs" priority="12" dxfId="114" operator="greaterThan" stopIfTrue="1">
      <formula>$F$67*0.1</formula>
    </cfRule>
  </conditionalFormatting>
  <conditionalFormatting sqref="C77">
    <cfRule type="cellIs" priority="13" dxfId="114" operator="greaterThan" stopIfTrue="1">
      <formula>$C$79*0.1</formula>
    </cfRule>
  </conditionalFormatting>
  <conditionalFormatting sqref="E77">
    <cfRule type="cellIs" priority="14" dxfId="114" operator="greaterThan" stopIfTrue="1">
      <formula>$E$79*0.1</formula>
    </cfRule>
  </conditionalFormatting>
  <conditionalFormatting sqref="F77">
    <cfRule type="cellIs" priority="15" dxfId="114" operator="greaterThan" stopIfTrue="1">
      <formula>$F$79*0.1</formula>
    </cfRule>
  </conditionalFormatting>
  <conditionalFormatting sqref="E79">
    <cfRule type="cellIs" priority="16" dxfId="1" operator="greaterThan" stopIfTrue="1">
      <formula>$E$81</formula>
    </cfRule>
  </conditionalFormatting>
  <conditionalFormatting sqref="F80 F33 C33">
    <cfRule type="cellIs" priority="18" dxfId="1" operator="lessThan" stopIfTrue="1">
      <formula>0</formula>
    </cfRule>
  </conditionalFormatting>
  <conditionalFormatting sqref="E32">
    <cfRule type="cellIs" priority="19" dxfId="1" operator="greaterThan" stopIfTrue="1">
      <formula>$E$34</formula>
    </cfRule>
  </conditionalFormatting>
  <conditionalFormatting sqref="C32:D32">
    <cfRule type="cellIs" priority="20" dxfId="1" operator="greaterThan" stopIfTrue="1">
      <formula>$C$34</formula>
    </cfRule>
  </conditionalFormatting>
  <conditionalFormatting sqref="E33">
    <cfRule type="cellIs" priority="3" dxfId="0" operator="lessThan" stopIfTrue="1">
      <formula>0</formula>
    </cfRule>
  </conditionalFormatting>
  <conditionalFormatting sqref="E80">
    <cfRule type="cellIs" priority="2" dxfId="0" operator="lessThan" stopIfTrue="1">
      <formula>0</formula>
    </cfRule>
  </conditionalFormatting>
  <conditionalFormatting sqref="C33">
    <cfRule type="cellIs" priority="1" dxfId="114" operator="greaterThan" stopIfTrue="1">
      <formula>$C$32*0.1</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oddFooter>&amp;C&amp;"Arial,Regular"&amp;10KC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ug</cp:lastModifiedBy>
  <cp:lastPrinted>2011-08-12T19:50:31Z</cp:lastPrinted>
  <dcterms:created xsi:type="dcterms:W3CDTF">1999-08-03T13:11:47Z</dcterms:created>
  <dcterms:modified xsi:type="dcterms:W3CDTF">2011-08-12T19:52:57Z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