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1176" tabRatio="909" firstSheet="20" activeTab="27"/>
  </bookViews>
  <sheets>
    <sheet name="inputPrYr" sheetId="1" r:id="rId1"/>
    <sheet name="inputOth" sheetId="2" r:id="rId2"/>
    <sheet name="inputBudSum" sheetId="3" r:id="rId3"/>
    <sheet name="computation" sheetId="4" r:id="rId4"/>
    <sheet name="cert" sheetId="5" r:id="rId5"/>
    <sheet name="mvalloc" sheetId="6" r:id="rId6"/>
    <sheet name="transfers" sheetId="7" r:id="rId7"/>
    <sheet name="debt" sheetId="8" r:id="rId8"/>
    <sheet name="lpform" sheetId="9" r:id="rId9"/>
    <sheet name="general" sheetId="10" r:id="rId10"/>
    <sheet name="GenDetail" sheetId="11" r:id="rId11"/>
    <sheet name="DebtSvs-levy page 8" sheetId="12" r:id="rId12"/>
    <sheet name="levy page9" sheetId="13" r:id="rId13"/>
    <sheet name="Sp Hiway" sheetId="14" r:id="rId14"/>
    <sheet name="no levy page11" sheetId="15" r:id="rId15"/>
    <sheet name="no levy page12" sheetId="16" r:id="rId16"/>
    <sheet name="no levy page13" sheetId="17" r:id="rId17"/>
    <sheet name="no levy page14" sheetId="18" r:id="rId18"/>
    <sheet name="no levy page15" sheetId="19" r:id="rId19"/>
    <sheet name="no levy page16" sheetId="20" r:id="rId20"/>
    <sheet name="no levy page17" sheetId="21" r:id="rId21"/>
    <sheet name="no levy page18" sheetId="22" r:id="rId22"/>
    <sheet name="no levy page19" sheetId="23" r:id="rId23"/>
    <sheet name="SinNoLevy20" sheetId="24" r:id="rId24"/>
    <sheet name="SinNoLevy21" sheetId="25" r:id="rId25"/>
    <sheet name="summ" sheetId="26" r:id="rId26"/>
    <sheet name="nhood" sheetId="27" r:id="rId27"/>
    <sheet name="ordinance" sheetId="28" r:id="rId28"/>
    <sheet name="Tab A" sheetId="29" r:id="rId29"/>
    <sheet name="Tab B" sheetId="30" r:id="rId30"/>
    <sheet name="Tab C" sheetId="31" r:id="rId31"/>
    <sheet name="Tab D" sheetId="32" r:id="rId32"/>
    <sheet name="Tab E" sheetId="33" r:id="rId33"/>
  </sheets>
  <definedNames>
    <definedName name="_xlnm.Print_Area" localSheetId="11">'DebtSvs-levy page 8'!$B$1:$E$74</definedName>
    <definedName name="_xlnm.Print_Area" localSheetId="9">'general'!$B$1:$E$115</definedName>
    <definedName name="_xlnm.Print_Area" localSheetId="0">'inputPrYr'!$A$1:$E$118</definedName>
    <definedName name="_xlnm.Print_Area" localSheetId="8">'lpform'!$A$1:$H$38</definedName>
    <definedName name="_xlnm.Print_Area" localSheetId="25">'summ'!$A$1:$H$59</definedName>
  </definedNames>
  <calcPr fullCalcOnLoad="1"/>
</workbook>
</file>

<file path=xl/sharedStrings.xml><?xml version="1.0" encoding="utf-8"?>
<sst xmlns="http://schemas.openxmlformats.org/spreadsheetml/2006/main" count="1582" uniqueCount="730">
  <si>
    <t>Outstanding Indebtedness, January 1:</t>
  </si>
  <si>
    <t>From the League of Municipalities' Budget Tips (Special City and County Highway Fund):</t>
  </si>
  <si>
    <t>Attest:_____________________,</t>
  </si>
  <si>
    <t>County Treasurers Slider Estimate</t>
  </si>
  <si>
    <t>Slider Factor</t>
  </si>
  <si>
    <t>Allocation of MVT, RVT, 16/20M Veh &amp; Slider</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</si>
  <si>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</si>
  <si>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</si>
  <si>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</si>
  <si>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</si>
  <si>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</si>
  <si>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</si>
  <si>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</si>
  <si>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Enter City Name (City of)</t>
  </si>
  <si>
    <t>Enter County Name followed by "County"</t>
  </si>
  <si>
    <t>***If you are merely leasing/renting with no intent to purchase, do not list--such transactions are not lease-purchases.</t>
  </si>
  <si>
    <t>Employee Benefits</t>
  </si>
  <si>
    <t>Debt Service</t>
  </si>
  <si>
    <t>(Note: Should agree with general sub-totals.)</t>
  </si>
  <si>
    <t xml:space="preserve">Ad Valorem Tax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</si>
  <si>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</si>
  <si>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</si>
  <si>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</si>
  <si>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</si>
  <si>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</si>
  <si>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</si>
  <si>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</si>
  <si>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</si>
  <si>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</si>
  <si>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</si>
  <si>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</si>
  <si>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</si>
  <si>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</si>
  <si>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</si>
  <si>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</si>
  <si>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</si>
  <si>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</si>
  <si>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</si>
  <si>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</si>
  <si>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</si>
  <si>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</si>
  <si>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</si>
  <si>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</si>
  <si>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</si>
  <si>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</si>
  <si>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</si>
  <si>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</si>
  <si>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</si>
  <si>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</si>
  <si>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</si>
  <si>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</si>
  <si>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</si>
  <si>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</si>
  <si>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</si>
  <si>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</si>
  <si>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</si>
  <si>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</si>
  <si>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</si>
  <si>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</si>
  <si>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</si>
  <si>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</si>
  <si>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</si>
  <si>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</si>
  <si>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</si>
  <si>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</si>
  <si>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</si>
  <si>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</si>
  <si>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</si>
  <si>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</si>
  <si>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</si>
  <si>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</si>
  <si>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</si>
  <si>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</si>
  <si>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</si>
  <si>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</si>
  <si>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</si>
  <si>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</si>
  <si>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</si>
  <si>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</si>
  <si>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</si>
  <si>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</si>
  <si>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</si>
  <si>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</si>
  <si>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</si>
  <si>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</si>
  <si>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</si>
  <si>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</si>
  <si>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</si>
  <si>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</si>
  <si>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</si>
  <si>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</si>
  <si>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</si>
  <si>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</si>
  <si>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</si>
  <si>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</si>
  <si>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</si>
  <si>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</si>
  <si>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</si>
  <si>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</si>
  <si>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</si>
  <si>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</si>
  <si>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</si>
  <si>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</si>
  <si>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</si>
  <si>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</si>
  <si>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</si>
  <si>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</si>
  <si>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</si>
  <si>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</si>
  <si>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</si>
  <si>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</si>
  <si>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</si>
  <si>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</si>
  <si>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</si>
  <si>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</si>
  <si>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</si>
  <si>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</si>
  <si>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</si>
  <si>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</si>
  <si>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</si>
  <si>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</si>
  <si>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</si>
  <si>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</si>
  <si>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</si>
  <si>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</si>
  <si>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</si>
  <si>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</si>
  <si>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</si>
  <si>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</si>
  <si>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</si>
  <si>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</si>
  <si>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</si>
  <si>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</si>
  <si>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</si>
  <si>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</si>
  <si>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</si>
  <si>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</si>
  <si>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</si>
  <si>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</si>
  <si>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</si>
  <si>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</si>
  <si>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</si>
  <si>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</si>
  <si>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</si>
  <si>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</si>
  <si>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</si>
  <si>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</si>
  <si>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</si>
  <si>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</si>
  <si>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</si>
  <si>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</si>
  <si>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</si>
  <si>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</si>
  <si>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</si>
  <si>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</si>
  <si>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</si>
  <si>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</si>
  <si>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</si>
  <si>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</si>
  <si>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</si>
  <si>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</si>
  <si>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</si>
  <si>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</si>
  <si>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</si>
  <si>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</si>
  <si>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</si>
  <si>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</si>
  <si>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</si>
  <si>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</si>
  <si>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</si>
  <si>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</si>
  <si>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</si>
  <si>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</si>
  <si>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</si>
  <si>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</si>
  <si>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</si>
  <si>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</si>
  <si>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</si>
  <si>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</si>
  <si>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</si>
  <si>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</si>
  <si>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</si>
  <si>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</si>
  <si>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Page No. 7</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</si>
  <si>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</si>
  <si>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</si>
  <si>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</si>
  <si>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</si>
  <si>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</si>
  <si>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</si>
  <si>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</si>
  <si>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</si>
  <si>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Page No. 7a</t>
  </si>
  <si>
    <t>7b</t>
  </si>
  <si>
    <t>Current</t>
  </si>
  <si>
    <t>Proposed</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</si>
  <si>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</si>
  <si>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</si>
  <si>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</si>
  <si>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</si>
  <si>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</si>
  <si>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</si>
  <si>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</si>
  <si>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</si>
  <si>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</si>
  <si>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</si>
  <si>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</si>
  <si>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</si>
  <si>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</si>
  <si>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</si>
  <si>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</si>
  <si>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</si>
  <si>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</si>
  <si>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</si>
  <si>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</si>
  <si>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 xml:space="preserve">Prior Year Actual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</si>
  <si>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</si>
  <si>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</si>
  <si>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</si>
  <si>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</si>
  <si>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</si>
  <si>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</si>
  <si>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</si>
  <si>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</si>
  <si>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</si>
  <si>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</si>
  <si>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</si>
  <si>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</si>
  <si>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</si>
  <si>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</si>
  <si>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</si>
  <si>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</si>
  <si>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</si>
  <si>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</si>
  <si>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</si>
  <si>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</si>
  <si>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</si>
  <si>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</si>
  <si>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</si>
  <si>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</si>
  <si>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</si>
  <si>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</si>
  <si>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</si>
  <si>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</si>
  <si>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</si>
  <si>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</si>
  <si>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</si>
  <si>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Note:  All amounts are to be entered in as whole numbers only.</t>
  </si>
  <si>
    <t xml:space="preserve">The input for the following comes directly from </t>
  </si>
  <si>
    <t>Budget Summary</t>
  </si>
  <si>
    <t>Is an Ordinance required  to be passed, published, and attached to the budget?</t>
  </si>
  <si>
    <t>Valuation Factor:</t>
  </si>
  <si>
    <t>Neighborhood Revitalization Subj to Rebate:</t>
  </si>
  <si>
    <t>Neighborhood Revitalization factor:</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</si>
  <si>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</si>
  <si>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</si>
  <si>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</si>
  <si>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</si>
  <si>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7c</t>
  </si>
  <si>
    <t>Page 1 - Total</t>
  </si>
  <si>
    <t>Page 1 -Total</t>
  </si>
  <si>
    <t>Page 2 -Total</t>
  </si>
  <si>
    <t xml:space="preserve">Grand Total </t>
  </si>
  <si>
    <t xml:space="preserve">           General Fund - Detail Page 1</t>
  </si>
  <si>
    <t xml:space="preserve">           General Fund - Detail Page 2</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</si>
  <si>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</si>
  <si>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</si>
  <si>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</si>
  <si>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</si>
  <si>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</si>
  <si>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</si>
  <si>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</si>
  <si>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</si>
  <si>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</si>
  <si>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</si>
  <si>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</si>
  <si>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</si>
  <si>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</si>
  <si>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</si>
  <si>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</si>
  <si>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</si>
  <si>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</si>
  <si>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</si>
  <si>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</si>
  <si>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</si>
  <si>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</si>
  <si>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</si>
  <si>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</si>
  <si>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</si>
  <si>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</si>
  <si>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</si>
  <si>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</si>
  <si>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</si>
  <si>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</si>
  <si>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</si>
  <si>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</si>
  <si>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</si>
  <si>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</si>
  <si>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</si>
  <si>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</si>
  <si>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</si>
  <si>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</si>
  <si>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</si>
  <si>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</si>
  <si>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</si>
  <si>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</si>
  <si>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</si>
  <si>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</si>
  <si>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</si>
  <si>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</si>
  <si>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</si>
  <si>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</si>
  <si>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</si>
  <si>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</si>
  <si>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</si>
  <si>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</si>
  <si>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</si>
  <si>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</si>
  <si>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</si>
  <si>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</si>
  <si>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</si>
  <si>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</si>
  <si>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</si>
  <si>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</si>
  <si>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</si>
  <si>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</si>
  <si>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</si>
  <si>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</si>
  <si>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</si>
  <si>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</si>
  <si>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</si>
  <si>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</si>
  <si>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</si>
  <si>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</si>
  <si>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</si>
  <si>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</si>
  <si>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</si>
  <si>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</si>
  <si>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</si>
  <si>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</si>
  <si>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</si>
  <si>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</si>
  <si>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</si>
  <si>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</si>
  <si>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</si>
  <si>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</si>
  <si>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</si>
  <si>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</si>
  <si>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</si>
  <si>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</si>
  <si>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</si>
  <si>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</si>
  <si>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</si>
  <si>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</si>
  <si>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</si>
  <si>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</si>
  <si>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</si>
  <si>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</si>
  <si>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</si>
  <si>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</si>
  <si>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</si>
  <si>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</si>
  <si>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</si>
  <si>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</si>
  <si>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</si>
  <si>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</si>
  <si>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</si>
  <si>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</si>
  <si>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</si>
  <si>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</si>
  <si>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</si>
  <si>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</si>
  <si>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</si>
  <si>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</si>
  <si>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</si>
  <si>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</si>
  <si>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</si>
  <si>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</si>
  <si>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</si>
  <si>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</si>
  <si>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</si>
  <si>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</si>
  <si>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</si>
  <si>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</si>
  <si>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</si>
  <si>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</si>
  <si>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</si>
  <si>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</si>
  <si>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</si>
  <si>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</si>
  <si>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</si>
  <si>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</si>
  <si>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</si>
  <si>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</si>
  <si>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</si>
  <si>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</si>
  <si>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</si>
  <si>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</si>
  <si>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</si>
  <si>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</si>
  <si>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</si>
  <si>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</si>
  <si>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</si>
  <si>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</si>
  <si>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</si>
  <si>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</si>
  <si>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</si>
  <si>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</si>
  <si>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</si>
  <si>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</si>
  <si>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</si>
  <si>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</si>
  <si>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</si>
  <si>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</si>
  <si>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</si>
  <si>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</si>
  <si>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</si>
  <si>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</si>
  <si>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</si>
  <si>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</si>
  <si>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</si>
  <si>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</si>
  <si>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</si>
  <si>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</si>
  <si>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</si>
  <si>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</si>
  <si>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</si>
  <si>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</si>
  <si>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</si>
  <si>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</si>
  <si>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</si>
  <si>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</si>
  <si>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</si>
  <si>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</si>
  <si>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</si>
  <si>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</si>
  <si>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</si>
  <si>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</si>
  <si>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</si>
  <si>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</si>
  <si>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</si>
  <si>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</si>
  <si>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</si>
  <si>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</si>
  <si>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</si>
  <si>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</si>
  <si>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</si>
  <si>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</si>
  <si>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</si>
  <si>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</si>
  <si>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</si>
  <si>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</si>
  <si>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</si>
  <si>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</si>
  <si>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</si>
  <si>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</si>
  <si>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</si>
  <si>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</si>
  <si>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</si>
  <si>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</si>
  <si>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</si>
  <si>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</si>
  <si>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</si>
  <si>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</si>
  <si>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</si>
  <si>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</si>
  <si>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</si>
  <si>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</si>
  <si>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</si>
  <si>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</si>
  <si>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</si>
  <si>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</si>
  <si>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</si>
  <si>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</si>
  <si>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</si>
  <si>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</si>
  <si>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</si>
  <si>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</si>
  <si>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</si>
  <si>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</si>
  <si>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</si>
  <si>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answering objections of taxpayers relating to the proposed use of all funds and the amount of ad valorem tax.</t>
  </si>
  <si>
    <t>the Neighborhood Revitalization Rebate table.</t>
  </si>
  <si>
    <t>*Note:</t>
  </si>
  <si>
    <t>Expenditure</t>
  </si>
  <si>
    <t>Receipt</t>
  </si>
  <si>
    <t xml:space="preserve">Fund Transferred </t>
  </si>
  <si>
    <t>Fund Transferred</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</si>
  <si>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</si>
  <si>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</si>
  <si>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</si>
  <si>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</si>
  <si>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</si>
  <si>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</si>
  <si>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</si>
  <si>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for Expenditures</t>
  </si>
  <si>
    <t>Official Title:</t>
  </si>
  <si>
    <t>City Clerk, City Treasurer, Mayor</t>
  </si>
  <si>
    <t>Local Sales Tax</t>
  </si>
  <si>
    <t>Licenses</t>
  </si>
  <si>
    <t>Desired Carryover Amount:</t>
  </si>
  <si>
    <t>Estimated Mill Rate Impact:</t>
  </si>
  <si>
    <t xml:space="preserve">Totals </t>
  </si>
  <si>
    <t>and hearing held.</t>
  </si>
  <si>
    <t xml:space="preserve">Must be at least 10 days between date published </t>
  </si>
  <si>
    <t>Does miscellaneous exceed 10% Total Rec</t>
  </si>
  <si>
    <t>Does miscellaneous exceed 10% Total Exp</t>
  </si>
  <si>
    <t>Does miscellanous exceed 10% Total Exp</t>
  </si>
  <si>
    <t>Does miscellaneous exceed 10% Total Expenditures</t>
  </si>
  <si>
    <t>Ellsworth County</t>
  </si>
  <si>
    <t>Library</t>
  </si>
  <si>
    <t>Fire/Police</t>
  </si>
  <si>
    <t>12-1220</t>
  </si>
  <si>
    <t>12-110b</t>
  </si>
  <si>
    <t>Special Parks &amp; Recreation</t>
  </si>
  <si>
    <t>Solid Waste</t>
  </si>
  <si>
    <t>Capital Improvement</t>
  </si>
  <si>
    <t>Municipal Equipment Reserve</t>
  </si>
  <si>
    <t>Tourism &amp; Convention</t>
  </si>
  <si>
    <t>Transportation District</t>
  </si>
  <si>
    <t>W/S Emergency Depreciation</t>
  </si>
  <si>
    <t>2007 TDD Project Fund</t>
  </si>
  <si>
    <t>2007 TDD Debt Service Reserve</t>
  </si>
  <si>
    <t>2007 TDD Cost of Issuance</t>
  </si>
  <si>
    <t>2007 TDD Prinicpal &amp; Interest</t>
  </si>
  <si>
    <t>2009 Temp Note Debt Service</t>
  </si>
  <si>
    <t>2009 Temp Note Cost of Issuance</t>
  </si>
  <si>
    <t>2009 Temp Note Improvement</t>
  </si>
  <si>
    <t>Water/Sewer</t>
  </si>
  <si>
    <t>Recreation &amp; Pool</t>
  </si>
  <si>
    <t>2011 Redemption</t>
  </si>
  <si>
    <t>2011 Cost of Issuance</t>
  </si>
  <si>
    <t>2011 Bond Compliance</t>
  </si>
  <si>
    <t>Water/Sewer Improvement</t>
  </si>
  <si>
    <t>W/W Treatment Plant Imp</t>
  </si>
  <si>
    <t>Connecting Link</t>
  </si>
  <si>
    <t>Electric Franchise Fee</t>
  </si>
  <si>
    <t>Gas Franchise Fee</t>
  </si>
  <si>
    <t>Telephone Franchise Fee</t>
  </si>
  <si>
    <t>Water/Sewer Franchise Fee</t>
  </si>
  <si>
    <t>Airport</t>
  </si>
  <si>
    <t>Burial Permits</t>
  </si>
  <si>
    <t>Cemetery Lots</t>
  </si>
  <si>
    <t>Building Permits</t>
  </si>
  <si>
    <t>Leases</t>
  </si>
  <si>
    <t>Hall Rent</t>
  </si>
  <si>
    <t>Animal Impound</t>
  </si>
  <si>
    <t>Cable Franchise Fee</t>
  </si>
  <si>
    <t>County Sales Tax</t>
  </si>
  <si>
    <t>Fines</t>
  </si>
  <si>
    <t>Fees</t>
  </si>
  <si>
    <t>Refunds &amp; Reimbursements</t>
  </si>
  <si>
    <t>Rural Fire Contracts</t>
  </si>
  <si>
    <t>Administrative Fees</t>
  </si>
  <si>
    <t>Concessions-Clubhouse</t>
  </si>
  <si>
    <t>Season Pass</t>
  </si>
  <si>
    <t>Transfer from W/S Non-Operating to Emp Benefits</t>
  </si>
  <si>
    <t>Sales Tax - Clubhouse</t>
  </si>
  <si>
    <t>Greens Fees</t>
  </si>
  <si>
    <t>Cart Rental</t>
  </si>
  <si>
    <t>Sponsorship - Tournaments</t>
  </si>
  <si>
    <t>Tournament Fee</t>
  </si>
  <si>
    <t>Jr. Golf Fees</t>
  </si>
  <si>
    <t>Room Rental - Clubhouse</t>
  </si>
  <si>
    <t>Trail Fees</t>
  </si>
  <si>
    <t>Driving Range</t>
  </si>
  <si>
    <t>General Government</t>
  </si>
  <si>
    <t xml:space="preserve">  Transfer to Capital Improvements</t>
  </si>
  <si>
    <t xml:space="preserve">  Transfer to Municipal Equipment</t>
  </si>
  <si>
    <t>Police</t>
  </si>
  <si>
    <t>Fire</t>
  </si>
  <si>
    <t>Street</t>
  </si>
  <si>
    <t>ECF Parks</t>
  </si>
  <si>
    <t>Cemetery</t>
  </si>
  <si>
    <t>Clubhouse</t>
  </si>
  <si>
    <t>Industrial</t>
  </si>
  <si>
    <t>Recreation/Community Development</t>
  </si>
  <si>
    <t>Golf Course</t>
  </si>
  <si>
    <t xml:space="preserve">  Personal Services</t>
  </si>
  <si>
    <t xml:space="preserve">  Transfer to Recreation</t>
  </si>
  <si>
    <t xml:space="preserve">  Community Development</t>
  </si>
  <si>
    <t>Local Quarter Cent Sales Tax</t>
  </si>
  <si>
    <t>Special Assessments</t>
  </si>
  <si>
    <t>Streetscape Special Assessments</t>
  </si>
  <si>
    <t xml:space="preserve">  Principal</t>
  </si>
  <si>
    <t xml:space="preserve">  Interest</t>
  </si>
  <si>
    <t xml:space="preserve">  Contracual</t>
  </si>
  <si>
    <t>Transfer from Water/Sewer</t>
  </si>
  <si>
    <t xml:space="preserve">  Library Board</t>
  </si>
  <si>
    <t xml:space="preserve">  Police Equipment</t>
  </si>
  <si>
    <t xml:space="preserve">  Fire Equipment</t>
  </si>
  <si>
    <t xml:space="preserve">  Transfer to Capital Improvement</t>
  </si>
  <si>
    <t>Local Alcoholic Liqour Tax</t>
  </si>
  <si>
    <t xml:space="preserve">  Summer Recreation</t>
  </si>
  <si>
    <t>Collection Fees</t>
  </si>
  <si>
    <t xml:space="preserve">  Trash Collections</t>
  </si>
  <si>
    <t xml:space="preserve">  Administrative Expense</t>
  </si>
  <si>
    <t>Tranient Guest Tax</t>
  </si>
  <si>
    <t xml:space="preserve">  Special Services</t>
  </si>
  <si>
    <t xml:space="preserve">  Publication - Legal/Advertising</t>
  </si>
  <si>
    <t xml:space="preserve">  Membership Dues</t>
  </si>
  <si>
    <t xml:space="preserve">  Special Expense</t>
  </si>
  <si>
    <t>One Cent Sales Tax</t>
  </si>
  <si>
    <t xml:space="preserve">  Other Contractual Services</t>
  </si>
  <si>
    <t>Donations</t>
  </si>
  <si>
    <t>Donations Downtown Beautification</t>
  </si>
  <si>
    <t>Transfer from General Fund</t>
  </si>
  <si>
    <t>Transfer for Recreation Fund</t>
  </si>
  <si>
    <t>Transfer from Special Highway Fund</t>
  </si>
  <si>
    <t>Transfer from Water/Sewer Fund</t>
  </si>
  <si>
    <t xml:space="preserve">  Downtown Beauification</t>
  </si>
  <si>
    <t xml:space="preserve">  General Fund</t>
  </si>
  <si>
    <t xml:space="preserve">  General Government</t>
  </si>
  <si>
    <t xml:space="preserve">  Police Department</t>
  </si>
  <si>
    <t xml:space="preserve">  Fire Department</t>
  </si>
  <si>
    <t xml:space="preserve">  Street, Cemetery, ECF Parks Departments</t>
  </si>
  <si>
    <t xml:space="preserve">  Golf Course Departments</t>
  </si>
  <si>
    <t xml:space="preserve">  Special Highway Fund</t>
  </si>
  <si>
    <t xml:space="preserve">  Airport Improvement</t>
  </si>
  <si>
    <t xml:space="preserve">  Water Transmission Department</t>
  </si>
  <si>
    <t xml:space="preserve">  Water Production Department</t>
  </si>
  <si>
    <t xml:space="preserve">  Sewer Disposal Department</t>
  </si>
  <si>
    <t xml:space="preserve">  Recreation Fund</t>
  </si>
  <si>
    <t>Sale of Equipment</t>
  </si>
  <si>
    <t>Memorial - Fire Department</t>
  </si>
  <si>
    <t>Transfer from Recreation Fund</t>
  </si>
  <si>
    <t xml:space="preserve">  General Government Department</t>
  </si>
  <si>
    <t xml:space="preserve">  Street, Cemetery, ECF Department</t>
  </si>
  <si>
    <t xml:space="preserve">  Water/Sewer Sewer Disposal Department</t>
  </si>
  <si>
    <t xml:space="preserve">  Golf Course Department</t>
  </si>
  <si>
    <t xml:space="preserve">  Water/Sewer Transmission Department</t>
  </si>
  <si>
    <t xml:space="preserve">  Recreation Department</t>
  </si>
  <si>
    <t xml:space="preserve">  Close Out Account</t>
  </si>
  <si>
    <t xml:space="preserve">  Close Out to 2007 TDD Debt Service Reserve</t>
  </si>
  <si>
    <t>Transfer from TDD Project Fund</t>
  </si>
  <si>
    <t>Transfer from TDD Cost of Issuance</t>
  </si>
  <si>
    <t xml:space="preserve">  Bond Principal</t>
  </si>
  <si>
    <t>Note Proceeds</t>
  </si>
  <si>
    <t xml:space="preserve">  Close Account to TDD Debt Service Reserve</t>
  </si>
  <si>
    <t>TDD 1% Sales Tax</t>
  </si>
  <si>
    <t xml:space="preserve">  Other Capital Outlay</t>
  </si>
  <si>
    <t xml:space="preserve">  Bond Interest</t>
  </si>
  <si>
    <t xml:space="preserve">  Contractual Services</t>
  </si>
  <si>
    <t xml:space="preserve">  Publication &amp; Legal</t>
  </si>
  <si>
    <t xml:space="preserve">  Other Contracual</t>
  </si>
  <si>
    <t xml:space="preserve">  Close Out Fund to Bond and Interest</t>
  </si>
  <si>
    <t xml:space="preserve">  Close Out Fund to Bond &amp; Interest</t>
  </si>
  <si>
    <t xml:space="preserve">  Maintenance</t>
  </si>
  <si>
    <t xml:space="preserve">  Loan Principal</t>
  </si>
  <si>
    <t xml:space="preserve">  Loan Interest</t>
  </si>
  <si>
    <t xml:space="preserve">  Loan Service Fee</t>
  </si>
  <si>
    <t>State Revolving Loan</t>
  </si>
  <si>
    <t xml:space="preserve">  Other Contracual Services</t>
  </si>
  <si>
    <t xml:space="preserve">  Close Account to Bond &amp; Interest</t>
  </si>
  <si>
    <t xml:space="preserve">  Close Out Account to Bond &amp; Interest</t>
  </si>
  <si>
    <t>User Fee</t>
  </si>
  <si>
    <t>Sales &amp; Charges</t>
  </si>
  <si>
    <t>Sales &amp; Charges - WTP</t>
  </si>
  <si>
    <t>Sewer Service Charges</t>
  </si>
  <si>
    <t>Sewer Service Charges - WWTP</t>
  </si>
  <si>
    <t>Penalties</t>
  </si>
  <si>
    <t>Consumer Deposits</t>
  </si>
  <si>
    <t>Sales Tax</t>
  </si>
  <si>
    <t>State Water Fee</t>
  </si>
  <si>
    <t>Administration</t>
  </si>
  <si>
    <t>Production</t>
  </si>
  <si>
    <t>Transmission</t>
  </si>
  <si>
    <t>Sewage Disposal</t>
  </si>
  <si>
    <t>Non-Operating</t>
  </si>
  <si>
    <t xml:space="preserve">  Sales Tax, State Water, Consumption</t>
  </si>
  <si>
    <t xml:space="preserve">  Transfer to Water/Sewer Emergeny Depr</t>
  </si>
  <si>
    <t xml:space="preserve">  Transfer to Bond &amp; Interest</t>
  </si>
  <si>
    <t xml:space="preserve">  Transfer to General - Employee Benefits</t>
  </si>
  <si>
    <t xml:space="preserve">  Transfer to Water/Sewer Improvement</t>
  </si>
  <si>
    <t>Miscellaneous Expense</t>
  </si>
  <si>
    <t>Seasonal Pass</t>
  </si>
  <si>
    <t>Daily Fees</t>
  </si>
  <si>
    <t>Pool Maintenance</t>
  </si>
  <si>
    <t>Change Fund Return</t>
  </si>
  <si>
    <t>Concessions - Recreation</t>
  </si>
  <si>
    <t>Concessions - Pool</t>
  </si>
  <si>
    <t>Facility User Fee - Recreation</t>
  </si>
  <si>
    <t>Lessons</t>
  </si>
  <si>
    <t>Refunds &amp; Reimbursement</t>
  </si>
  <si>
    <t>Transfer from General Fund - Rec/Community Devel</t>
  </si>
  <si>
    <t>Transfer from Water/Sewer - Non-Operating</t>
  </si>
  <si>
    <t>Recreation</t>
  </si>
  <si>
    <t xml:space="preserve">  Commidities</t>
  </si>
  <si>
    <t>Pool</t>
  </si>
  <si>
    <t xml:space="preserve">  Commidites</t>
  </si>
  <si>
    <t>General Fund - General Gov't</t>
  </si>
  <si>
    <t>K.S.A. 12-1, 118</t>
  </si>
  <si>
    <t>Municipal Equipment</t>
  </si>
  <si>
    <t>General Fund - Police</t>
  </si>
  <si>
    <t>Capital Improvements</t>
  </si>
  <si>
    <t>K.S.A. 12-1, 117</t>
  </si>
  <si>
    <t>General Fund - Fire</t>
  </si>
  <si>
    <t>General Fund - Street</t>
  </si>
  <si>
    <t>K.S.A. 12-1,118</t>
  </si>
  <si>
    <t>General Fund - Parks</t>
  </si>
  <si>
    <t>General Fund - Cemetery</t>
  </si>
  <si>
    <t>General Fund - Airport</t>
  </si>
  <si>
    <t>General Fund - Rec/Community</t>
  </si>
  <si>
    <t>K.S.A. 12-197</t>
  </si>
  <si>
    <t>General Fund - Golf Course</t>
  </si>
  <si>
    <t>Water/Sewer Transmission</t>
  </si>
  <si>
    <t>Water/Sewer - Sewer</t>
  </si>
  <si>
    <t>K.S.A. 12-825d</t>
  </si>
  <si>
    <t>Water/Sewer - Non-Operating</t>
  </si>
  <si>
    <t>Bond &amp; Interest</t>
  </si>
  <si>
    <t>General Fund - Emp Benefits</t>
  </si>
  <si>
    <t>Water/Sewer Improvements</t>
  </si>
  <si>
    <t>Recreation &amp; Pool - Recreation</t>
  </si>
  <si>
    <t>Recreation &amp; Pool - Pool</t>
  </si>
  <si>
    <t>August 22, 2011</t>
  </si>
  <si>
    <t>6:50 P.M.</t>
  </si>
  <si>
    <t>City Hall Council Chambers</t>
  </si>
  <si>
    <t>121 W. First Street, Ellsworth, KS  67439</t>
  </si>
  <si>
    <t>Backhoe/Streetsweeper</t>
  </si>
  <si>
    <t>G.O. Bonds 2005</t>
  </si>
  <si>
    <t>06/01&amp;12/01</t>
  </si>
  <si>
    <t>KDH&amp;E Water Loan</t>
  </si>
  <si>
    <t>08/012001</t>
  </si>
  <si>
    <t>2/1 &amp; 9/1</t>
  </si>
  <si>
    <t>KDH&amp;E Waste Water Loan</t>
  </si>
  <si>
    <t>3/1 &amp; 9/1</t>
  </si>
  <si>
    <t>2/1 &amp; 98/1</t>
  </si>
  <si>
    <t>2009 Temp Note</t>
  </si>
  <si>
    <t>City of Ellsworth</t>
  </si>
  <si>
    <t>ORDINANCE NUMBER 3022</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</si>
</sst>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s>
  <fonts count="67">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sz val="12"/>
      <color indexed="10"/>
      <name val="Courier"/>
      <family val="3"/>
    </font>
    <font>
      <b/>
      <sz val="12"/>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0"/>
      <name val="Times New Roman"/>
      <family val="1"/>
    </font>
    <font>
      <b/>
      <u val="single"/>
      <sz val="10"/>
      <name val="Times New Roman"/>
      <family val="1"/>
    </font>
    <font>
      <b/>
      <u val="single"/>
      <sz val="10"/>
      <name val="Courier"/>
      <family val="3"/>
    </font>
    <font>
      <b/>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sz val="10"/>
      <color rgb="FFFF0000"/>
      <name val="Times New Roman"/>
      <family val="1"/>
    </font>
    <font>
      <sz val="12"/>
      <color rgb="FFFF0000"/>
      <name val="Times New Roman"/>
      <family val="1"/>
    </font>
    <font>
      <b/>
      <sz val="12"/>
      <color rgb="FFFF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00FF00"/>
        <bgColor indexed="64"/>
      </patternFill>
    </fill>
    <fill>
      <patternFill patternType="solid">
        <fgColor rgb="FFFFFFC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medium"/>
      <bottom style="thin"/>
    </border>
  </borders>
  <cellStyleXfs count="3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45">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49"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5" fillId="34" borderId="11" xfId="0" applyFont="1" applyFill="1" applyBorder="1" applyAlignment="1" applyProtection="1">
      <alignment horizontal="left"/>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48" applyFont="1" applyFill="1" applyProtection="1">
      <alignment/>
      <protection/>
    </xf>
    <xf numFmtId="0" fontId="5" fillId="36" borderId="0" xfId="0" applyFont="1" applyFill="1" applyAlignment="1" applyProtection="1">
      <alignment/>
      <protection/>
    </xf>
    <xf numFmtId="0" fontId="5" fillId="0" borderId="0" xfId="0" applyFont="1" applyAlignment="1">
      <alignment vertical="center"/>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5" fillId="39"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9"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7" borderId="0" xfId="0" applyNumberFormat="1" applyFont="1" applyFill="1" applyAlignment="1" applyProtection="1">
      <alignment horizontal="center" vertical="center"/>
      <protection/>
    </xf>
    <xf numFmtId="0" fontId="5" fillId="37"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9" borderId="11" xfId="0" applyNumberFormat="1" applyFont="1" applyFill="1" applyBorder="1" applyAlignment="1" applyProtection="1">
      <alignment horizontal="left" vertical="center"/>
      <protection/>
    </xf>
    <xf numFmtId="0" fontId="5" fillId="39" borderId="11" xfId="0" applyFont="1" applyFill="1" applyBorder="1" applyAlignment="1" applyProtection="1">
      <alignment vertical="center"/>
      <protection/>
    </xf>
    <xf numFmtId="37" fontId="5" fillId="39" borderId="16" xfId="0" applyNumberFormat="1" applyFont="1" applyFill="1" applyBorder="1" applyAlignment="1" applyProtection="1">
      <alignment horizontal="left" vertical="center"/>
      <protection/>
    </xf>
    <xf numFmtId="0" fontId="5" fillId="39"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7" borderId="0" xfId="0" applyNumberFormat="1" applyFont="1" applyFill="1" applyAlignment="1" applyProtection="1">
      <alignment horizontal="left" vertical="center"/>
      <protection/>
    </xf>
    <xf numFmtId="0" fontId="6" fillId="39"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7"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178" fontId="5" fillId="34" borderId="10" xfId="0" applyNumberFormat="1" applyFont="1" applyFill="1" applyBorder="1" applyAlignment="1" applyProtection="1">
      <alignment vertical="center"/>
      <protection/>
    </xf>
    <xf numFmtId="0" fontId="0" fillId="34" borderId="11" xfId="0" applyFill="1" applyBorder="1" applyAlignment="1" applyProtection="1">
      <alignment vertical="center"/>
      <protection/>
    </xf>
    <xf numFmtId="37" fontId="4" fillId="37" borderId="0" xfId="0" applyNumberFormat="1" applyFont="1" applyFill="1" applyAlignment="1" applyProtection="1">
      <alignment horizontal="left" vertical="center"/>
      <protection/>
    </xf>
    <xf numFmtId="3" fontId="5" fillId="37"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9" borderId="12" xfId="0" applyFont="1" applyFill="1" applyBorder="1" applyAlignment="1">
      <alignment horizontal="center" vertical="center"/>
    </xf>
    <xf numFmtId="0" fontId="5" fillId="39" borderId="14" xfId="0" applyFont="1" applyFill="1" applyBorder="1" applyAlignment="1">
      <alignment horizontal="center" vertical="center"/>
    </xf>
    <xf numFmtId="0" fontId="17" fillId="34" borderId="0" xfId="0" applyFont="1" applyFill="1" applyAlignment="1">
      <alignment vertical="center"/>
    </xf>
    <xf numFmtId="0" fontId="18"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5" borderId="15" xfId="0" applyNumberFormat="1" applyFont="1" applyFill="1" applyBorder="1" applyAlignment="1" applyProtection="1">
      <alignment horizontal="center" vertical="center"/>
      <protection/>
    </xf>
    <xf numFmtId="3" fontId="5" fillId="35" borderId="15"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49"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0" fontId="5" fillId="34" borderId="20" xfId="0" applyNumberFormat="1" applyFont="1" applyFill="1" applyBorder="1" applyAlignment="1" applyProtection="1">
      <alignment horizontal="left"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40"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37" fontId="5" fillId="42" borderId="10" xfId="0" applyNumberFormat="1" applyFont="1" applyFill="1" applyBorder="1" applyAlignment="1" applyProtection="1">
      <alignment vertical="center"/>
      <protection/>
    </xf>
    <xf numFmtId="0" fontId="5" fillId="34" borderId="10" xfId="0" applyNumberFormat="1" applyFont="1" applyFill="1" applyBorder="1" applyAlignment="1" applyProtection="1">
      <alignment horizontal="center" vertical="center"/>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0" fillId="0" borderId="0" xfId="341">
      <alignment/>
      <protection/>
    </xf>
    <xf numFmtId="0" fontId="5" fillId="0" borderId="0" xfId="341" applyFont="1" applyAlignment="1">
      <alignment horizontal="left" vertical="center"/>
      <protection/>
    </xf>
    <xf numFmtId="0" fontId="20" fillId="0" borderId="0" xfId="341" applyNumberFormat="1" applyFont="1" applyAlignment="1">
      <alignment horizontal="left" vertical="center"/>
      <protection/>
    </xf>
    <xf numFmtId="49" fontId="5" fillId="43" borderId="0" xfId="341" applyNumberFormat="1" applyFont="1" applyFill="1" applyAlignment="1" applyProtection="1">
      <alignment horizontal="left" vertical="center"/>
      <protection locked="0"/>
    </xf>
    <xf numFmtId="189" fontId="13" fillId="0" borderId="0" xfId="341" applyNumberFormat="1" applyFont="1" applyAlignment="1">
      <alignment horizontal="left" vertical="center"/>
      <protection/>
    </xf>
    <xf numFmtId="49" fontId="5" fillId="0" borderId="0" xfId="341" applyNumberFormat="1" applyFont="1" applyAlignment="1">
      <alignment horizontal="left" vertical="center"/>
      <protection/>
    </xf>
    <xf numFmtId="0" fontId="13" fillId="0" borderId="0" xfId="341" applyFont="1" applyAlignment="1">
      <alignment horizontal="left" vertical="center"/>
      <protection/>
    </xf>
    <xf numFmtId="190" fontId="13" fillId="0" borderId="0" xfId="341" applyNumberFormat="1" applyFont="1" applyAlignment="1">
      <alignment horizontal="left" vertical="center"/>
      <protection/>
    </xf>
    <xf numFmtId="0" fontId="5" fillId="43" borderId="0" xfId="341" applyFont="1" applyFill="1" applyAlignment="1" applyProtection="1">
      <alignment horizontal="left" vertical="center"/>
      <protection locked="0"/>
    </xf>
    <xf numFmtId="0" fontId="20" fillId="43" borderId="0" xfId="341" applyFill="1" applyAlignment="1" applyProtection="1">
      <alignment horizontal="left" vertical="center"/>
      <protection locked="0"/>
    </xf>
    <xf numFmtId="0" fontId="0" fillId="0" borderId="0" xfId="167" applyFont="1" applyFill="1">
      <alignment/>
      <protection/>
    </xf>
    <xf numFmtId="0" fontId="0" fillId="0" borderId="0" xfId="167"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34" borderId="0" xfId="0" applyFont="1" applyFill="1" applyAlignment="1">
      <alignment/>
    </xf>
    <xf numFmtId="0" fontId="6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0" fontId="5" fillId="34" borderId="25" xfId="0" applyNumberFormat="1" applyFont="1" applyFill="1" applyBorder="1" applyAlignment="1" applyProtection="1">
      <alignment horizontal="center" vertical="center"/>
      <protection/>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5" fillId="34" borderId="19" xfId="0" applyNumberFormat="1" applyFont="1" applyFill="1" applyBorder="1" applyAlignment="1" applyProtection="1">
      <alignment horizontal="fill" vertical="center"/>
      <protection/>
    </xf>
    <xf numFmtId="37" fontId="5" fillId="34" borderId="19" xfId="0" applyNumberFormat="1" applyFont="1" applyFill="1" applyBorder="1" applyAlignment="1" applyProtection="1">
      <alignment horizontal="left" vertical="center"/>
      <protection/>
    </xf>
    <xf numFmtId="188" fontId="5" fillId="33" borderId="14" xfId="0" applyNumberFormat="1" applyFont="1" applyFill="1" applyBorder="1" applyAlignment="1" applyProtection="1">
      <alignment vertical="center"/>
      <protection locked="0"/>
    </xf>
    <xf numFmtId="49" fontId="5" fillId="33" borderId="10" xfId="0" applyNumberFormat="1" applyFont="1" applyFill="1" applyBorder="1" applyAlignment="1" applyProtection="1">
      <alignment horizontal="center" vertical="center"/>
      <protection locked="0"/>
    </xf>
    <xf numFmtId="0" fontId="5" fillId="34" borderId="0" xfId="79" applyFont="1" applyFill="1" applyAlignment="1" applyProtection="1">
      <alignment horizontal="right" vertical="center"/>
      <protection/>
    </xf>
    <xf numFmtId="188" fontId="5" fillId="34" borderId="0" xfId="343" applyNumberFormat="1" applyFont="1" applyFill="1" applyAlignment="1" applyProtection="1">
      <alignment horizontal="center" vertical="center"/>
      <protection/>
    </xf>
    <xf numFmtId="0" fontId="0" fillId="0" borderId="0" xfId="77">
      <alignment/>
      <protection/>
    </xf>
    <xf numFmtId="0" fontId="5" fillId="34" borderId="0" xfId="77" applyFont="1" applyFill="1" applyAlignment="1" applyProtection="1">
      <alignment vertical="center"/>
      <protection/>
    </xf>
    <xf numFmtId="0" fontId="5" fillId="0" borderId="0" xfId="77" applyFont="1" applyAlignment="1" applyProtection="1">
      <alignment vertical="center"/>
      <protection locked="0"/>
    </xf>
    <xf numFmtId="37" fontId="5" fillId="34" borderId="0" xfId="77" applyNumberFormat="1" applyFont="1" applyFill="1" applyAlignment="1" applyProtection="1">
      <alignment horizontal="left" vertical="center"/>
      <protection/>
    </xf>
    <xf numFmtId="0" fontId="4" fillId="34" borderId="0" xfId="77" applyFont="1" applyFill="1" applyAlignment="1" applyProtection="1">
      <alignment vertical="center"/>
      <protection/>
    </xf>
    <xf numFmtId="3" fontId="5" fillId="33" borderId="10" xfId="77" applyNumberFormat="1" applyFont="1" applyFill="1" applyBorder="1" applyAlignment="1" applyProtection="1">
      <alignment vertical="center"/>
      <protection locked="0"/>
    </xf>
    <xf numFmtId="3" fontId="5" fillId="35" borderId="10" xfId="77" applyNumberFormat="1" applyFont="1" applyFill="1" applyBorder="1" applyAlignment="1" applyProtection="1">
      <alignment vertical="center"/>
      <protection/>
    </xf>
    <xf numFmtId="0" fontId="5" fillId="34" borderId="0" xfId="77" applyFont="1" applyFill="1" applyAlignment="1" applyProtection="1">
      <alignment vertical="center"/>
      <protection locked="0"/>
    </xf>
    <xf numFmtId="0" fontId="0" fillId="0" borderId="0" xfId="77" applyAlignment="1">
      <alignment vertical="center"/>
      <protection/>
    </xf>
    <xf numFmtId="1" fontId="5" fillId="34" borderId="0" xfId="77" applyNumberFormat="1" applyFont="1" applyFill="1" applyBorder="1" applyAlignment="1" applyProtection="1">
      <alignment horizontal="right" vertical="center"/>
      <protection/>
    </xf>
    <xf numFmtId="37" fontId="5" fillId="34" borderId="0" xfId="77" applyNumberFormat="1" applyFont="1" applyFill="1" applyAlignment="1" applyProtection="1" quotePrefix="1">
      <alignment horizontal="right" vertical="center"/>
      <protection/>
    </xf>
    <xf numFmtId="37" fontId="5" fillId="34" borderId="20" xfId="77" applyNumberFormat="1" applyFont="1" applyFill="1" applyBorder="1" applyAlignment="1" applyProtection="1">
      <alignment horizontal="left" vertical="center"/>
      <protection/>
    </xf>
    <xf numFmtId="3" fontId="5" fillId="34" borderId="10" xfId="77" applyNumberFormat="1" applyFont="1" applyFill="1" applyBorder="1" applyAlignment="1" applyProtection="1">
      <alignment vertical="center"/>
      <protection/>
    </xf>
    <xf numFmtId="37" fontId="5" fillId="34" borderId="2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xf>
    <xf numFmtId="37" fontId="5" fillId="34" borderId="0" xfId="77" applyNumberFormat="1" applyFont="1" applyFill="1" applyAlignment="1" applyProtection="1">
      <alignment vertical="center"/>
      <protection/>
    </xf>
    <xf numFmtId="0" fontId="5" fillId="34" borderId="0" xfId="77" applyFont="1" applyFill="1" applyAlignment="1" applyProtection="1">
      <alignment horizontal="right" vertical="center"/>
      <protection/>
    </xf>
    <xf numFmtId="37" fontId="5" fillId="34" borderId="0" xfId="77" applyNumberFormat="1" applyFont="1" applyFill="1" applyAlignment="1" applyProtection="1">
      <alignment horizontal="right" vertical="center"/>
      <protection/>
    </xf>
    <xf numFmtId="3" fontId="5" fillId="34" borderId="10" xfId="77" applyNumberFormat="1" applyFont="1" applyFill="1" applyBorder="1" applyAlignment="1" applyProtection="1">
      <alignment horizontal="center" vertical="center"/>
      <protection/>
    </xf>
    <xf numFmtId="1" fontId="5" fillId="34" borderId="14" xfId="77" applyNumberFormat="1" applyFont="1" applyFill="1" applyBorder="1" applyAlignment="1" applyProtection="1">
      <alignment horizontal="center" vertical="center"/>
      <protection/>
    </xf>
    <xf numFmtId="37" fontId="5" fillId="34" borderId="0" xfId="77" applyNumberFormat="1" applyFont="1" applyFill="1" applyAlignment="1" applyProtection="1">
      <alignment horizontal="fill" vertical="center"/>
      <protection/>
    </xf>
    <xf numFmtId="37" fontId="5" fillId="34" borderId="25" xfId="77" applyNumberFormat="1" applyFont="1" applyFill="1" applyBorder="1" applyAlignment="1" applyProtection="1">
      <alignment horizontal="left" vertical="center"/>
      <protection/>
    </xf>
    <xf numFmtId="37" fontId="4" fillId="34" borderId="20" xfId="77" applyNumberFormat="1" applyFont="1" applyFill="1" applyBorder="1" applyAlignment="1" applyProtection="1">
      <alignment horizontal="left" vertical="center"/>
      <protection/>
    </xf>
    <xf numFmtId="3" fontId="5" fillId="34" borderId="0" xfId="77" applyNumberFormat="1" applyFont="1" applyFill="1" applyAlignment="1" applyProtection="1">
      <alignment horizontal="center" vertical="center"/>
      <protection/>
    </xf>
    <xf numFmtId="0" fontId="17" fillId="0" borderId="0" xfId="77" applyFont="1" applyAlignment="1" applyProtection="1">
      <alignment vertical="center"/>
      <protection/>
    </xf>
    <xf numFmtId="0" fontId="15" fillId="34" borderId="0" xfId="77" applyFont="1" applyFill="1" applyAlignment="1" applyProtection="1">
      <alignment horizontal="center" vertical="center"/>
      <protection/>
    </xf>
    <xf numFmtId="37" fontId="5" fillId="33" borderId="20" xfId="77" applyNumberFormat="1" applyFont="1" applyFill="1" applyBorder="1" applyAlignment="1" applyProtection="1">
      <alignment horizontal="left" vertical="center"/>
      <protection locked="0"/>
    </xf>
    <xf numFmtId="3" fontId="4" fillId="35" borderId="1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locked="0"/>
    </xf>
    <xf numFmtId="3" fontId="5" fillId="34" borderId="10" xfId="77" applyNumberFormat="1" applyFont="1" applyFill="1" applyBorder="1" applyAlignment="1" applyProtection="1">
      <alignment horizontal="fill" vertical="center"/>
      <protection/>
    </xf>
    <xf numFmtId="3" fontId="5" fillId="40" borderId="10" xfId="77" applyNumberFormat="1" applyFont="1" applyFill="1" applyBorder="1" applyAlignment="1" applyProtection="1">
      <alignment vertical="center"/>
      <protection/>
    </xf>
    <xf numFmtId="37" fontId="5" fillId="33" borderId="0" xfId="77" applyNumberFormat="1" applyFont="1" applyFill="1" applyAlignment="1" applyProtection="1">
      <alignment horizontal="left" vertical="center"/>
      <protection locked="0"/>
    </xf>
    <xf numFmtId="0" fontId="5" fillId="33" borderId="20" xfId="77" applyFont="1" applyFill="1" applyBorder="1" applyAlignment="1" applyProtection="1">
      <alignment horizontal="left" vertical="center"/>
      <protection locked="0"/>
    </xf>
    <xf numFmtId="3" fontId="4" fillId="34" borderId="10" xfId="77" applyNumberFormat="1" applyFont="1" applyFill="1" applyBorder="1" applyAlignment="1" applyProtection="1">
      <alignment vertical="center"/>
      <protection/>
    </xf>
    <xf numFmtId="0" fontId="5" fillId="44" borderId="26" xfId="77" applyFont="1" applyFill="1" applyBorder="1" applyAlignment="1" applyProtection="1">
      <alignment vertical="center"/>
      <protection locked="0"/>
    </xf>
    <xf numFmtId="0" fontId="5" fillId="44" borderId="0" xfId="77" applyFont="1" applyFill="1" applyBorder="1" applyAlignment="1" applyProtection="1">
      <alignment vertical="center"/>
      <protection locked="0"/>
    </xf>
    <xf numFmtId="0" fontId="5" fillId="44" borderId="21" xfId="77" applyFont="1" applyFill="1" applyBorder="1" applyAlignment="1" applyProtection="1">
      <alignment vertical="center"/>
      <protection locked="0"/>
    </xf>
    <xf numFmtId="0" fontId="5" fillId="44" borderId="17" xfId="77" applyFont="1" applyFill="1" applyBorder="1" applyAlignment="1" applyProtection="1">
      <alignment vertical="center"/>
      <protection locked="0"/>
    </xf>
    <xf numFmtId="1" fontId="5" fillId="34" borderId="25" xfId="77" applyNumberFormat="1" applyFont="1" applyFill="1" applyBorder="1" applyAlignment="1" applyProtection="1">
      <alignment horizontal="center" vertical="center"/>
      <protection/>
    </xf>
    <xf numFmtId="195" fontId="13" fillId="44" borderId="26" xfId="77" applyNumberFormat="1" applyFont="1" applyFill="1" applyBorder="1" applyAlignment="1" applyProtection="1">
      <alignment vertical="center"/>
      <protection locked="0"/>
    </xf>
    <xf numFmtId="195" fontId="13" fillId="44" borderId="25" xfId="77" applyNumberFormat="1" applyFont="1" applyFill="1" applyBorder="1" applyAlignment="1" applyProtection="1">
      <alignment horizontal="center" vertical="center"/>
      <protection locked="0"/>
    </xf>
    <xf numFmtId="195" fontId="13" fillId="44" borderId="26" xfId="77" applyNumberFormat="1" applyFont="1" applyFill="1" applyBorder="1" applyAlignment="1" applyProtection="1">
      <alignment horizontal="center" vertical="center"/>
      <protection locked="0"/>
    </xf>
    <xf numFmtId="0" fontId="13" fillId="44" borderId="11" xfId="77" applyFont="1" applyFill="1" applyBorder="1" applyAlignment="1" applyProtection="1">
      <alignment vertical="center"/>
      <protection locked="0"/>
    </xf>
    <xf numFmtId="0" fontId="13" fillId="44" borderId="0" xfId="77" applyFont="1" applyFill="1" applyBorder="1" applyAlignment="1" applyProtection="1">
      <alignment vertical="center"/>
      <protection locked="0"/>
    </xf>
    <xf numFmtId="0" fontId="13" fillId="44" borderId="0" xfId="77" applyFont="1" applyFill="1" applyBorder="1" applyAlignment="1" applyProtection="1">
      <alignment horizontal="left" vertical="center"/>
      <protection locked="0"/>
    </xf>
    <xf numFmtId="37" fontId="5" fillId="33" borderId="20" xfId="77" applyNumberFormat="1" applyFont="1" applyFill="1" applyBorder="1" applyAlignment="1" applyProtection="1">
      <alignment horizontal="right" vertical="center"/>
      <protection locked="0"/>
    </xf>
    <xf numFmtId="3" fontId="4" fillId="35" borderId="20" xfId="77" applyNumberFormat="1" applyFont="1" applyFill="1" applyBorder="1" applyAlignment="1" applyProtection="1">
      <alignment vertical="center"/>
      <protection/>
    </xf>
    <xf numFmtId="3" fontId="5" fillId="34" borderId="20" xfId="77" applyNumberFormat="1" applyFont="1" applyFill="1" applyBorder="1" applyAlignment="1" applyProtection="1">
      <alignment vertical="center"/>
      <protection/>
    </xf>
    <xf numFmtId="37" fontId="5" fillId="33" borderId="20" xfId="77" applyNumberFormat="1" applyFont="1" applyFill="1" applyBorder="1" applyAlignment="1" applyProtection="1">
      <alignment vertical="center"/>
      <protection locked="0"/>
    </xf>
    <xf numFmtId="3" fontId="5" fillId="33" borderId="20" xfId="77" applyNumberFormat="1" applyFont="1" applyFill="1" applyBorder="1" applyAlignment="1" applyProtection="1">
      <alignment vertical="center"/>
      <protection locked="0"/>
    </xf>
    <xf numFmtId="3" fontId="4" fillId="34" borderId="20" xfId="77" applyNumberFormat="1" applyFont="1" applyFill="1" applyBorder="1" applyAlignment="1" applyProtection="1">
      <alignment vertical="center"/>
      <protection/>
    </xf>
    <xf numFmtId="3" fontId="5" fillId="35" borderId="20" xfId="77" applyNumberFormat="1" applyFont="1" applyFill="1" applyBorder="1" applyAlignment="1" applyProtection="1">
      <alignment vertical="center"/>
      <protection/>
    </xf>
    <xf numFmtId="37" fontId="4" fillId="34" borderId="11" xfId="77" applyNumberFormat="1" applyFont="1" applyFill="1" applyBorder="1" applyAlignment="1" applyProtection="1">
      <alignment vertical="center"/>
      <protection/>
    </xf>
    <xf numFmtId="37" fontId="4" fillId="34" borderId="0" xfId="77" applyNumberFormat="1" applyFont="1" applyFill="1" applyBorder="1" applyAlignment="1" applyProtection="1">
      <alignment vertical="center"/>
      <protection/>
    </xf>
    <xf numFmtId="0" fontId="9" fillId="39" borderId="10" xfId="0" applyFont="1" applyFill="1" applyBorder="1" applyAlignment="1" applyProtection="1">
      <alignment vertical="center" shrinkToFit="1"/>
      <protection/>
    </xf>
    <xf numFmtId="0" fontId="5" fillId="34" borderId="19" xfId="0" applyFont="1" applyFill="1" applyBorder="1" applyAlignment="1" applyProtection="1">
      <alignment vertical="center"/>
      <protection locked="0"/>
    </xf>
    <xf numFmtId="37" fontId="5" fillId="34" borderId="13" xfId="77" applyNumberFormat="1" applyFont="1" applyFill="1" applyBorder="1" applyAlignment="1" applyProtection="1">
      <alignment horizontal="center" vertical="center"/>
      <protection/>
    </xf>
    <xf numFmtId="37" fontId="5" fillId="34" borderId="14" xfId="77" applyNumberFormat="1" applyFont="1" applyFill="1" applyBorder="1" applyAlignment="1" applyProtection="1">
      <alignment horizontal="center" vertical="center"/>
      <protection/>
    </xf>
    <xf numFmtId="0" fontId="23" fillId="0" borderId="0" xfId="0" applyFont="1" applyAlignment="1" applyProtection="1">
      <alignment vertical="center"/>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77" applyNumberFormat="1" applyFont="1" applyFill="1" applyBorder="1" applyAlignment="1" applyProtection="1">
      <alignment horizontal="right" vertical="center"/>
      <protection locked="0"/>
    </xf>
    <xf numFmtId="178" fontId="5" fillId="34" borderId="10" xfId="0" applyNumberFormat="1" applyFont="1" applyFill="1" applyBorder="1" applyAlignment="1" applyProtection="1">
      <alignment horizontal="center" vertical="center"/>
      <protection/>
    </xf>
    <xf numFmtId="0" fontId="64" fillId="0" borderId="0" xfId="0" applyFont="1" applyAlignment="1">
      <alignment vertical="center"/>
    </xf>
    <xf numFmtId="0" fontId="65" fillId="0" borderId="0" xfId="0" applyFont="1" applyAlignment="1" applyProtection="1">
      <alignment horizontal="center" vertical="center"/>
      <protection locked="0"/>
    </xf>
    <xf numFmtId="0" fontId="66" fillId="34" borderId="0" xfId="0" applyFont="1" applyFill="1" applyAlignment="1" applyProtection="1">
      <alignment horizontal="center" vertical="center"/>
      <protection/>
    </xf>
    <xf numFmtId="3" fontId="5" fillId="42" borderId="14" xfId="0" applyNumberFormat="1" applyFont="1" applyFill="1" applyBorder="1" applyAlignment="1" applyProtection="1">
      <alignment horizontal="center" vertical="center"/>
      <protection/>
    </xf>
    <xf numFmtId="188" fontId="5" fillId="42" borderId="14" xfId="0" applyNumberFormat="1" applyFont="1" applyFill="1" applyBorder="1" applyAlignment="1" applyProtection="1">
      <alignment horizontal="center" vertical="center"/>
      <protection/>
    </xf>
    <xf numFmtId="177" fontId="5" fillId="33" borderId="10" xfId="42" applyNumberFormat="1" applyFont="1" applyFill="1" applyBorder="1" applyAlignment="1" applyProtection="1">
      <alignment vertical="center"/>
      <protection locked="0"/>
    </xf>
    <xf numFmtId="49" fontId="5" fillId="34" borderId="0" xfId="0" applyNumberFormat="1" applyFont="1" applyFill="1" applyAlignment="1" applyProtection="1">
      <alignment vertical="center"/>
      <protection/>
    </xf>
    <xf numFmtId="188" fontId="14" fillId="44" borderId="20" xfId="71"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71" applyNumberFormat="1" applyFont="1" applyFill="1" applyBorder="1" applyAlignment="1" applyProtection="1">
      <alignment horizontal="left" vertical="center"/>
      <protection locked="0"/>
    </xf>
    <xf numFmtId="0" fontId="5" fillId="33" borderId="20" xfId="79" applyNumberFormat="1" applyFont="1" applyFill="1" applyBorder="1" applyAlignment="1" applyProtection="1">
      <alignment horizontal="left" vertical="center"/>
      <protection locked="0"/>
    </xf>
    <xf numFmtId="0" fontId="5" fillId="44" borderId="0" xfId="77" applyFont="1" applyFill="1" applyBorder="1" applyAlignment="1" applyProtection="1">
      <alignment vertical="center"/>
      <protection locked="0"/>
    </xf>
    <xf numFmtId="0" fontId="5" fillId="44" borderId="0" xfId="77" applyFont="1" applyFill="1" applyBorder="1" applyAlignment="1" applyProtection="1">
      <alignment vertical="center"/>
      <protection/>
    </xf>
    <xf numFmtId="0" fontId="24" fillId="44" borderId="0" xfId="77" applyFont="1" applyFill="1" applyBorder="1" applyAlignment="1" applyProtection="1">
      <alignment vertical="center"/>
      <protection locked="0"/>
    </xf>
    <xf numFmtId="0" fontId="24" fillId="45" borderId="11" xfId="77" applyFont="1" applyFill="1" applyBorder="1" applyAlignment="1" applyProtection="1">
      <alignment vertical="center"/>
      <protection locked="0"/>
    </xf>
    <xf numFmtId="0" fontId="5" fillId="45" borderId="11" xfId="77" applyFont="1" applyFill="1" applyBorder="1" applyAlignment="1" applyProtection="1">
      <alignment vertical="center"/>
      <protection locked="0"/>
    </xf>
    <xf numFmtId="0" fontId="27" fillId="45" borderId="25" xfId="77" applyFont="1" applyFill="1" applyBorder="1" applyAlignment="1" applyProtection="1">
      <alignment vertical="center"/>
      <protection locked="0"/>
    </xf>
    <xf numFmtId="195" fontId="24" fillId="43" borderId="10" xfId="77" applyNumberFormat="1" applyFont="1" applyFill="1" applyBorder="1" applyAlignment="1" applyProtection="1">
      <alignment horizontal="center" vertical="center"/>
      <protection locked="0"/>
    </xf>
    <xf numFmtId="0" fontId="5" fillId="44" borderId="26" xfId="77" applyFont="1" applyFill="1" applyBorder="1" applyAlignment="1" applyProtection="1">
      <alignment vertical="center"/>
      <protection/>
    </xf>
    <xf numFmtId="0" fontId="5" fillId="44" borderId="21" xfId="77" applyFont="1" applyFill="1" applyBorder="1" applyAlignment="1" applyProtection="1">
      <alignment vertical="center"/>
      <protection/>
    </xf>
    <xf numFmtId="195" fontId="24" fillId="44" borderId="26" xfId="77" applyNumberFormat="1" applyFont="1" applyFill="1" applyBorder="1" applyAlignment="1" applyProtection="1">
      <alignment horizontal="center" vertical="center"/>
      <protection/>
    </xf>
    <xf numFmtId="0" fontId="24" fillId="44" borderId="0" xfId="77" applyFont="1" applyFill="1" applyBorder="1" applyAlignment="1" applyProtection="1">
      <alignment horizontal="left" vertical="center"/>
      <protection/>
    </xf>
    <xf numFmtId="0" fontId="24" fillId="44" borderId="21" xfId="77" applyFont="1" applyFill="1" applyBorder="1" applyAlignment="1" applyProtection="1">
      <alignment vertical="center"/>
      <protection/>
    </xf>
    <xf numFmtId="0" fontId="24" fillId="44" borderId="0" xfId="77" applyFont="1" applyFill="1" applyBorder="1" applyAlignment="1" applyProtection="1">
      <alignment vertical="center"/>
      <protection/>
    </xf>
    <xf numFmtId="195" fontId="24" fillId="44" borderId="25" xfId="77" applyNumberFormat="1" applyFont="1" applyFill="1" applyBorder="1" applyAlignment="1" applyProtection="1">
      <alignment horizontal="center" vertical="center"/>
      <protection/>
    </xf>
    <xf numFmtId="195" fontId="24" fillId="44" borderId="26" xfId="77" applyNumberFormat="1" applyFont="1" applyFill="1" applyBorder="1" applyAlignment="1" applyProtection="1">
      <alignment vertical="center"/>
      <protection/>
    </xf>
    <xf numFmtId="0" fontId="27" fillId="45" borderId="11" xfId="77" applyFont="1" applyFill="1" applyBorder="1" applyAlignment="1" applyProtection="1">
      <alignment vertical="center"/>
      <protection/>
    </xf>
    <xf numFmtId="0" fontId="24" fillId="45" borderId="17" xfId="77" applyFont="1" applyFill="1" applyBorder="1" applyAlignment="1" applyProtection="1">
      <alignment vertical="center"/>
      <protection/>
    </xf>
    <xf numFmtId="0" fontId="5" fillId="45" borderId="17" xfId="77" applyFont="1" applyFill="1" applyBorder="1" applyAlignment="1" applyProtection="1">
      <alignment vertical="center"/>
      <protection/>
    </xf>
    <xf numFmtId="0" fontId="24" fillId="44" borderId="26" xfId="77" applyFont="1" applyFill="1" applyBorder="1" applyAlignment="1" applyProtection="1">
      <alignment horizontal="left" vertical="center"/>
      <protection/>
    </xf>
    <xf numFmtId="195" fontId="27" fillId="45" borderId="25" xfId="77" applyNumberFormat="1" applyFont="1" applyFill="1" applyBorder="1" applyAlignment="1" applyProtection="1">
      <alignment horizontal="center" vertical="center"/>
      <protection/>
    </xf>
    <xf numFmtId="195" fontId="27" fillId="45" borderId="17" xfId="77" applyNumberFormat="1" applyFont="1" applyFill="1" applyBorder="1" applyAlignment="1" applyProtection="1">
      <alignment horizontal="center" vertical="center"/>
      <protection locked="0"/>
    </xf>
    <xf numFmtId="0" fontId="5" fillId="44" borderId="18" xfId="71" applyFont="1" applyFill="1" applyBorder="1" applyAlignment="1" applyProtection="1">
      <alignment vertical="center"/>
      <protection locked="0"/>
    </xf>
    <xf numFmtId="0" fontId="5" fillId="44" borderId="16" xfId="71" applyFont="1" applyFill="1" applyBorder="1" applyAlignment="1" applyProtection="1">
      <alignment vertical="center"/>
      <protection locked="0"/>
    </xf>
    <xf numFmtId="0" fontId="24" fillId="44" borderId="16" xfId="77" applyFont="1" applyFill="1" applyBorder="1" applyAlignment="1" applyProtection="1">
      <alignment horizontal="left" vertical="center"/>
      <protection/>
    </xf>
    <xf numFmtId="188" fontId="24" fillId="44" borderId="18" xfId="77" applyNumberFormat="1" applyFont="1" applyFill="1" applyBorder="1" applyAlignment="1" applyProtection="1">
      <alignment horizontal="center" vertical="center"/>
      <protection locked="0"/>
    </xf>
    <xf numFmtId="0" fontId="24" fillId="44" borderId="26" xfId="77" applyFont="1" applyFill="1" applyBorder="1" applyAlignment="1" applyProtection="1">
      <alignment vertical="center"/>
      <protection/>
    </xf>
    <xf numFmtId="188" fontId="5" fillId="33" borderId="10"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27" xfId="0" applyNumberFormat="1" applyFont="1" applyFill="1" applyBorder="1" applyAlignment="1" applyProtection="1">
      <alignment horizontal="center" vertical="center"/>
      <protection/>
    </xf>
    <xf numFmtId="188" fontId="5" fillId="34" borderId="27"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1" applyNumberFormat="1" applyFont="1" applyFill="1" applyBorder="1" applyAlignment="1" applyProtection="1">
      <alignment horizontal="center"/>
      <protection/>
    </xf>
    <xf numFmtId="37" fontId="5" fillId="34" borderId="14" xfId="71" applyNumberFormat="1" applyFont="1" applyFill="1" applyBorder="1" applyAlignment="1" applyProtection="1">
      <alignment horizontal="center"/>
      <protection/>
    </xf>
    <xf numFmtId="3" fontId="5" fillId="42" borderId="15" xfId="0" applyNumberFormat="1" applyFont="1" applyFill="1" applyBorder="1" applyAlignment="1" applyProtection="1">
      <alignment horizontal="center" vertical="center"/>
      <protection/>
    </xf>
    <xf numFmtId="1" fontId="8" fillId="34" borderId="24" xfId="0" applyNumberFormat="1" applyFont="1" applyFill="1" applyBorder="1" applyAlignment="1" applyProtection="1">
      <alignment horizontal="center" vertical="center"/>
      <protection/>
    </xf>
    <xf numFmtId="37" fontId="8" fillId="34" borderId="24"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37" fontId="8" fillId="34" borderId="10" xfId="0" applyNumberFormat="1" applyFont="1" applyFill="1" applyBorder="1" applyAlignment="1" applyProtection="1">
      <alignment horizontal="center" vertical="center"/>
      <protection/>
    </xf>
    <xf numFmtId="1" fontId="8" fillId="34" borderId="24" xfId="77" applyNumberFormat="1" applyFont="1" applyFill="1" applyBorder="1" applyAlignment="1" applyProtection="1">
      <alignment horizontal="center" vertical="center"/>
      <protection/>
    </xf>
    <xf numFmtId="37" fontId="8" fillId="34" borderId="24" xfId="77" applyNumberFormat="1" applyFont="1" applyFill="1" applyBorder="1" applyAlignment="1" applyProtection="1">
      <alignment horizontal="center" vertical="center"/>
      <protection/>
    </xf>
    <xf numFmtId="37" fontId="8" fillId="34" borderId="12" xfId="77" applyNumberFormat="1" applyFont="1" applyFill="1" applyBorder="1" applyAlignment="1" applyProtection="1">
      <alignment horizontal="center" vertical="center"/>
      <protection/>
    </xf>
    <xf numFmtId="197" fontId="5" fillId="34" borderId="10"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horizontal="left" vertical="center"/>
      <protection locked="0"/>
    </xf>
    <xf numFmtId="0" fontId="4" fillId="33" borderId="0" xfId="0" applyFont="1" applyFill="1" applyAlignment="1" applyProtection="1">
      <alignment horizontal="left" vertical="center"/>
      <protection locked="0"/>
    </xf>
    <xf numFmtId="0" fontId="5" fillId="34" borderId="17" xfId="0"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locked="0"/>
    </xf>
    <xf numFmtId="0" fontId="4" fillId="33" borderId="20" xfId="0" applyFont="1" applyFill="1" applyBorder="1" applyAlignment="1" applyProtection="1">
      <alignment vertical="center"/>
      <protection locked="0"/>
    </xf>
    <xf numFmtId="37" fontId="5" fillId="34" borderId="16" xfId="0" applyNumberFormat="1" applyFont="1" applyFill="1" applyBorder="1" applyAlignment="1" applyProtection="1">
      <alignment horizontal="fill" vertical="center"/>
      <protection/>
    </xf>
    <xf numFmtId="37" fontId="5" fillId="34" borderId="16" xfId="0" applyNumberFormat="1" applyFont="1" applyFill="1" applyBorder="1" applyAlignment="1" applyProtection="1">
      <alignment horizontal="fill" vertical="center"/>
      <protection locked="0"/>
    </xf>
    <xf numFmtId="37" fontId="5" fillId="34" borderId="0" xfId="0" applyNumberFormat="1" applyFont="1" applyFill="1" applyBorder="1" applyAlignment="1" applyProtection="1">
      <alignment horizontal="fill" vertical="center"/>
      <protection locked="0"/>
    </xf>
    <xf numFmtId="0" fontId="5" fillId="34" borderId="16" xfId="0" applyFont="1" applyFill="1" applyBorder="1" applyAlignment="1" applyProtection="1">
      <alignment vertical="center"/>
      <protection locked="0"/>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17" fillId="34" borderId="0" xfId="0" applyFont="1" applyFill="1" applyBorder="1" applyAlignment="1">
      <alignment vertical="center"/>
    </xf>
    <xf numFmtId="0" fontId="18"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9" borderId="0" xfId="0" applyFont="1" applyFill="1" applyBorder="1" applyAlignment="1">
      <alignment horizontal="center" vertical="center"/>
    </xf>
    <xf numFmtId="0" fontId="1" fillId="39" borderId="0" xfId="0" applyFont="1" applyFill="1" applyBorder="1" applyAlignment="1">
      <alignment horizontal="center" vertical="center"/>
    </xf>
    <xf numFmtId="0" fontId="5" fillId="0" borderId="0" xfId="341" applyFont="1" applyAlignment="1">
      <alignment horizontal="left" vertical="center" wrapText="1"/>
      <protection/>
    </xf>
    <xf numFmtId="0" fontId="20" fillId="0" borderId="0" xfId="341" applyAlignment="1">
      <alignment horizontal="left" vertical="center" wrapText="1"/>
      <protection/>
    </xf>
    <xf numFmtId="0" fontId="14" fillId="0" borderId="0" xfId="341" applyFont="1" applyAlignment="1">
      <alignment horizontal="left" vertical="center"/>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9"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25" fillId="44" borderId="24" xfId="77" applyFont="1" applyFill="1" applyBorder="1" applyAlignment="1" applyProtection="1">
      <alignment horizontal="center" vertical="center"/>
      <protection/>
    </xf>
    <xf numFmtId="0" fontId="26" fillId="0" borderId="19" xfId="77" applyFont="1" applyBorder="1" applyAlignment="1" applyProtection="1">
      <alignment horizontal="center" vertical="center"/>
      <protection/>
    </xf>
    <xf numFmtId="0" fontId="0" fillId="0" borderId="22" xfId="77" applyBorder="1" applyAlignment="1" applyProtection="1">
      <alignment vertical="center"/>
      <protection/>
    </xf>
    <xf numFmtId="0" fontId="25" fillId="44" borderId="19" xfId="77" applyFont="1" applyFill="1" applyBorder="1" applyAlignment="1" applyProtection="1">
      <alignment horizontal="center" vertical="center"/>
      <protection/>
    </xf>
    <xf numFmtId="3" fontId="5" fillId="34" borderId="19" xfId="79" applyNumberFormat="1" applyFont="1" applyFill="1" applyBorder="1" applyAlignment="1" applyProtection="1">
      <alignment horizontal="right" vertical="center"/>
      <protection/>
    </xf>
    <xf numFmtId="0" fontId="0" fillId="0" borderId="22" xfId="79" applyBorder="1" applyAlignment="1">
      <alignment horizontal="right" vertical="center"/>
      <protection/>
    </xf>
    <xf numFmtId="0" fontId="5" fillId="34" borderId="0" xfId="79" applyFont="1" applyFill="1" applyAlignment="1" applyProtection="1">
      <alignment horizontal="right" vertical="center"/>
      <protection/>
    </xf>
    <xf numFmtId="0" fontId="5" fillId="0" borderId="21" xfId="79"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22" fillId="44" borderId="24" xfId="77" applyFont="1" applyFill="1" applyBorder="1" applyAlignment="1" applyProtection="1">
      <alignment horizontal="center" vertical="center"/>
      <protection locked="0"/>
    </xf>
    <xf numFmtId="0" fontId="16" fillId="0" borderId="19" xfId="77" applyFont="1" applyBorder="1" applyAlignment="1">
      <alignment horizontal="center" vertical="center"/>
      <protection/>
    </xf>
    <xf numFmtId="0" fontId="16" fillId="0" borderId="22" xfId="77" applyFont="1" applyBorder="1" applyAlignment="1">
      <alignment horizontal="center" vertical="center"/>
      <protection/>
    </xf>
    <xf numFmtId="0" fontId="5" fillId="34" borderId="0" xfId="62" applyNumberFormat="1" applyFont="1" applyFill="1" applyBorder="1" applyAlignment="1" applyProtection="1">
      <alignment horizontal="right" vertical="center"/>
      <protection/>
    </xf>
    <xf numFmtId="0" fontId="5" fillId="0" borderId="0" xfId="62" applyFont="1" applyAlignment="1" applyProtection="1">
      <alignment horizontal="right" vertical="center"/>
      <protection/>
    </xf>
    <xf numFmtId="0" fontId="0" fillId="0" borderId="0" xfId="0" applyBorder="1" applyAlignment="1">
      <alignment horizontal="right" vertical="center"/>
    </xf>
    <xf numFmtId="37" fontId="5" fillId="44" borderId="0" xfId="98" applyNumberFormat="1" applyFont="1" applyFill="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37" fontId="5" fillId="44"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lignment horizontal="left" vertical="justify"/>
    </xf>
    <xf numFmtId="0" fontId="5" fillId="0" borderId="0" xfId="0" applyFont="1" applyAlignment="1">
      <alignment horizontal="center"/>
    </xf>
    <xf numFmtId="0" fontId="5" fillId="0" borderId="0" xfId="0" applyFont="1" applyAlignment="1">
      <alignment horizontal="center" wrapText="1"/>
    </xf>
  </cellXfs>
  <cellStyles count="3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Input" xfId="64"/>
    <cellStyle name="Linked Cell" xfId="65"/>
    <cellStyle name="Neutral" xfId="66"/>
    <cellStyle name="Normal 10" xfId="67"/>
    <cellStyle name="Normal 10 2" xfId="68"/>
    <cellStyle name="Normal 10 3" xfId="69"/>
    <cellStyle name="Normal 10 4" xfId="70"/>
    <cellStyle name="Normal 10 5" xfId="71"/>
    <cellStyle name="Normal 10 6" xfId="72"/>
    <cellStyle name="Normal 11" xfId="73"/>
    <cellStyle name="Normal 11 2" xfId="74"/>
    <cellStyle name="Normal 11 3" xfId="75"/>
    <cellStyle name="Normal 12" xfId="76"/>
    <cellStyle name="Normal 12 10" xfId="77"/>
    <cellStyle name="Normal 12 2" xfId="78"/>
    <cellStyle name="Normal 12 2 2" xfId="79"/>
    <cellStyle name="Normal 12 3" xfId="80"/>
    <cellStyle name="Normal 12 4" xfId="81"/>
    <cellStyle name="Normal 12 5" xfId="82"/>
    <cellStyle name="Normal 12 6" xfId="83"/>
    <cellStyle name="Normal 12 7" xfId="84"/>
    <cellStyle name="Normal 12 8" xfId="85"/>
    <cellStyle name="Normal 12 9" xfId="86"/>
    <cellStyle name="Normal 13" xfId="87"/>
    <cellStyle name="Normal 13 10" xfId="88"/>
    <cellStyle name="Normal 13 2" xfId="89"/>
    <cellStyle name="Normal 13 2 2" xfId="90"/>
    <cellStyle name="Normal 13 3" xfId="91"/>
    <cellStyle name="Normal 13 4" xfId="92"/>
    <cellStyle name="Normal 13 5" xfId="93"/>
    <cellStyle name="Normal 13 6" xfId="94"/>
    <cellStyle name="Normal 13 7" xfId="95"/>
    <cellStyle name="Normal 13 8" xfId="96"/>
    <cellStyle name="Normal 13 9" xfId="97"/>
    <cellStyle name="Normal 14" xfId="98"/>
    <cellStyle name="Normal 14 2" xfId="99"/>
    <cellStyle name="Normal 14 3" xfId="100"/>
    <cellStyle name="Normal 14 4" xfId="101"/>
    <cellStyle name="Normal 14 5" xfId="102"/>
    <cellStyle name="Normal 14 6" xfId="103"/>
    <cellStyle name="Normal 15" xfId="104"/>
    <cellStyle name="Normal 15 2" xfId="105"/>
    <cellStyle name="Normal 15 3" xfId="106"/>
    <cellStyle name="Normal 16" xfId="107"/>
    <cellStyle name="Normal 16 2" xfId="108"/>
    <cellStyle name="Normal 16 3" xfId="109"/>
    <cellStyle name="Normal 17" xfId="110"/>
    <cellStyle name="Normal 17 2" xfId="111"/>
    <cellStyle name="Normal 17 3" xfId="112"/>
    <cellStyle name="Normal 18" xfId="113"/>
    <cellStyle name="Normal 18 2" xfId="114"/>
    <cellStyle name="Normal 18 2 2" xfId="115"/>
    <cellStyle name="Normal 18 2 3" xfId="116"/>
    <cellStyle name="Normal 18 3" xfId="117"/>
    <cellStyle name="Normal 18 4" xfId="118"/>
    <cellStyle name="Normal 18 5" xfId="119"/>
    <cellStyle name="Normal 18 6" xfId="120"/>
    <cellStyle name="Normal 19" xfId="121"/>
    <cellStyle name="Normal 19 2" xfId="122"/>
    <cellStyle name="Normal 19 2 2" xfId="123"/>
    <cellStyle name="Normal 19 2 3" xfId="124"/>
    <cellStyle name="Normal 19 3" xfId="125"/>
    <cellStyle name="Normal 19 4" xfId="126"/>
    <cellStyle name="Normal 19 5" xfId="127"/>
    <cellStyle name="Normal 19 6" xfId="128"/>
    <cellStyle name="Normal 2" xfId="129"/>
    <cellStyle name="Normal 2 10" xfId="130"/>
    <cellStyle name="Normal 2 10 10" xfId="131"/>
    <cellStyle name="Normal 2 10 2" xfId="132"/>
    <cellStyle name="Normal 2 10 2 2" xfId="133"/>
    <cellStyle name="Normal 2 10 3" xfId="134"/>
    <cellStyle name="Normal 2 10 3 2" xfId="135"/>
    <cellStyle name="Normal 2 10 4" xfId="136"/>
    <cellStyle name="Normal 2 10 4 2" xfId="137"/>
    <cellStyle name="Normal 2 10 5" xfId="138"/>
    <cellStyle name="Normal 2 10 5 2" xfId="139"/>
    <cellStyle name="Normal 2 10 6" xfId="140"/>
    <cellStyle name="Normal 2 10 6 2" xfId="141"/>
    <cellStyle name="Normal 2 10 7" xfId="142"/>
    <cellStyle name="Normal 2 10 7 2" xfId="143"/>
    <cellStyle name="Normal 2 10 8" xfId="144"/>
    <cellStyle name="Normal 2 10 8 2" xfId="145"/>
    <cellStyle name="Normal 2 10 9" xfId="146"/>
    <cellStyle name="Normal 2 11" xfId="147"/>
    <cellStyle name="Normal 2 11 10" xfId="148"/>
    <cellStyle name="Normal 2 11 2" xfId="149"/>
    <cellStyle name="Normal 2 11 2 2" xfId="150"/>
    <cellStyle name="Normal 2 11 3" xfId="151"/>
    <cellStyle name="Normal 2 11 3 2" xfId="152"/>
    <cellStyle name="Normal 2 11 4" xfId="153"/>
    <cellStyle name="Normal 2 11 4 2" xfId="154"/>
    <cellStyle name="Normal 2 11 5" xfId="155"/>
    <cellStyle name="Normal 2 11 5 2" xfId="156"/>
    <cellStyle name="Normal 2 11 6" xfId="157"/>
    <cellStyle name="Normal 2 11 6 2" xfId="158"/>
    <cellStyle name="Normal 2 11 7" xfId="159"/>
    <cellStyle name="Normal 2 11 7 2" xfId="160"/>
    <cellStyle name="Normal 2 11 8" xfId="161"/>
    <cellStyle name="Normal 2 11 8 2" xfId="162"/>
    <cellStyle name="Normal 2 11 9" xfId="163"/>
    <cellStyle name="Normal 2 12" xfId="164"/>
    <cellStyle name="Normal 2 13" xfId="165"/>
    <cellStyle name="Normal 2 14" xfId="166"/>
    <cellStyle name="Normal 2 2" xfId="167"/>
    <cellStyle name="Normal 2 2 10" xfId="168"/>
    <cellStyle name="Normal 2 2 10 2" xfId="169"/>
    <cellStyle name="Normal 2 2 11" xfId="170"/>
    <cellStyle name="Normal 2 2 11 2" xfId="171"/>
    <cellStyle name="Normal 2 2 12" xfId="172"/>
    <cellStyle name="Normal 2 2 12 2" xfId="173"/>
    <cellStyle name="Normal 2 2 13" xfId="174"/>
    <cellStyle name="Normal 2 2 13 2" xfId="175"/>
    <cellStyle name="Normal 2 2 14" xfId="176"/>
    <cellStyle name="Normal 2 2 14 2" xfId="177"/>
    <cellStyle name="Normal 2 2 15" xfId="178"/>
    <cellStyle name="Normal 2 2 15 2" xfId="179"/>
    <cellStyle name="Normal 2 2 16" xfId="180"/>
    <cellStyle name="Normal 2 2 17" xfId="181"/>
    <cellStyle name="Normal 2 2 18" xfId="182"/>
    <cellStyle name="Normal 2 2 19" xfId="183"/>
    <cellStyle name="Normal 2 2 2" xfId="184"/>
    <cellStyle name="Normal 2 2 2 2" xfId="185"/>
    <cellStyle name="Normal 2 2 2 2 2" xfId="186"/>
    <cellStyle name="Normal 2 2 2 3" xfId="187"/>
    <cellStyle name="Normal 2 2 2 3 2" xfId="188"/>
    <cellStyle name="Normal 2 2 2 4" xfId="189"/>
    <cellStyle name="Normal 2 2 2 4 2" xfId="190"/>
    <cellStyle name="Normal 2 2 2 5" xfId="191"/>
    <cellStyle name="Normal 2 2 2 5 2" xfId="192"/>
    <cellStyle name="Normal 2 2 2 6" xfId="193"/>
    <cellStyle name="Normal 2 2 2 6 2" xfId="194"/>
    <cellStyle name="Normal 2 2 2 7" xfId="195"/>
    <cellStyle name="Normal 2 2 2 8" xfId="196"/>
    <cellStyle name="Normal 2 2 20" xfId="197"/>
    <cellStyle name="Normal 2 2 21" xfId="198"/>
    <cellStyle name="Normal 2 2 3" xfId="199"/>
    <cellStyle name="Normal 2 2 3 2" xfId="200"/>
    <cellStyle name="Normal 2 2 4" xfId="201"/>
    <cellStyle name="Normal 2 2 4 2" xfId="202"/>
    <cellStyle name="Normal 2 2 5" xfId="203"/>
    <cellStyle name="Normal 2 2 5 2" xfId="204"/>
    <cellStyle name="Normal 2 2 6" xfId="205"/>
    <cellStyle name="Normal 2 2 6 2" xfId="206"/>
    <cellStyle name="Normal 2 2 7" xfId="207"/>
    <cellStyle name="Normal 2 2 7 2" xfId="208"/>
    <cellStyle name="Normal 2 2 8" xfId="209"/>
    <cellStyle name="Normal 2 2 8 2" xfId="210"/>
    <cellStyle name="Normal 2 2 9" xfId="211"/>
    <cellStyle name="Normal 2 2 9 2" xfId="212"/>
    <cellStyle name="Normal 2 3" xfId="213"/>
    <cellStyle name="Normal 2 3 10" xfId="214"/>
    <cellStyle name="Normal 2 3 11" xfId="215"/>
    <cellStyle name="Normal 2 3 2" xfId="216"/>
    <cellStyle name="Normal 2 3 2 2" xfId="217"/>
    <cellStyle name="Normal 2 3 3" xfId="218"/>
    <cellStyle name="Normal 2 3 3 2" xfId="219"/>
    <cellStyle name="Normal 2 3 4" xfId="220"/>
    <cellStyle name="Normal 2 3 5" xfId="221"/>
    <cellStyle name="Normal 2 3 6" xfId="222"/>
    <cellStyle name="Normal 2 3 7" xfId="223"/>
    <cellStyle name="Normal 2 3 8" xfId="224"/>
    <cellStyle name="Normal 2 3 9" xfId="225"/>
    <cellStyle name="Normal 2 4" xfId="226"/>
    <cellStyle name="Normal 2 4 10" xfId="227"/>
    <cellStyle name="Normal 2 4 11" xfId="228"/>
    <cellStyle name="Normal 2 4 2" xfId="229"/>
    <cellStyle name="Normal 2 4 2 2" xfId="230"/>
    <cellStyle name="Normal 2 4 3" xfId="231"/>
    <cellStyle name="Normal 2 4 3 2"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2" xfId="242"/>
    <cellStyle name="Normal 2 5 2 2" xfId="243"/>
    <cellStyle name="Normal 2 5 3" xfId="244"/>
    <cellStyle name="Normal 2 5 3 2" xfId="245"/>
    <cellStyle name="Normal 2 5 4" xfId="246"/>
    <cellStyle name="Normal 2 5 5" xfId="247"/>
    <cellStyle name="Normal 2 5 6" xfId="248"/>
    <cellStyle name="Normal 2 5 7" xfId="249"/>
    <cellStyle name="Normal 2 5 8" xfId="250"/>
    <cellStyle name="Normal 2 5 9" xfId="251"/>
    <cellStyle name="Normal 2 6" xfId="252"/>
    <cellStyle name="Normal 2 6 10" xfId="253"/>
    <cellStyle name="Normal 2 6 11" xfId="254"/>
    <cellStyle name="Normal 2 6 2" xfId="255"/>
    <cellStyle name="Normal 2 6 2 2" xfId="256"/>
    <cellStyle name="Normal 2 6 3" xfId="257"/>
    <cellStyle name="Normal 2 6 3 2" xfId="258"/>
    <cellStyle name="Normal 2 6 4" xfId="259"/>
    <cellStyle name="Normal 2 6 5" xfId="260"/>
    <cellStyle name="Normal 2 6 6" xfId="261"/>
    <cellStyle name="Normal 2 6 7" xfId="262"/>
    <cellStyle name="Normal 2 6 8" xfId="263"/>
    <cellStyle name="Normal 2 6 9" xfId="264"/>
    <cellStyle name="Normal 2 7" xfId="265"/>
    <cellStyle name="Normal 2 7 10" xfId="266"/>
    <cellStyle name="Normal 2 7 2" xfId="267"/>
    <cellStyle name="Normal 2 7 2 2" xfId="268"/>
    <cellStyle name="Normal 2 7 3" xfId="269"/>
    <cellStyle name="Normal 2 7 3 2" xfId="270"/>
    <cellStyle name="Normal 2 7 4" xfId="271"/>
    <cellStyle name="Normal 2 7 4 2" xfId="272"/>
    <cellStyle name="Normal 2 7 5" xfId="273"/>
    <cellStyle name="Normal 2 7 5 2" xfId="274"/>
    <cellStyle name="Normal 2 7 6" xfId="275"/>
    <cellStyle name="Normal 2 7 6 2" xfId="276"/>
    <cellStyle name="Normal 2 7 7" xfId="277"/>
    <cellStyle name="Normal 2 7 7 2" xfId="278"/>
    <cellStyle name="Normal 2 7 8" xfId="279"/>
    <cellStyle name="Normal 2 7 8 2" xfId="280"/>
    <cellStyle name="Normal 2 7 9" xfId="281"/>
    <cellStyle name="Normal 2 8" xfId="282"/>
    <cellStyle name="Normal 2 8 10" xfId="283"/>
    <cellStyle name="Normal 2 8 2" xfId="284"/>
    <cellStyle name="Normal 2 8 2 2" xfId="285"/>
    <cellStyle name="Normal 2 8 3" xfId="286"/>
    <cellStyle name="Normal 2 8 3 2" xfId="287"/>
    <cellStyle name="Normal 2 8 4" xfId="288"/>
    <cellStyle name="Normal 2 8 4 2" xfId="289"/>
    <cellStyle name="Normal 2 8 5" xfId="290"/>
    <cellStyle name="Normal 2 8 5 2" xfId="291"/>
    <cellStyle name="Normal 2 8 6" xfId="292"/>
    <cellStyle name="Normal 2 8 6 2" xfId="293"/>
    <cellStyle name="Normal 2 8 7" xfId="294"/>
    <cellStyle name="Normal 2 8 7 2" xfId="295"/>
    <cellStyle name="Normal 2 8 8" xfId="296"/>
    <cellStyle name="Normal 2 8 8 2" xfId="297"/>
    <cellStyle name="Normal 2 8 9" xfId="298"/>
    <cellStyle name="Normal 2 9" xfId="299"/>
    <cellStyle name="Normal 2 9 10" xfId="300"/>
    <cellStyle name="Normal 2 9 2" xfId="301"/>
    <cellStyle name="Normal 2 9 2 2" xfId="302"/>
    <cellStyle name="Normal 2 9 3" xfId="303"/>
    <cellStyle name="Normal 2 9 3 2" xfId="304"/>
    <cellStyle name="Normal 2 9 4" xfId="305"/>
    <cellStyle name="Normal 2 9 4 2" xfId="306"/>
    <cellStyle name="Normal 2 9 5" xfId="307"/>
    <cellStyle name="Normal 2 9 5 2" xfId="308"/>
    <cellStyle name="Normal 2 9 6" xfId="309"/>
    <cellStyle name="Normal 2 9 6 2" xfId="310"/>
    <cellStyle name="Normal 2 9 7" xfId="311"/>
    <cellStyle name="Normal 2 9 7 2" xfId="312"/>
    <cellStyle name="Normal 2 9 8" xfId="313"/>
    <cellStyle name="Normal 2 9 8 2"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4" xfId="333"/>
    <cellStyle name="Normal 4 2" xfId="334"/>
    <cellStyle name="Normal 5" xfId="335"/>
    <cellStyle name="Normal 5 2" xfId="336"/>
    <cellStyle name="Normal 5 3" xfId="337"/>
    <cellStyle name="Normal 6" xfId="338"/>
    <cellStyle name="Normal 6 2" xfId="339"/>
    <cellStyle name="Normal 7" xfId="340"/>
    <cellStyle name="Normal 7 2" xfId="341"/>
    <cellStyle name="Normal 7 3" xfId="342"/>
    <cellStyle name="Normal 8" xfId="343"/>
    <cellStyle name="Normal 8 2" xfId="344"/>
    <cellStyle name="Normal 9" xfId="345"/>
    <cellStyle name="Normal 9 2" xfId="346"/>
    <cellStyle name="Normal 9 3" xfId="347"/>
    <cellStyle name="Normal_debt" xfId="348"/>
    <cellStyle name="Normal_lpform" xfId="349"/>
    <cellStyle name="Note" xfId="350"/>
    <cellStyle name="Output" xfId="351"/>
    <cellStyle name="Percent" xfId="352"/>
    <cellStyle name="Title" xfId="353"/>
    <cellStyle name="Total" xfId="354"/>
    <cellStyle name="Warning Text" xfId="355"/>
  </cellStyles>
  <dxfs count="255">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18"/>
  <sheetViews>
    <sheetView zoomScalePageLayoutView="0" workbookViewId="0" topLeftCell="A43">
      <selection activeCell="G76" sqref="G76"/>
    </sheetView>
  </sheetViews>
  <sheetFormatPr defaultColWidth="8.8984375" defaultRowHeight="15"/>
  <cols>
    <col min="1" max="1" width="15.69921875" style="33" customWidth="1"/>
    <col min="2" max="2" width="20.69921875" style="33" customWidth="1"/>
    <col min="3" max="3" width="9.69921875" style="33" customWidth="1"/>
    <col min="4" max="4" width="15.09765625" style="33" customWidth="1"/>
    <col min="5" max="5" width="15.69921875" style="33" customWidth="1"/>
    <col min="6" max="16384" width="8.8984375" style="33" customWidth="1"/>
  </cols>
  <sheetData>
    <row r="1" spans="1:5" ht="15">
      <c r="A1" s="486" t="s">
        <v>20</v>
      </c>
      <c r="B1" s="487"/>
      <c r="C1" s="487"/>
      <c r="D1" s="487"/>
      <c r="E1" s="487"/>
    </row>
    <row r="2" spans="1:5" ht="15">
      <c r="A2" s="34" t="s">
        <v>13</v>
      </c>
      <c r="B2" s="35"/>
      <c r="C2" s="35"/>
      <c r="D2" s="36" t="s">
        <v>728</v>
      </c>
      <c r="E2" s="37"/>
    </row>
    <row r="3" spans="1:5" ht="15">
      <c r="A3" s="34" t="s">
        <v>14</v>
      </c>
      <c r="B3" s="35"/>
      <c r="C3" s="35"/>
      <c r="D3" s="38" t="s">
        <v>509</v>
      </c>
      <c r="E3" s="39"/>
    </row>
    <row r="4" spans="1:5" ht="15">
      <c r="A4" s="40"/>
      <c r="B4" s="35"/>
      <c r="C4" s="35"/>
      <c r="D4" s="41"/>
      <c r="E4" s="35"/>
    </row>
    <row r="5" spans="1:5" ht="15">
      <c r="A5" s="34" t="s">
        <v>207</v>
      </c>
      <c r="B5" s="35"/>
      <c r="C5" s="42">
        <v>2012</v>
      </c>
      <c r="D5" s="41"/>
      <c r="E5" s="35"/>
    </row>
    <row r="6" spans="1:5" ht="15">
      <c r="A6" s="35"/>
      <c r="B6" s="35"/>
      <c r="C6" s="35"/>
      <c r="D6" s="35"/>
      <c r="E6" s="35"/>
    </row>
    <row r="7" spans="1:5" ht="15">
      <c r="A7" s="43" t="s">
        <v>255</v>
      </c>
      <c r="B7" s="44"/>
      <c r="C7" s="44"/>
      <c r="D7" s="44"/>
      <c r="E7" s="44"/>
    </row>
    <row r="8" spans="1:5" ht="15">
      <c r="A8" s="43" t="s">
        <v>254</v>
      </c>
      <c r="B8" s="44"/>
      <c r="C8" s="44"/>
      <c r="D8" s="44"/>
      <c r="E8" s="44"/>
    </row>
    <row r="9" spans="1:5" ht="15">
      <c r="A9" s="43"/>
      <c r="B9" s="44"/>
      <c r="C9" s="44"/>
      <c r="D9" s="44"/>
      <c r="E9" s="44"/>
    </row>
    <row r="10" spans="1:5" ht="15">
      <c r="A10" s="484" t="s">
        <v>247</v>
      </c>
      <c r="B10" s="485"/>
      <c r="C10" s="485"/>
      <c r="D10" s="485"/>
      <c r="E10" s="485"/>
    </row>
    <row r="11" spans="1:5" ht="15">
      <c r="A11" s="35"/>
      <c r="B11" s="35"/>
      <c r="C11" s="35"/>
      <c r="D11" s="35"/>
      <c r="E11" s="35"/>
    </row>
    <row r="12" spans="1:5" ht="15">
      <c r="A12" s="45" t="s">
        <v>248</v>
      </c>
      <c r="B12" s="46"/>
      <c r="C12" s="35"/>
      <c r="D12" s="35"/>
      <c r="E12" s="35"/>
    </row>
    <row r="13" spans="1:5" ht="15">
      <c r="A13" s="47" t="str">
        <f>CONCATENATE("the ",C5-1," Budget, Certificate Page:")</f>
        <v>the 2011 Budget, Certificate Page:</v>
      </c>
      <c r="B13" s="48"/>
      <c r="C13" s="35"/>
      <c r="D13" s="35"/>
      <c r="E13" s="35"/>
    </row>
    <row r="14" spans="1:5" ht="15">
      <c r="A14" s="47" t="s">
        <v>257</v>
      </c>
      <c r="B14" s="48"/>
      <c r="C14" s="35"/>
      <c r="D14" s="35"/>
      <c r="E14" s="35"/>
    </row>
    <row r="15" spans="1:5" ht="15">
      <c r="A15" s="35"/>
      <c r="B15" s="35"/>
      <c r="C15" s="35"/>
      <c r="D15" s="49">
        <f>C5-1</f>
        <v>2011</v>
      </c>
      <c r="E15" s="49">
        <f>C5-2</f>
        <v>2010</v>
      </c>
    </row>
    <row r="16" spans="1:5" ht="15">
      <c r="A16" s="40" t="s">
        <v>21</v>
      </c>
      <c r="B16" s="35"/>
      <c r="C16" s="50" t="s">
        <v>22</v>
      </c>
      <c r="D16" s="51" t="s">
        <v>256</v>
      </c>
      <c r="E16" s="51" t="s">
        <v>19</v>
      </c>
    </row>
    <row r="17" spans="1:5" ht="15">
      <c r="A17" s="35"/>
      <c r="B17" s="52" t="s">
        <v>23</v>
      </c>
      <c r="C17" s="146" t="s">
        <v>177</v>
      </c>
      <c r="D17" s="54">
        <v>1977443</v>
      </c>
      <c r="E17" s="54">
        <v>619298</v>
      </c>
    </row>
    <row r="18" spans="1:5" ht="15">
      <c r="A18" s="35"/>
      <c r="B18" s="52" t="s">
        <v>17</v>
      </c>
      <c r="C18" s="146" t="s">
        <v>208</v>
      </c>
      <c r="D18" s="55">
        <v>409200</v>
      </c>
      <c r="E18" s="55">
        <v>156649</v>
      </c>
    </row>
    <row r="19" spans="1:5" ht="15">
      <c r="A19" s="40" t="s">
        <v>24</v>
      </c>
      <c r="B19" s="35"/>
      <c r="C19" s="35"/>
      <c r="D19" s="35"/>
      <c r="E19" s="56"/>
    </row>
    <row r="20" spans="1:5" ht="15">
      <c r="A20" s="35"/>
      <c r="B20" s="57" t="s">
        <v>510</v>
      </c>
      <c r="C20" s="350" t="s">
        <v>512</v>
      </c>
      <c r="D20" s="55">
        <v>104992</v>
      </c>
      <c r="E20" s="55">
        <v>84856</v>
      </c>
    </row>
    <row r="21" spans="1:5" ht="15">
      <c r="A21" s="35"/>
      <c r="B21" s="57" t="s">
        <v>511</v>
      </c>
      <c r="C21" s="350" t="s">
        <v>513</v>
      </c>
      <c r="D21" s="55">
        <v>15954</v>
      </c>
      <c r="E21" s="55">
        <v>3500</v>
      </c>
    </row>
    <row r="22" spans="1:5" ht="15">
      <c r="A22" s="35"/>
      <c r="B22" s="57"/>
      <c r="C22" s="350"/>
      <c r="D22" s="55"/>
      <c r="E22" s="55"/>
    </row>
    <row r="23" spans="1:5" ht="15">
      <c r="A23" s="35"/>
      <c r="B23" s="57"/>
      <c r="C23" s="350"/>
      <c r="D23" s="55"/>
      <c r="E23" s="55"/>
    </row>
    <row r="24" spans="1:5" ht="15">
      <c r="A24" s="35"/>
      <c r="B24" s="57"/>
      <c r="C24" s="350"/>
      <c r="D24" s="251"/>
      <c r="E24" s="251"/>
    </row>
    <row r="25" spans="1:5" ht="15">
      <c r="A25" s="58" t="str">
        <f>CONCATENATE("Total Tax Levy Funds for ",C5-1," Budgeted Year")</f>
        <v>Total Tax Levy Funds for 2011 Budgeted Year</v>
      </c>
      <c r="B25" s="59"/>
      <c r="C25" s="60"/>
      <c r="D25" s="61"/>
      <c r="E25" s="62">
        <f>SUM(E17:E24)</f>
        <v>864303</v>
      </c>
    </row>
    <row r="26" spans="1:5" ht="15">
      <c r="A26" s="63"/>
      <c r="B26" s="64"/>
      <c r="C26" s="64"/>
      <c r="D26" s="65"/>
      <c r="E26" s="56"/>
    </row>
    <row r="27" spans="1:5" ht="15">
      <c r="A27" s="40" t="s">
        <v>213</v>
      </c>
      <c r="B27" s="35"/>
      <c r="C27" s="35"/>
      <c r="D27" s="35"/>
      <c r="E27" s="35"/>
    </row>
    <row r="28" spans="1:5" ht="15">
      <c r="A28" s="35"/>
      <c r="B28" s="53" t="s">
        <v>153</v>
      </c>
      <c r="C28" s="35"/>
      <c r="D28" s="55">
        <v>110933</v>
      </c>
      <c r="E28" s="35"/>
    </row>
    <row r="29" spans="1:5" ht="15">
      <c r="A29" s="35"/>
      <c r="B29" s="57" t="s">
        <v>514</v>
      </c>
      <c r="C29" s="35"/>
      <c r="D29" s="55">
        <v>7450</v>
      </c>
      <c r="E29" s="35"/>
    </row>
    <row r="30" spans="1:5" ht="15">
      <c r="A30" s="35"/>
      <c r="B30" s="57" t="s">
        <v>515</v>
      </c>
      <c r="C30" s="35"/>
      <c r="D30" s="55">
        <v>155701</v>
      </c>
      <c r="E30" s="35"/>
    </row>
    <row r="31" spans="1:5" ht="15">
      <c r="A31" s="35"/>
      <c r="B31" s="57" t="s">
        <v>516</v>
      </c>
      <c r="C31" s="35"/>
      <c r="D31" s="55">
        <v>645671</v>
      </c>
      <c r="E31" s="35"/>
    </row>
    <row r="32" spans="1:5" ht="15">
      <c r="A32" s="35"/>
      <c r="B32" s="57" t="s">
        <v>517</v>
      </c>
      <c r="C32" s="35"/>
      <c r="D32" s="55">
        <v>489321</v>
      </c>
      <c r="E32" s="35"/>
    </row>
    <row r="33" spans="1:5" ht="15">
      <c r="A33" s="35"/>
      <c r="B33" s="57" t="s">
        <v>518</v>
      </c>
      <c r="C33" s="35"/>
      <c r="D33" s="55">
        <v>22235</v>
      </c>
      <c r="E33" s="35"/>
    </row>
    <row r="34" spans="1:5" ht="15">
      <c r="A34" s="35"/>
      <c r="B34" s="57" t="s">
        <v>519</v>
      </c>
      <c r="C34" s="35"/>
      <c r="D34" s="55">
        <v>120487</v>
      </c>
      <c r="E34" s="35"/>
    </row>
    <row r="35" spans="1:5" ht="15">
      <c r="A35" s="35"/>
      <c r="B35" s="57" t="s">
        <v>520</v>
      </c>
      <c r="C35" s="35"/>
      <c r="D35" s="55">
        <v>115130</v>
      </c>
      <c r="E35" s="35"/>
    </row>
    <row r="36" spans="1:5" ht="15">
      <c r="A36" s="35"/>
      <c r="B36" s="57" t="s">
        <v>521</v>
      </c>
      <c r="C36" s="35"/>
      <c r="D36" s="55">
        <v>79778</v>
      </c>
      <c r="E36" s="35"/>
    </row>
    <row r="37" spans="1:5" ht="15">
      <c r="A37" s="35"/>
      <c r="B37" s="57" t="s">
        <v>522</v>
      </c>
      <c r="C37" s="35"/>
      <c r="D37" s="55">
        <v>117237</v>
      </c>
      <c r="E37" s="35"/>
    </row>
    <row r="38" spans="1:5" ht="15">
      <c r="A38" s="35"/>
      <c r="B38" s="66" t="s">
        <v>523</v>
      </c>
      <c r="C38" s="35"/>
      <c r="D38" s="55">
        <v>5975</v>
      </c>
      <c r="E38" s="35"/>
    </row>
    <row r="39" spans="1:5" ht="15">
      <c r="A39" s="35"/>
      <c r="B39" s="66" t="s">
        <v>524</v>
      </c>
      <c r="C39" s="35"/>
      <c r="D39" s="55">
        <v>172361</v>
      </c>
      <c r="E39" s="35"/>
    </row>
    <row r="40" spans="1:5" ht="15">
      <c r="A40" s="35"/>
      <c r="B40" s="66" t="s">
        <v>530</v>
      </c>
      <c r="C40" s="35"/>
      <c r="D40" s="55">
        <v>0</v>
      </c>
      <c r="E40" s="35"/>
    </row>
    <row r="41" spans="1:5" ht="15">
      <c r="A41" s="35"/>
      <c r="B41" s="66" t="s">
        <v>531</v>
      </c>
      <c r="C41" s="35"/>
      <c r="D41" s="55">
        <v>0</v>
      </c>
      <c r="E41" s="35"/>
    </row>
    <row r="42" spans="1:5" ht="15">
      <c r="A42" s="35"/>
      <c r="B42" s="66" t="s">
        <v>532</v>
      </c>
      <c r="C42" s="35"/>
      <c r="D42" s="55">
        <v>0</v>
      </c>
      <c r="E42" s="35"/>
    </row>
    <row r="43" spans="1:5" ht="15">
      <c r="A43" s="35"/>
      <c r="B43" s="66" t="s">
        <v>533</v>
      </c>
      <c r="C43" s="35"/>
      <c r="D43" s="55">
        <v>604289</v>
      </c>
      <c r="E43" s="35"/>
    </row>
    <row r="44" spans="1:5" ht="15">
      <c r="A44" s="35"/>
      <c r="B44" s="66" t="s">
        <v>534</v>
      </c>
      <c r="C44" s="35"/>
      <c r="D44" s="55">
        <v>0</v>
      </c>
      <c r="E44" s="35"/>
    </row>
    <row r="45" spans="1:5" ht="15">
      <c r="A45" s="35"/>
      <c r="B45" s="66" t="s">
        <v>525</v>
      </c>
      <c r="C45" s="35"/>
      <c r="D45" s="55">
        <v>15132</v>
      </c>
      <c r="E45" s="35"/>
    </row>
    <row r="46" spans="1:5" ht="15">
      <c r="A46" s="35"/>
      <c r="B46" s="66" t="s">
        <v>526</v>
      </c>
      <c r="C46" s="35"/>
      <c r="D46" s="55">
        <v>913</v>
      </c>
      <c r="E46" s="35"/>
    </row>
    <row r="47" spans="1:5" ht="15">
      <c r="A47" s="35"/>
      <c r="B47" s="66" t="s">
        <v>527</v>
      </c>
      <c r="C47" s="35"/>
      <c r="D47" s="55">
        <v>641232</v>
      </c>
      <c r="E47" s="35"/>
    </row>
    <row r="48" spans="1:5" ht="15">
      <c r="A48" s="35"/>
      <c r="B48" s="66"/>
      <c r="C48" s="35"/>
      <c r="D48" s="478"/>
      <c r="E48" s="35"/>
    </row>
    <row r="49" spans="1:5" ht="15">
      <c r="A49" s="35" t="s">
        <v>240</v>
      </c>
      <c r="B49" s="67"/>
      <c r="C49" s="35"/>
      <c r="D49" s="35"/>
      <c r="E49" s="35"/>
    </row>
    <row r="50" spans="1:5" ht="15">
      <c r="A50" s="35">
        <v>1</v>
      </c>
      <c r="B50" s="66" t="s">
        <v>528</v>
      </c>
      <c r="C50" s="35"/>
      <c r="D50" s="55">
        <v>1135847</v>
      </c>
      <c r="E50" s="35"/>
    </row>
    <row r="51" spans="1:5" ht="15">
      <c r="A51" s="35">
        <v>2</v>
      </c>
      <c r="B51" s="66" t="s">
        <v>529</v>
      </c>
      <c r="C51" s="35"/>
      <c r="D51" s="55">
        <v>215895</v>
      </c>
      <c r="E51" s="35"/>
    </row>
    <row r="52" spans="1:5" ht="15">
      <c r="A52" s="35">
        <v>3</v>
      </c>
      <c r="B52" s="66"/>
      <c r="C52" s="35"/>
      <c r="D52" s="55"/>
      <c r="E52" s="35"/>
    </row>
    <row r="53" spans="1:5" ht="15">
      <c r="A53" s="35">
        <v>4</v>
      </c>
      <c r="B53" s="66"/>
      <c r="C53" s="35"/>
      <c r="D53" s="55"/>
      <c r="E53" s="35"/>
    </row>
    <row r="54" spans="1:5" ht="15">
      <c r="A54" s="58" t="str">
        <f>CONCATENATE("Total Expenditures for ",C5-1," Budgeted Year")</f>
        <v>Total Expenditures for 2011 Budgeted Year</v>
      </c>
      <c r="B54" s="68"/>
      <c r="C54" s="69"/>
      <c r="D54" s="70">
        <f>SUM(D17:D18,D20:D23,D28:D47,D50:D53)</f>
        <v>7163176</v>
      </c>
      <c r="E54" s="35"/>
    </row>
    <row r="55" spans="1:5" ht="15">
      <c r="A55" s="35" t="s">
        <v>241</v>
      </c>
      <c r="B55" s="71"/>
      <c r="C55" s="35"/>
      <c r="D55" s="35"/>
      <c r="E55" s="35"/>
    </row>
    <row r="56" spans="1:5" ht="15">
      <c r="A56" s="35">
        <v>1</v>
      </c>
      <c r="B56" s="66"/>
      <c r="C56" s="35"/>
      <c r="D56" s="35"/>
      <c r="E56" s="35"/>
    </row>
    <row r="57" spans="1:5" ht="15">
      <c r="A57" s="35">
        <v>2</v>
      </c>
      <c r="B57" s="66"/>
      <c r="C57" s="35"/>
      <c r="D57" s="35"/>
      <c r="E57" s="35"/>
    </row>
    <row r="58" spans="1:5" ht="15">
      <c r="A58" s="35">
        <v>3</v>
      </c>
      <c r="B58" s="66"/>
      <c r="C58" s="35"/>
      <c r="D58" s="35"/>
      <c r="E58" s="35"/>
    </row>
    <row r="59" spans="1:5" ht="15">
      <c r="A59" s="35">
        <v>4</v>
      </c>
      <c r="B59" s="66"/>
      <c r="C59" s="35"/>
      <c r="D59" s="35"/>
      <c r="E59" s="35"/>
    </row>
    <row r="60" spans="1:5" ht="15">
      <c r="A60" s="35">
        <v>5</v>
      </c>
      <c r="B60" s="66"/>
      <c r="C60" s="35"/>
      <c r="D60" s="35"/>
      <c r="E60" s="35"/>
    </row>
    <row r="61" spans="1:5" ht="15">
      <c r="A61" s="35" t="s">
        <v>242</v>
      </c>
      <c r="B61" s="67"/>
      <c r="C61" s="35"/>
      <c r="D61" s="35"/>
      <c r="E61" s="35"/>
    </row>
    <row r="62" spans="1:5" ht="15">
      <c r="A62" s="35">
        <v>1</v>
      </c>
      <c r="B62" s="66"/>
      <c r="C62" s="35"/>
      <c r="D62" s="35"/>
      <c r="E62" s="35"/>
    </row>
    <row r="63" spans="1:5" ht="15">
      <c r="A63" s="35">
        <v>2</v>
      </c>
      <c r="B63" s="66"/>
      <c r="C63" s="35"/>
      <c r="D63" s="35"/>
      <c r="E63" s="35"/>
    </row>
    <row r="64" spans="1:5" ht="15">
      <c r="A64" s="35">
        <v>3</v>
      </c>
      <c r="B64" s="66"/>
      <c r="C64" s="35"/>
      <c r="D64" s="35"/>
      <c r="E64" s="35"/>
    </row>
    <row r="65" spans="1:5" ht="15">
      <c r="A65" s="35">
        <v>4</v>
      </c>
      <c r="B65" s="66"/>
      <c r="C65" s="35"/>
      <c r="D65" s="35"/>
      <c r="E65" s="35"/>
    </row>
    <row r="66" spans="1:5" ht="15">
      <c r="A66" s="35">
        <v>5</v>
      </c>
      <c r="B66" s="66"/>
      <c r="C66" s="35"/>
      <c r="D66" s="35"/>
      <c r="E66" s="35"/>
    </row>
    <row r="67" spans="1:5" ht="15">
      <c r="A67" s="35" t="s">
        <v>243</v>
      </c>
      <c r="B67" s="67"/>
      <c r="C67" s="35"/>
      <c r="D67" s="35"/>
      <c r="E67" s="35"/>
    </row>
    <row r="68" spans="1:5" ht="15">
      <c r="A68" s="35">
        <v>1</v>
      </c>
      <c r="B68" s="66"/>
      <c r="C68" s="35"/>
      <c r="D68" s="35"/>
      <c r="E68" s="35"/>
    </row>
    <row r="69" spans="1:5" ht="15">
      <c r="A69" s="35">
        <v>2</v>
      </c>
      <c r="B69" s="66"/>
      <c r="C69" s="35"/>
      <c r="D69" s="35"/>
      <c r="E69" s="35"/>
    </row>
    <row r="70" spans="1:5" ht="15">
      <c r="A70" s="35">
        <v>3</v>
      </c>
      <c r="B70" s="66"/>
      <c r="C70" s="35"/>
      <c r="D70" s="35"/>
      <c r="E70" s="35"/>
    </row>
    <row r="71" spans="1:5" ht="15">
      <c r="A71" s="35">
        <v>4</v>
      </c>
      <c r="B71" s="66"/>
      <c r="C71" s="35"/>
      <c r="D71" s="35"/>
      <c r="E71" s="35"/>
    </row>
    <row r="72" spans="1:5" ht="15">
      <c r="A72" s="35">
        <v>5</v>
      </c>
      <c r="B72" s="66"/>
      <c r="C72" s="35"/>
      <c r="D72" s="35"/>
      <c r="E72" s="35"/>
    </row>
    <row r="73" spans="1:5" ht="15">
      <c r="A73" s="35" t="s">
        <v>244</v>
      </c>
      <c r="B73" s="67"/>
      <c r="C73" s="35"/>
      <c r="D73" s="35"/>
      <c r="E73" s="35"/>
    </row>
    <row r="74" spans="1:5" ht="15">
      <c r="A74" s="35">
        <v>1</v>
      </c>
      <c r="B74" s="66"/>
      <c r="C74" s="35"/>
      <c r="D74" s="35"/>
      <c r="E74" s="35"/>
    </row>
    <row r="75" spans="1:5" ht="15">
      <c r="A75" s="35">
        <v>2</v>
      </c>
      <c r="B75" s="66"/>
      <c r="C75" s="35"/>
      <c r="D75" s="35"/>
      <c r="E75" s="35"/>
    </row>
    <row r="76" spans="1:5" ht="15">
      <c r="A76" s="35">
        <v>3</v>
      </c>
      <c r="B76" s="66"/>
      <c r="C76" s="35"/>
      <c r="D76" s="35"/>
      <c r="E76" s="35"/>
    </row>
    <row r="77" spans="1:5" ht="15">
      <c r="A77" s="35">
        <v>4</v>
      </c>
      <c r="B77" s="66"/>
      <c r="C77" s="35"/>
      <c r="D77" s="35"/>
      <c r="E77" s="35"/>
    </row>
    <row r="78" spans="1:5" ht="15">
      <c r="A78" s="35">
        <v>5</v>
      </c>
      <c r="B78" s="66"/>
      <c r="C78" s="35"/>
      <c r="D78" s="35"/>
      <c r="E78" s="35"/>
    </row>
    <row r="79" spans="1:5" ht="15">
      <c r="A79" s="63"/>
      <c r="B79" s="64"/>
      <c r="C79" s="64"/>
      <c r="D79" s="64"/>
      <c r="E79" s="72"/>
    </row>
    <row r="80" spans="1:5" ht="15">
      <c r="A80" s="35"/>
      <c r="B80" s="35"/>
      <c r="C80" s="35"/>
      <c r="D80" s="35"/>
      <c r="E80" s="35"/>
    </row>
    <row r="81" spans="1:5" ht="15">
      <c r="A81" s="35"/>
      <c r="B81" s="35"/>
      <c r="C81" s="35"/>
      <c r="D81" s="73" t="str">
        <f>CONCATENATE("",C5-3," Tax Rate")</f>
        <v>2009 Tax Rate</v>
      </c>
      <c r="E81" s="35"/>
    </row>
    <row r="82" spans="1:5" ht="15">
      <c r="A82" s="47" t="str">
        <f>CONCATENATE("From the ",C5-1," Budget, Budget Summary Page")</f>
        <v>From the 2011 Budget, Budget Summary Page</v>
      </c>
      <c r="B82" s="48"/>
      <c r="C82" s="35"/>
      <c r="D82" s="74" t="str">
        <f>CONCATENATE("(",C5-2," Column)")</f>
        <v>(2010 Column)</v>
      </c>
      <c r="E82" s="35"/>
    </row>
    <row r="83" spans="1:5" ht="15">
      <c r="A83" s="35"/>
      <c r="B83" s="75" t="str">
        <f>B17</f>
        <v>General</v>
      </c>
      <c r="C83" s="35"/>
      <c r="D83" s="66">
        <v>47.427</v>
      </c>
      <c r="E83" s="35"/>
    </row>
    <row r="84" spans="1:5" ht="15">
      <c r="A84" s="35"/>
      <c r="B84" s="75" t="str">
        <f>B18</f>
        <v>Debt Service</v>
      </c>
      <c r="C84" s="35"/>
      <c r="D84" s="66">
        <v>18.796</v>
      </c>
      <c r="E84" s="35"/>
    </row>
    <row r="85" spans="1:5" ht="15">
      <c r="A85" s="35"/>
      <c r="B85" s="75" t="str">
        <f>B20</f>
        <v>Library</v>
      </c>
      <c r="C85" s="35"/>
      <c r="D85" s="66">
        <v>7.602</v>
      </c>
      <c r="E85" s="35"/>
    </row>
    <row r="86" spans="1:5" ht="15">
      <c r="A86" s="35"/>
      <c r="B86" s="75" t="str">
        <f>B21</f>
        <v>Fire/Police</v>
      </c>
      <c r="C86" s="35"/>
      <c r="D86" s="66">
        <v>1.275</v>
      </c>
      <c r="E86" s="35"/>
    </row>
    <row r="87" spans="1:5" ht="15">
      <c r="A87" s="35"/>
      <c r="B87" s="75">
        <f>B22</f>
        <v>0</v>
      </c>
      <c r="C87" s="35"/>
      <c r="D87" s="66"/>
      <c r="E87" s="35"/>
    </row>
    <row r="88" spans="1:5" ht="15">
      <c r="A88" s="35"/>
      <c r="B88" s="75">
        <f>B23</f>
        <v>0</v>
      </c>
      <c r="C88" s="35"/>
      <c r="D88" s="66"/>
      <c r="E88" s="35"/>
    </row>
    <row r="89" spans="1:5" ht="15">
      <c r="A89" s="35"/>
      <c r="B89" s="75">
        <f>B24</f>
        <v>0</v>
      </c>
      <c r="C89" s="143"/>
      <c r="D89" s="66"/>
      <c r="E89" s="35"/>
    </row>
    <row r="90" spans="1:5" ht="15">
      <c r="A90" s="58" t="s">
        <v>25</v>
      </c>
      <c r="B90" s="59"/>
      <c r="C90" s="69"/>
      <c r="D90" s="76">
        <f>SUM(D83:D89)</f>
        <v>75.10000000000001</v>
      </c>
      <c r="E90" s="35"/>
    </row>
    <row r="91" spans="1:5" ht="15">
      <c r="A91" s="35"/>
      <c r="B91" s="35"/>
      <c r="C91" s="35"/>
      <c r="D91" s="35"/>
      <c r="E91" s="35"/>
    </row>
    <row r="92" spans="1:5" ht="15">
      <c r="A92" s="77" t="str">
        <f>CONCATENATE("Total Tax Levied (",C5-2," budget column)")</f>
        <v>Total Tax Levied (2010 budget column)</v>
      </c>
      <c r="B92" s="78"/>
      <c r="C92" s="59"/>
      <c r="D92" s="69"/>
      <c r="E92" s="55">
        <v>5344041</v>
      </c>
    </row>
    <row r="93" spans="1:5" ht="15">
      <c r="A93" s="79" t="str">
        <f>CONCATENATE("Assessed Valuation  (",C5-2," budget column)")</f>
        <v>Assessed Valuation  (2010 budget column)</v>
      </c>
      <c r="B93" s="80"/>
      <c r="C93" s="60"/>
      <c r="D93" s="81"/>
      <c r="E93" s="55">
        <v>11438793</v>
      </c>
    </row>
    <row r="94" spans="1:5" ht="15">
      <c r="A94" s="63"/>
      <c r="B94" s="64"/>
      <c r="C94" s="64"/>
      <c r="D94" s="64"/>
      <c r="E94" s="72"/>
    </row>
    <row r="95" spans="1:5" ht="15">
      <c r="A95" s="82" t="str">
        <f>CONCATENATE("From the ",C5-1," Budget, Budget Summary Page")</f>
        <v>From the 2011 Budget, Budget Summary Page</v>
      </c>
      <c r="B95" s="83"/>
      <c r="C95" s="35"/>
      <c r="D95" s="84"/>
      <c r="E95" s="85"/>
    </row>
    <row r="96" spans="1:5" ht="15">
      <c r="A96" s="46" t="s">
        <v>0</v>
      </c>
      <c r="B96" s="46"/>
      <c r="C96" s="86"/>
      <c r="D96" s="87">
        <f>C5-3</f>
        <v>2009</v>
      </c>
      <c r="E96" s="88">
        <f>C5-2</f>
        <v>2010</v>
      </c>
    </row>
    <row r="97" spans="1:5" ht="15">
      <c r="A97" s="89" t="s">
        <v>209</v>
      </c>
      <c r="B97" s="89"/>
      <c r="C97" s="90"/>
      <c r="D97" s="91">
        <v>2374600</v>
      </c>
      <c r="E97" s="91">
        <v>2090100</v>
      </c>
    </row>
    <row r="98" spans="1:5" ht="15">
      <c r="A98" s="92" t="s">
        <v>210</v>
      </c>
      <c r="B98" s="92"/>
      <c r="C98" s="93"/>
      <c r="D98" s="91">
        <v>0</v>
      </c>
      <c r="E98" s="91">
        <v>0</v>
      </c>
    </row>
    <row r="99" spans="1:5" ht="15">
      <c r="A99" s="92" t="s">
        <v>211</v>
      </c>
      <c r="B99" s="92"/>
      <c r="C99" s="93"/>
      <c r="D99" s="91">
        <v>1695488</v>
      </c>
      <c r="E99" s="91">
        <v>31954788</v>
      </c>
    </row>
    <row r="100" spans="1:5" ht="15">
      <c r="A100" s="92" t="s">
        <v>212</v>
      </c>
      <c r="B100" s="92"/>
      <c r="C100" s="93"/>
      <c r="D100" s="91">
        <v>233431</v>
      </c>
      <c r="E100" s="91">
        <v>169842</v>
      </c>
    </row>
    <row r="101" spans="1:5" ht="15">
      <c r="A101" s="94"/>
      <c r="B101" s="94"/>
      <c r="C101" s="94"/>
      <c r="D101" s="94"/>
      <c r="E101" s="94"/>
    </row>
    <row r="102" spans="1:5" ht="15">
      <c r="A102" s="94"/>
      <c r="B102" s="94"/>
      <c r="C102" s="94"/>
      <c r="D102" s="94"/>
      <c r="E102" s="94"/>
    </row>
    <row r="103" spans="1:5" ht="15">
      <c r="A103" s="94"/>
      <c r="B103" s="94"/>
      <c r="C103" s="94"/>
      <c r="D103" s="94"/>
      <c r="E103" s="94"/>
    </row>
    <row r="104" spans="1:5" ht="15">
      <c r="A104" s="94"/>
      <c r="B104" s="94"/>
      <c r="C104" s="94"/>
      <c r="D104" s="94"/>
      <c r="E104" s="94"/>
    </row>
    <row r="105" spans="1:5" ht="15">
      <c r="A105" s="94"/>
      <c r="B105" s="94"/>
      <c r="C105" s="94"/>
      <c r="D105" s="94"/>
      <c r="E105" s="94"/>
    </row>
    <row r="106" spans="1:5" ht="15">
      <c r="A106" s="94"/>
      <c r="B106" s="94"/>
      <c r="C106" s="94"/>
      <c r="D106" s="94"/>
      <c r="E106" s="94"/>
    </row>
    <row r="107" s="94" customFormat="1" ht="15"/>
    <row r="108" spans="1:5" ht="15">
      <c r="A108" s="94"/>
      <c r="B108" s="94"/>
      <c r="C108" s="94"/>
      <c r="D108" s="94"/>
      <c r="E108" s="94"/>
    </row>
    <row r="109" spans="1:5" ht="15">
      <c r="A109" s="94"/>
      <c r="B109" s="94"/>
      <c r="C109" s="94"/>
      <c r="D109" s="94"/>
      <c r="E109" s="94"/>
    </row>
    <row r="110" spans="1:5" ht="15">
      <c r="A110" s="94"/>
      <c r="B110" s="94"/>
      <c r="C110" s="94"/>
      <c r="D110" s="94"/>
      <c r="E110" s="94"/>
    </row>
    <row r="111" spans="1:5" ht="15">
      <c r="A111" s="94"/>
      <c r="B111" s="94"/>
      <c r="C111" s="94"/>
      <c r="D111" s="94"/>
      <c r="E111" s="94"/>
    </row>
    <row r="112" spans="1:5" ht="15">
      <c r="A112" s="94"/>
      <c r="B112" s="94"/>
      <c r="C112" s="94"/>
      <c r="D112" s="94"/>
      <c r="E112" s="94"/>
    </row>
    <row r="113" spans="1:5" ht="15">
      <c r="A113" s="94"/>
      <c r="B113" s="94"/>
      <c r="C113" s="94"/>
      <c r="D113" s="94"/>
      <c r="E113" s="94"/>
    </row>
    <row r="114" spans="1:5" ht="15">
      <c r="A114" s="94"/>
      <c r="B114" s="94"/>
      <c r="C114" s="94"/>
      <c r="D114" s="94"/>
      <c r="E114" s="94"/>
    </row>
    <row r="115" spans="1:5" ht="15">
      <c r="A115" s="94"/>
      <c r="B115" s="94"/>
      <c r="C115" s="94"/>
      <c r="D115" s="94"/>
      <c r="E115" s="94"/>
    </row>
    <row r="116" spans="1:5" ht="15">
      <c r="A116" s="94"/>
      <c r="B116" s="94"/>
      <c r="C116" s="94"/>
      <c r="D116" s="94"/>
      <c r="E116" s="94"/>
    </row>
    <row r="117" spans="1:5" ht="15">
      <c r="A117" s="94"/>
      <c r="B117" s="94"/>
      <c r="C117" s="94"/>
      <c r="D117" s="94"/>
      <c r="E117" s="94"/>
    </row>
    <row r="118" spans="1:5" ht="15">
      <c r="A118" s="94"/>
      <c r="B118" s="94"/>
      <c r="C118" s="94"/>
      <c r="D118" s="94"/>
      <c r="E118" s="94"/>
    </row>
  </sheetData>
  <sheetProtection/>
  <mergeCells count="2">
    <mergeCell ref="A10:E10"/>
    <mergeCell ref="A1:E1"/>
  </mergeCells>
  <printOptions/>
  <pageMargins left="0.5" right="0.5" top="1" bottom="0.5" header="0.5" footer="0.25"/>
  <pageSetup blackAndWhite="1" fitToHeight="2" fitToWidth="1" horizontalDpi="120" verticalDpi="120" orientation="portrait" scale="74" r:id="rId1"/>
</worksheet>
</file>

<file path=xl/worksheets/sheet10.xml><?xml version="1.0" encoding="utf-8"?>
<worksheet xmlns="http://schemas.openxmlformats.org/spreadsheetml/2006/main" xmlns:r="http://schemas.openxmlformats.org/officeDocument/2006/relationships">
  <sheetPr>
    <pageSetUpPr fitToPage="1"/>
  </sheetPr>
  <dimension ref="B1:J128"/>
  <sheetViews>
    <sheetView zoomScaleSheetLayoutView="100" zoomScalePageLayoutView="0" workbookViewId="0" topLeftCell="A79">
      <selection activeCell="E79" sqref="E79"/>
    </sheetView>
  </sheetViews>
  <sheetFormatPr defaultColWidth="8.8984375" defaultRowHeight="15"/>
  <cols>
    <col min="1" max="1" width="2.3984375" style="33" customWidth="1"/>
    <col min="2" max="2" width="31.09765625" style="33" customWidth="1"/>
    <col min="3" max="4" width="15.69921875" style="33" customWidth="1"/>
    <col min="5" max="5" width="16.296875" style="33" customWidth="1"/>
    <col min="6" max="6" width="6.8984375" style="33" customWidth="1"/>
    <col min="7" max="7" width="7.09765625" style="33" customWidth="1"/>
    <col min="8" max="8" width="8.8984375" style="33" customWidth="1"/>
    <col min="9" max="9" width="5" style="33" customWidth="1"/>
    <col min="10" max="10" width="7.69921875" style="33" customWidth="1"/>
    <col min="11" max="16384" width="8.8984375" style="33" customWidth="1"/>
  </cols>
  <sheetData>
    <row r="1" spans="2:5" ht="15">
      <c r="B1" s="187" t="str">
        <f>inputPrYr!D2</f>
        <v>City of Ellsworth</v>
      </c>
      <c r="C1" s="35"/>
      <c r="D1" s="35"/>
      <c r="E1" s="241">
        <f>inputPrYr!C5</f>
        <v>2012</v>
      </c>
    </row>
    <row r="2" spans="2:5" ht="15">
      <c r="B2" s="35"/>
      <c r="C2" s="35"/>
      <c r="D2" s="35"/>
      <c r="E2" s="159"/>
    </row>
    <row r="3" spans="2:5" ht="15">
      <c r="B3" s="242"/>
      <c r="C3" s="35"/>
      <c r="D3" s="35"/>
      <c r="E3" s="126"/>
    </row>
    <row r="4" spans="2:5" ht="15">
      <c r="B4" s="357" t="s">
        <v>119</v>
      </c>
      <c r="C4" s="243"/>
      <c r="D4" s="243"/>
      <c r="E4" s="243"/>
    </row>
    <row r="5" spans="2:5" ht="15">
      <c r="B5" s="161" t="s">
        <v>53</v>
      </c>
      <c r="C5" s="464" t="s">
        <v>73</v>
      </c>
      <c r="D5" s="465" t="s">
        <v>197</v>
      </c>
      <c r="E5" s="466" t="s">
        <v>198</v>
      </c>
    </row>
    <row r="6" spans="2:5" ht="15">
      <c r="B6" s="424" t="str">
        <f>inputPrYr!B17</f>
        <v>General</v>
      </c>
      <c r="C6" s="341">
        <f>E1-2</f>
        <v>2010</v>
      </c>
      <c r="D6" s="341">
        <f>E1-1</f>
        <v>2011</v>
      </c>
      <c r="E6" s="244">
        <f>E1</f>
        <v>2012</v>
      </c>
    </row>
    <row r="7" spans="2:5" ht="15">
      <c r="B7" s="245" t="s">
        <v>174</v>
      </c>
      <c r="C7" s="246">
        <v>380831</v>
      </c>
      <c r="D7" s="248">
        <f>C107</f>
        <v>257192</v>
      </c>
      <c r="E7" s="221">
        <f>D107</f>
        <v>214570</v>
      </c>
    </row>
    <row r="8" spans="2:5" ht="15">
      <c r="B8" s="249" t="s">
        <v>176</v>
      </c>
      <c r="C8" s="149"/>
      <c r="D8" s="149"/>
      <c r="E8" s="75"/>
    </row>
    <row r="9" spans="2:5" ht="15">
      <c r="B9" s="245" t="s">
        <v>54</v>
      </c>
      <c r="C9" s="250">
        <v>530284</v>
      </c>
      <c r="D9" s="248">
        <v>610000</v>
      </c>
      <c r="E9" s="252" t="s">
        <v>42</v>
      </c>
    </row>
    <row r="10" spans="2:5" ht="15">
      <c r="B10" s="245" t="s">
        <v>55</v>
      </c>
      <c r="C10" s="250">
        <v>4792</v>
      </c>
      <c r="D10" s="250">
        <v>6441</v>
      </c>
      <c r="E10" s="253">
        <v>3800</v>
      </c>
    </row>
    <row r="11" spans="2:5" ht="15">
      <c r="B11" s="245" t="s">
        <v>56</v>
      </c>
      <c r="C11" s="250">
        <v>98083</v>
      </c>
      <c r="D11" s="250">
        <v>99349</v>
      </c>
      <c r="E11" s="221">
        <v>99500</v>
      </c>
    </row>
    <row r="12" spans="2:5" ht="15">
      <c r="B12" s="245" t="s">
        <v>57</v>
      </c>
      <c r="C12" s="250">
        <v>1665</v>
      </c>
      <c r="D12" s="250">
        <v>1726</v>
      </c>
      <c r="E12" s="221">
        <v>1800</v>
      </c>
    </row>
    <row r="13" spans="2:5" ht="15">
      <c r="B13" s="245" t="s">
        <v>151</v>
      </c>
      <c r="C13" s="250">
        <v>728</v>
      </c>
      <c r="D13" s="250">
        <v>779</v>
      </c>
      <c r="E13" s="221">
        <v>800</v>
      </c>
    </row>
    <row r="14" spans="2:5" ht="15">
      <c r="B14" s="245" t="s">
        <v>152</v>
      </c>
      <c r="C14" s="250">
        <v>0</v>
      </c>
      <c r="D14" s="250">
        <v>0</v>
      </c>
      <c r="E14" s="221">
        <f>inputOth!E16</f>
        <v>0</v>
      </c>
    </row>
    <row r="15" spans="2:5" ht="15">
      <c r="B15" s="245" t="s">
        <v>202</v>
      </c>
      <c r="C15" s="250">
        <v>0</v>
      </c>
      <c r="D15" s="250">
        <v>0</v>
      </c>
      <c r="E15" s="221">
        <f>inputOth!E36</f>
        <v>0</v>
      </c>
    </row>
    <row r="16" spans="2:5" ht="15">
      <c r="B16" s="245" t="s">
        <v>203</v>
      </c>
      <c r="C16" s="250">
        <v>0</v>
      </c>
      <c r="D16" s="250">
        <v>0</v>
      </c>
      <c r="E16" s="221">
        <f>inputOth!E37</f>
        <v>0</v>
      </c>
    </row>
    <row r="17" spans="2:5" ht="15">
      <c r="B17" s="149" t="s">
        <v>204</v>
      </c>
      <c r="C17" s="250">
        <v>0</v>
      </c>
      <c r="D17" s="250">
        <v>0</v>
      </c>
      <c r="E17" s="221">
        <f>mvalloc!F7</f>
        <v>0</v>
      </c>
    </row>
    <row r="18" spans="2:5" ht="15">
      <c r="B18" s="246" t="s">
        <v>58</v>
      </c>
      <c r="C18" s="250">
        <v>2911</v>
      </c>
      <c r="D18" s="250">
        <v>3200</v>
      </c>
      <c r="E18" s="253">
        <v>3200</v>
      </c>
    </row>
    <row r="19" spans="2:5" ht="15">
      <c r="B19" s="426" t="s">
        <v>535</v>
      </c>
      <c r="C19" s="250">
        <v>6240</v>
      </c>
      <c r="D19" s="250">
        <v>6240</v>
      </c>
      <c r="E19" s="253">
        <v>6240</v>
      </c>
    </row>
    <row r="20" spans="2:5" ht="15">
      <c r="B20" s="425" t="s">
        <v>536</v>
      </c>
      <c r="C20" s="250">
        <v>136168</v>
      </c>
      <c r="D20" s="250">
        <v>139000</v>
      </c>
      <c r="E20" s="253">
        <v>133000</v>
      </c>
    </row>
    <row r="21" spans="2:5" ht="15">
      <c r="B21" s="425" t="s">
        <v>537</v>
      </c>
      <c r="C21" s="250">
        <v>71294</v>
      </c>
      <c r="D21" s="250">
        <v>70500</v>
      </c>
      <c r="E21" s="253">
        <v>74000</v>
      </c>
    </row>
    <row r="22" spans="2:5" ht="15">
      <c r="B22" s="425" t="s">
        <v>538</v>
      </c>
      <c r="C22" s="250">
        <v>19372</v>
      </c>
      <c r="D22" s="250">
        <v>20000</v>
      </c>
      <c r="E22" s="253">
        <v>19470</v>
      </c>
    </row>
    <row r="23" spans="2:5" ht="15">
      <c r="B23" s="246" t="s">
        <v>539</v>
      </c>
      <c r="C23" s="250">
        <v>48501</v>
      </c>
      <c r="D23" s="250">
        <v>51500</v>
      </c>
      <c r="E23" s="253">
        <v>49500</v>
      </c>
    </row>
    <row r="24" spans="2:5" ht="15">
      <c r="B24" s="246" t="s">
        <v>540</v>
      </c>
      <c r="C24" s="250">
        <v>17080</v>
      </c>
      <c r="D24" s="250">
        <v>19250</v>
      </c>
      <c r="E24" s="253">
        <v>18000</v>
      </c>
    </row>
    <row r="25" spans="2:5" ht="15">
      <c r="B25" s="246" t="s">
        <v>499</v>
      </c>
      <c r="C25" s="250">
        <v>3429</v>
      </c>
      <c r="D25" s="250">
        <v>3200</v>
      </c>
      <c r="E25" s="253">
        <v>3000</v>
      </c>
    </row>
    <row r="26" spans="2:5" ht="15">
      <c r="B26" s="246" t="s">
        <v>541</v>
      </c>
      <c r="C26" s="250">
        <v>7800</v>
      </c>
      <c r="D26" s="250">
        <v>5000</v>
      </c>
      <c r="E26" s="253">
        <v>6000</v>
      </c>
    </row>
    <row r="27" spans="2:5" ht="15">
      <c r="B27" s="246" t="s">
        <v>542</v>
      </c>
      <c r="C27" s="250">
        <v>1300</v>
      </c>
      <c r="D27" s="250">
        <v>3200</v>
      </c>
      <c r="E27" s="253">
        <v>1500</v>
      </c>
    </row>
    <row r="28" spans="2:5" ht="15">
      <c r="B28" s="246" t="s">
        <v>543</v>
      </c>
      <c r="C28" s="250">
        <v>2164</v>
      </c>
      <c r="D28" s="250">
        <v>4500</v>
      </c>
      <c r="E28" s="253">
        <v>2800</v>
      </c>
    </row>
    <row r="29" spans="2:5" ht="15">
      <c r="B29" s="246" t="s">
        <v>544</v>
      </c>
      <c r="C29" s="250">
        <v>830</v>
      </c>
      <c r="D29" s="250">
        <v>630</v>
      </c>
      <c r="E29" s="253">
        <v>630</v>
      </c>
    </row>
    <row r="30" spans="2:5" ht="15">
      <c r="B30" s="246" t="s">
        <v>545</v>
      </c>
      <c r="C30" s="250">
        <v>5980</v>
      </c>
      <c r="D30" s="250">
        <v>5980</v>
      </c>
      <c r="E30" s="253">
        <v>5980</v>
      </c>
    </row>
    <row r="31" spans="2:5" ht="15">
      <c r="B31" s="246" t="s">
        <v>546</v>
      </c>
      <c r="C31" s="250">
        <v>810</v>
      </c>
      <c r="D31" s="250">
        <v>800</v>
      </c>
      <c r="E31" s="253">
        <v>500</v>
      </c>
    </row>
    <row r="32" spans="2:5" ht="15">
      <c r="B32" s="246" t="s">
        <v>547</v>
      </c>
      <c r="C32" s="250">
        <v>16068</v>
      </c>
      <c r="D32" s="250">
        <v>16000</v>
      </c>
      <c r="E32" s="253">
        <v>15750</v>
      </c>
    </row>
    <row r="33" spans="2:5" ht="15">
      <c r="B33" s="246" t="s">
        <v>498</v>
      </c>
      <c r="C33" s="250">
        <v>343137</v>
      </c>
      <c r="D33" s="250">
        <v>348000</v>
      </c>
      <c r="E33" s="253">
        <v>345800</v>
      </c>
    </row>
    <row r="34" spans="2:5" ht="15">
      <c r="B34" s="246" t="s">
        <v>548</v>
      </c>
      <c r="C34" s="250">
        <v>94987</v>
      </c>
      <c r="D34" s="250">
        <v>99000</v>
      </c>
      <c r="E34" s="253">
        <v>99500</v>
      </c>
    </row>
    <row r="35" spans="2:5" ht="15">
      <c r="B35" s="246" t="s">
        <v>549</v>
      </c>
      <c r="C35" s="250">
        <v>35674</v>
      </c>
      <c r="D35" s="250">
        <v>32000</v>
      </c>
      <c r="E35" s="253">
        <v>30000</v>
      </c>
    </row>
    <row r="36" spans="2:5" ht="15">
      <c r="B36" s="246" t="s">
        <v>550</v>
      </c>
      <c r="C36" s="250">
        <v>1308</v>
      </c>
      <c r="D36" s="250">
        <v>2000</v>
      </c>
      <c r="E36" s="253">
        <v>1000</v>
      </c>
    </row>
    <row r="37" spans="2:5" ht="15">
      <c r="B37" s="246" t="s">
        <v>551</v>
      </c>
      <c r="C37" s="250">
        <v>11160</v>
      </c>
      <c r="D37" s="250">
        <v>11000</v>
      </c>
      <c r="E37" s="253">
        <v>10000</v>
      </c>
    </row>
    <row r="38" spans="2:5" ht="15">
      <c r="B38" s="246" t="s">
        <v>552</v>
      </c>
      <c r="C38" s="250">
        <v>22500</v>
      </c>
      <c r="D38" s="250">
        <v>22500</v>
      </c>
      <c r="E38" s="253">
        <v>22500</v>
      </c>
    </row>
    <row r="39" spans="2:5" ht="15">
      <c r="B39" s="246" t="s">
        <v>553</v>
      </c>
      <c r="C39" s="250">
        <v>55534</v>
      </c>
      <c r="D39" s="250">
        <v>55000</v>
      </c>
      <c r="E39" s="253">
        <v>50000</v>
      </c>
    </row>
    <row r="40" spans="2:5" ht="15">
      <c r="B40" s="246" t="s">
        <v>554</v>
      </c>
      <c r="C40" s="250">
        <v>7229</v>
      </c>
      <c r="D40" s="250">
        <v>9000</v>
      </c>
      <c r="E40" s="253">
        <v>9100</v>
      </c>
    </row>
    <row r="41" spans="2:5" ht="15">
      <c r="B41" s="246" t="s">
        <v>555</v>
      </c>
      <c r="C41" s="250">
        <v>24860</v>
      </c>
      <c r="D41" s="250">
        <v>24000</v>
      </c>
      <c r="E41" s="253">
        <v>24000</v>
      </c>
    </row>
    <row r="42" spans="2:5" ht="15">
      <c r="B42" s="246" t="s">
        <v>556</v>
      </c>
      <c r="C42" s="250">
        <v>59000</v>
      </c>
      <c r="D42" s="250">
        <v>70000</v>
      </c>
      <c r="E42" s="253">
        <v>75000</v>
      </c>
    </row>
    <row r="43" spans="2:5" ht="15">
      <c r="B43" s="246" t="s">
        <v>557</v>
      </c>
      <c r="C43" s="250">
        <v>1169</v>
      </c>
      <c r="D43" s="250">
        <v>1500</v>
      </c>
      <c r="E43" s="253">
        <v>1500</v>
      </c>
    </row>
    <row r="44" spans="2:5" ht="15">
      <c r="B44" s="246" t="s">
        <v>558</v>
      </c>
      <c r="C44" s="250">
        <v>14029</v>
      </c>
      <c r="D44" s="250">
        <v>18000</v>
      </c>
      <c r="E44" s="253">
        <v>18000</v>
      </c>
    </row>
    <row r="45" spans="2:5" ht="15">
      <c r="B45" s="246" t="s">
        <v>559</v>
      </c>
      <c r="C45" s="250">
        <v>6932</v>
      </c>
      <c r="D45" s="250">
        <v>8000</v>
      </c>
      <c r="E45" s="253">
        <v>8150</v>
      </c>
    </row>
    <row r="46" spans="2:5" ht="15">
      <c r="B46" s="246" t="s">
        <v>560</v>
      </c>
      <c r="C46" s="250">
        <v>6100</v>
      </c>
      <c r="D46" s="250">
        <v>4400</v>
      </c>
      <c r="E46" s="253">
        <v>6000</v>
      </c>
    </row>
    <row r="47" spans="2:5" ht="15">
      <c r="B47" s="246" t="s">
        <v>561</v>
      </c>
      <c r="C47" s="250">
        <v>2360</v>
      </c>
      <c r="D47" s="250">
        <v>3200</v>
      </c>
      <c r="E47" s="253">
        <v>3000</v>
      </c>
    </row>
    <row r="48" spans="2:5" ht="15">
      <c r="B48" s="246" t="s">
        <v>562</v>
      </c>
      <c r="C48" s="250">
        <v>1450</v>
      </c>
      <c r="D48" s="250">
        <v>1550</v>
      </c>
      <c r="E48" s="253">
        <v>1700</v>
      </c>
    </row>
    <row r="49" spans="2:5" ht="15">
      <c r="B49" s="246" t="s">
        <v>563</v>
      </c>
      <c r="C49" s="250">
        <v>1800</v>
      </c>
      <c r="D49" s="250">
        <v>2100</v>
      </c>
      <c r="E49" s="253">
        <v>2200</v>
      </c>
    </row>
    <row r="50" spans="2:5" ht="15">
      <c r="B50" s="246" t="s">
        <v>565</v>
      </c>
      <c r="C50" s="250">
        <v>542</v>
      </c>
      <c r="D50" s="250">
        <v>1500</v>
      </c>
      <c r="E50" s="253">
        <v>1502</v>
      </c>
    </row>
    <row r="51" spans="2:5" ht="15">
      <c r="B51" s="246" t="s">
        <v>564</v>
      </c>
      <c r="C51" s="250">
        <v>5736</v>
      </c>
      <c r="D51" s="250">
        <v>6000</v>
      </c>
      <c r="E51" s="253">
        <v>5800</v>
      </c>
    </row>
    <row r="52" spans="2:5" ht="15">
      <c r="B52" s="254" t="s">
        <v>59</v>
      </c>
      <c r="C52" s="250">
        <v>3260</v>
      </c>
      <c r="D52" s="250">
        <v>2750</v>
      </c>
      <c r="E52" s="253">
        <v>2499</v>
      </c>
    </row>
    <row r="53" spans="2:5" ht="15">
      <c r="B53" s="149" t="s">
        <v>12</v>
      </c>
      <c r="C53" s="250">
        <v>1125</v>
      </c>
      <c r="D53" s="250">
        <v>925</v>
      </c>
      <c r="E53" s="253">
        <v>1000</v>
      </c>
    </row>
    <row r="54" spans="2:5" ht="15">
      <c r="B54" s="245" t="s">
        <v>505</v>
      </c>
      <c r="C54" s="255">
        <f>IF(C55*0.1&lt;C53,"Exceed 10% Rule","")</f>
      </c>
      <c r="D54" s="255">
        <f>IF(D55*0.1&lt;D53,"Exceed 10% Rule","")</f>
      </c>
      <c r="E54" s="292">
        <f>IF(E55*0.1+E113&lt;E53,"Exceed 10% Rule","")</f>
      </c>
    </row>
    <row r="55" spans="2:5" ht="15">
      <c r="B55" s="257" t="s">
        <v>60</v>
      </c>
      <c r="C55" s="259">
        <f>SUM(C9:C53)</f>
        <v>1675391</v>
      </c>
      <c r="D55" s="259">
        <f>SUM(D9:D53)</f>
        <v>1789720</v>
      </c>
      <c r="E55" s="260">
        <f>SUM(E10:E53)</f>
        <v>1163721</v>
      </c>
    </row>
    <row r="56" spans="2:5" ht="15">
      <c r="B56" s="257" t="s">
        <v>61</v>
      </c>
      <c r="C56" s="259">
        <f>C7+C55</f>
        <v>2056222</v>
      </c>
      <c r="D56" s="259">
        <f>D7+D55</f>
        <v>2046912</v>
      </c>
      <c r="E56" s="260">
        <f>E7+E55</f>
        <v>1378291</v>
      </c>
    </row>
    <row r="57" spans="2:5" ht="15">
      <c r="B57" s="35"/>
      <c r="C57" s="35"/>
      <c r="D57" s="35"/>
      <c r="E57" s="35"/>
    </row>
    <row r="58" spans="2:5" ht="15">
      <c r="B58" s="505" t="s">
        <v>183</v>
      </c>
      <c r="C58" s="505"/>
      <c r="D58" s="505"/>
      <c r="E58" s="505"/>
    </row>
    <row r="59" spans="2:5" ht="15">
      <c r="B59" s="162"/>
      <c r="C59" s="162"/>
      <c r="D59" s="162"/>
      <c r="E59" s="162"/>
    </row>
    <row r="60" spans="2:5" ht="15">
      <c r="B60" s="187" t="str">
        <f>inputPrYr!D2</f>
        <v>City of Ellsworth</v>
      </c>
      <c r="C60" s="35"/>
      <c r="D60" s="35"/>
      <c r="E60" s="159"/>
    </row>
    <row r="61" spans="2:5" ht="15">
      <c r="B61" s="35"/>
      <c r="C61" s="35"/>
      <c r="D61" s="35"/>
      <c r="E61" s="126"/>
    </row>
    <row r="62" spans="2:5" ht="15">
      <c r="B62" s="261" t="s">
        <v>118</v>
      </c>
      <c r="C62" s="214"/>
      <c r="D62" s="214"/>
      <c r="E62" s="214"/>
    </row>
    <row r="63" spans="2:5" ht="15">
      <c r="B63" s="35" t="s">
        <v>53</v>
      </c>
      <c r="C63" s="464" t="s">
        <v>73</v>
      </c>
      <c r="D63" s="465" t="s">
        <v>197</v>
      </c>
      <c r="E63" s="466" t="s">
        <v>198</v>
      </c>
    </row>
    <row r="64" spans="2:5" ht="15">
      <c r="B64" s="65" t="str">
        <f>inputPrYr!B17</f>
        <v>General</v>
      </c>
      <c r="C64" s="341">
        <f>C6</f>
        <v>2010</v>
      </c>
      <c r="D64" s="341">
        <f>D6</f>
        <v>2011</v>
      </c>
      <c r="E64" s="244">
        <f>E6</f>
        <v>2012</v>
      </c>
    </row>
    <row r="65" spans="2:5" ht="15">
      <c r="B65" s="262" t="s">
        <v>61</v>
      </c>
      <c r="C65" s="248">
        <f>C56</f>
        <v>2056222</v>
      </c>
      <c r="D65" s="248">
        <f>D56</f>
        <v>2046912</v>
      </c>
      <c r="E65" s="221">
        <f>E56</f>
        <v>1378291</v>
      </c>
    </row>
    <row r="66" spans="2:5" ht="15">
      <c r="B66" s="249" t="s">
        <v>63</v>
      </c>
      <c r="C66" s="149"/>
      <c r="D66" s="149"/>
      <c r="E66" s="75"/>
    </row>
    <row r="67" spans="2:6" ht="15">
      <c r="B67" s="245" t="str">
        <f>GenDetail!A7</f>
        <v>General Government</v>
      </c>
      <c r="C67" s="263">
        <f>GenDetail!B15</f>
        <v>273456</v>
      </c>
      <c r="D67" s="263">
        <f>GenDetail!C15</f>
        <v>255421</v>
      </c>
      <c r="E67" s="70">
        <f>GenDetail!D15</f>
        <v>276565</v>
      </c>
      <c r="F67" s="264"/>
    </row>
    <row r="68" spans="2:6" ht="15">
      <c r="B68" s="245" t="str">
        <f>GenDetail!A16</f>
        <v>Police</v>
      </c>
      <c r="C68" s="263">
        <f>GenDetail!B24</f>
        <v>308358</v>
      </c>
      <c r="D68" s="263">
        <f>GenDetail!C24</f>
        <v>300525</v>
      </c>
      <c r="E68" s="70">
        <f>GenDetail!D24</f>
        <v>319925</v>
      </c>
      <c r="F68" s="264"/>
    </row>
    <row r="69" spans="2:5" ht="15">
      <c r="B69" s="245" t="str">
        <f>GenDetail!A25</f>
        <v>Fire</v>
      </c>
      <c r="C69" s="263">
        <f>GenDetail!B33</f>
        <v>73600</v>
      </c>
      <c r="D69" s="263">
        <f>GenDetail!C33</f>
        <v>66008</v>
      </c>
      <c r="E69" s="70">
        <f>GenDetail!D33</f>
        <v>66325</v>
      </c>
    </row>
    <row r="70" spans="2:5" ht="15">
      <c r="B70" s="245" t="str">
        <f>GenDetail!A34</f>
        <v>Street</v>
      </c>
      <c r="C70" s="263">
        <f>GenDetail!B41</f>
        <v>322401</v>
      </c>
      <c r="D70" s="263">
        <f>GenDetail!C41</f>
        <v>414746</v>
      </c>
      <c r="E70" s="70">
        <f>GenDetail!D41</f>
        <v>442840</v>
      </c>
    </row>
    <row r="71" spans="2:5" ht="15">
      <c r="B71" s="245" t="str">
        <f>GenDetail!A42</f>
        <v>ECF Parks</v>
      </c>
      <c r="C71" s="263">
        <f>GenDetail!B49</f>
        <v>59932</v>
      </c>
      <c r="D71" s="263">
        <f>GenDetail!C49</f>
        <v>57723</v>
      </c>
      <c r="E71" s="70">
        <f>GenDetail!D49</f>
        <v>62130</v>
      </c>
    </row>
    <row r="72" spans="2:5" ht="15">
      <c r="B72" s="245" t="str">
        <f>GenDetail!A50</f>
        <v>Cemetery</v>
      </c>
      <c r="C72" s="263">
        <f>GenDetail!B57</f>
        <v>13916</v>
      </c>
      <c r="D72" s="263">
        <f>GenDetail!C57</f>
        <v>18222</v>
      </c>
      <c r="E72" s="70">
        <f>GenDetail!D57</f>
        <v>20175</v>
      </c>
    </row>
    <row r="73" spans="2:5" ht="15">
      <c r="B73" s="245" t="str">
        <f>GenDetail!A58</f>
        <v>Clubhouse</v>
      </c>
      <c r="C73" s="263">
        <f>GenDetail!B63</f>
        <v>60681</v>
      </c>
      <c r="D73" s="263">
        <f>GenDetail!C63</f>
        <v>62089</v>
      </c>
      <c r="E73" s="70">
        <f>GenDetail!D63</f>
        <v>67025</v>
      </c>
    </row>
    <row r="74" spans="2:5" ht="15">
      <c r="B74" s="245" t="str">
        <f>GenDetail!A75</f>
        <v>Industrial</v>
      </c>
      <c r="C74" s="263">
        <f>GenDetail!B77</f>
        <v>15859</v>
      </c>
      <c r="D74" s="263">
        <f>GenDetail!C77</f>
        <v>15900</v>
      </c>
      <c r="E74" s="70">
        <f>GenDetail!D77</f>
        <v>16686</v>
      </c>
    </row>
    <row r="75" spans="2:5" ht="15">
      <c r="B75" s="245" t="str">
        <f>GenDetail!A78</f>
        <v>Employee Benefits</v>
      </c>
      <c r="C75" s="263">
        <f>GenDetail!B81</f>
        <v>384386</v>
      </c>
      <c r="D75" s="263">
        <f>GenDetail!C81</f>
        <v>394726</v>
      </c>
      <c r="E75" s="70">
        <f>GenDetail!D81</f>
        <v>449750</v>
      </c>
    </row>
    <row r="76" spans="2:5" ht="15">
      <c r="B76" s="245" t="str">
        <f>GenDetail!A82</f>
        <v>Airport</v>
      </c>
      <c r="C76" s="263">
        <f>GenDetail!B87</f>
        <v>41816</v>
      </c>
      <c r="D76" s="263">
        <f>GenDetail!C87</f>
        <v>42725</v>
      </c>
      <c r="E76" s="70">
        <f>GenDetail!D87</f>
        <v>48440</v>
      </c>
    </row>
    <row r="77" spans="2:5" ht="15">
      <c r="B77" s="245" t="str">
        <f>GenDetail!A88</f>
        <v>Recreation/Community Development</v>
      </c>
      <c r="C77" s="263">
        <f>GenDetail!B93</f>
        <v>80150</v>
      </c>
      <c r="D77" s="263">
        <f>GenDetail!C93</f>
        <v>72250</v>
      </c>
      <c r="E77" s="70">
        <f>GenDetail!D93</f>
        <v>67405</v>
      </c>
    </row>
    <row r="78" spans="2:5" ht="15">
      <c r="B78" s="245" t="str">
        <f>GenDetail!A94</f>
        <v>Golf Course</v>
      </c>
      <c r="C78" s="263">
        <f>GenDetail!B101</f>
        <v>164475</v>
      </c>
      <c r="D78" s="263">
        <f>GenDetail!C101</f>
        <v>130011</v>
      </c>
      <c r="E78" s="70">
        <f>GenDetail!D101</f>
        <v>146415</v>
      </c>
    </row>
    <row r="79" spans="2:5" ht="15">
      <c r="B79" s="265" t="s">
        <v>492</v>
      </c>
      <c r="C79" s="342">
        <f>SUM(C67:C78)</f>
        <v>1799030</v>
      </c>
      <c r="D79" s="342">
        <f>SUM(D67:D78)</f>
        <v>1830346</v>
      </c>
      <c r="E79" s="281">
        <f>SUM(E67:E78)</f>
        <v>1983681</v>
      </c>
    </row>
    <row r="80" spans="2:5" ht="15">
      <c r="B80" s="254"/>
      <c r="C80" s="250"/>
      <c r="D80" s="250"/>
      <c r="E80" s="253"/>
    </row>
    <row r="81" spans="2:5" ht="15">
      <c r="B81" s="254"/>
      <c r="C81" s="250"/>
      <c r="D81" s="250"/>
      <c r="E81" s="253"/>
    </row>
    <row r="82" spans="2:5" ht="15">
      <c r="B82" s="254"/>
      <c r="C82" s="250"/>
      <c r="D82" s="250"/>
      <c r="E82" s="253"/>
    </row>
    <row r="83" spans="2:5" ht="15">
      <c r="B83" s="254"/>
      <c r="C83" s="250"/>
      <c r="D83" s="250"/>
      <c r="E83" s="253"/>
    </row>
    <row r="84" spans="2:5" ht="15">
      <c r="B84" s="254"/>
      <c r="C84" s="250"/>
      <c r="D84" s="250"/>
      <c r="E84" s="253"/>
    </row>
    <row r="85" spans="2:5" ht="15">
      <c r="B85" s="254"/>
      <c r="C85" s="250"/>
      <c r="D85" s="250"/>
      <c r="E85" s="253"/>
    </row>
    <row r="86" spans="2:5" ht="15">
      <c r="B86" s="266"/>
      <c r="C86" s="250"/>
      <c r="D86" s="250"/>
      <c r="E86" s="253"/>
    </row>
    <row r="87" spans="2:5" ht="15">
      <c r="B87" s="266"/>
      <c r="C87" s="250"/>
      <c r="D87" s="250"/>
      <c r="E87" s="253"/>
    </row>
    <row r="88" spans="2:5" ht="15">
      <c r="B88" s="266"/>
      <c r="C88" s="250"/>
      <c r="D88" s="250"/>
      <c r="E88" s="253"/>
    </row>
    <row r="89" spans="2:5" ht="15">
      <c r="B89" s="266"/>
      <c r="C89" s="250"/>
      <c r="D89" s="250"/>
      <c r="E89" s="253"/>
    </row>
    <row r="90" spans="2:5" ht="15">
      <c r="B90" s="266"/>
      <c r="C90" s="250"/>
      <c r="D90" s="250"/>
      <c r="E90" s="253"/>
    </row>
    <row r="91" spans="2:5" ht="15">
      <c r="B91" s="266"/>
      <c r="C91" s="250"/>
      <c r="D91" s="250"/>
      <c r="E91" s="253"/>
    </row>
    <row r="92" spans="2:5" ht="15">
      <c r="B92" s="266"/>
      <c r="C92" s="250"/>
      <c r="D92" s="250"/>
      <c r="E92" s="253"/>
    </row>
    <row r="93" spans="2:5" ht="15">
      <c r="B93" s="266"/>
      <c r="C93" s="250"/>
      <c r="D93" s="250"/>
      <c r="E93" s="253"/>
    </row>
    <row r="94" spans="2:5" ht="15">
      <c r="B94" s="266"/>
      <c r="C94" s="250"/>
      <c r="D94" s="250"/>
      <c r="E94" s="253"/>
    </row>
    <row r="95" spans="2:5" ht="15">
      <c r="B95" s="266"/>
      <c r="C95" s="250"/>
      <c r="D95" s="250"/>
      <c r="E95" s="253"/>
    </row>
    <row r="96" spans="2:5" ht="15">
      <c r="B96" s="266"/>
      <c r="C96" s="250"/>
      <c r="D96" s="250"/>
      <c r="E96" s="253"/>
    </row>
    <row r="97" spans="2:5" ht="15">
      <c r="B97" s="266"/>
      <c r="C97" s="250"/>
      <c r="D97" s="250"/>
      <c r="E97" s="253"/>
    </row>
    <row r="98" spans="2:5" ht="15">
      <c r="B98" s="266"/>
      <c r="C98" s="250"/>
      <c r="D98" s="250"/>
      <c r="E98" s="253"/>
    </row>
    <row r="99" spans="2:5" ht="15">
      <c r="B99" s="266"/>
      <c r="C99" s="250"/>
      <c r="D99" s="250"/>
      <c r="E99" s="253"/>
    </row>
    <row r="100" spans="2:5" ht="15">
      <c r="B100" s="266"/>
      <c r="C100" s="250"/>
      <c r="D100" s="250"/>
      <c r="E100" s="253"/>
    </row>
    <row r="101" spans="2:5" ht="15">
      <c r="B101" s="266"/>
      <c r="C101" s="250"/>
      <c r="D101" s="250"/>
      <c r="E101" s="253"/>
    </row>
    <row r="102" spans="2:5" ht="15">
      <c r="B102" s="266"/>
      <c r="C102" s="250"/>
      <c r="D102" s="250"/>
      <c r="E102" s="253"/>
    </row>
    <row r="103" spans="2:5" ht="15">
      <c r="B103" s="267" t="s">
        <v>11</v>
      </c>
      <c r="C103" s="250"/>
      <c r="D103" s="250">
        <v>1996</v>
      </c>
      <c r="E103" s="268">
        <f>nhood!E6</f>
        <v>2866</v>
      </c>
    </row>
    <row r="104" spans="2:5" ht="15">
      <c r="B104" s="267" t="s">
        <v>12</v>
      </c>
      <c r="C104" s="250"/>
      <c r="D104" s="250"/>
      <c r="E104" s="253"/>
    </row>
    <row r="105" spans="2:10" ht="15">
      <c r="B105" s="267" t="s">
        <v>506</v>
      </c>
      <c r="C105" s="255">
        <f>IF(C106*0.1&lt;C104,"Exceed 10% Rule","")</f>
      </c>
      <c r="D105" s="255">
        <f>IF(D106*0.1&lt;D104,"Exceed 10% Rule","")</f>
      </c>
      <c r="E105" s="292">
        <f>IF(E106*0.1&lt;E104,"Exceed 10% Rule","")</f>
      </c>
      <c r="G105" s="518" t="str">
        <f>CONCATENATE("Projected Carryover Into ",E1+1,"")</f>
        <v>Projected Carryover Into 2013</v>
      </c>
      <c r="H105" s="519"/>
      <c r="I105" s="519"/>
      <c r="J105" s="520"/>
    </row>
    <row r="106" spans="2:10" ht="15">
      <c r="B106" s="257" t="s">
        <v>67</v>
      </c>
      <c r="C106" s="259">
        <f>SUM(C79:C104)</f>
        <v>1799030</v>
      </c>
      <c r="D106" s="259">
        <f>SUM(D79:D104)</f>
        <v>1832342</v>
      </c>
      <c r="E106" s="260">
        <f>SUM(E79:E104)</f>
        <v>1986547</v>
      </c>
      <c r="G106" s="434"/>
      <c r="H106" s="428"/>
      <c r="I106" s="428"/>
      <c r="J106" s="435"/>
    </row>
    <row r="107" spans="2:10" ht="15">
      <c r="B107" s="140" t="s">
        <v>175</v>
      </c>
      <c r="C107" s="263">
        <f>C56-C106</f>
        <v>257192</v>
      </c>
      <c r="D107" s="263">
        <f>D56-D106</f>
        <v>214570</v>
      </c>
      <c r="E107" s="252" t="s">
        <v>42</v>
      </c>
      <c r="G107" s="436">
        <f>D107</f>
        <v>214570</v>
      </c>
      <c r="H107" s="437" t="str">
        <f>CONCATENATE("",E1-1," Ending Cash Balance (est.)")</f>
        <v>2011 Ending Cash Balance (est.)</v>
      </c>
      <c r="I107" s="438"/>
      <c r="J107" s="435"/>
    </row>
    <row r="108" spans="2:10" ht="15">
      <c r="B108" s="126" t="str">
        <f>CONCATENATE("",E1-2,"/",E1-1," Budget Authority Amount:")</f>
        <v>2010/2011 Budget Authority Amount:</v>
      </c>
      <c r="C108" s="234">
        <f>inputOth!B55</f>
        <v>2100806</v>
      </c>
      <c r="D108" s="234">
        <f>inputPrYr!D17</f>
        <v>1977443</v>
      </c>
      <c r="E108" s="252" t="s">
        <v>42</v>
      </c>
      <c r="F108" s="269"/>
      <c r="G108" s="436">
        <f>E55</f>
        <v>1163721</v>
      </c>
      <c r="H108" s="439" t="str">
        <f>CONCATENATE("",E1," Non-AV Receipts (est.)")</f>
        <v>2012 Non-AV Receipts (est.)</v>
      </c>
      <c r="I108" s="438"/>
      <c r="J108" s="435"/>
    </row>
    <row r="109" spans="2:10" ht="15">
      <c r="B109" s="126"/>
      <c r="C109" s="522" t="s">
        <v>490</v>
      </c>
      <c r="D109" s="523"/>
      <c r="E109" s="253"/>
      <c r="F109" s="411">
        <f>IF(E106/0.95-E106&lt;E109,"Exceeds 5%","")</f>
      </c>
      <c r="G109" s="440">
        <f>E113</f>
        <v>608256</v>
      </c>
      <c r="H109" s="439" t="str">
        <f>CONCATENATE("",E1," Ad Valorem Tax (est.)")</f>
        <v>2012 Ad Valorem Tax (est.)</v>
      </c>
      <c r="I109" s="438"/>
      <c r="J109" s="435"/>
    </row>
    <row r="110" spans="2:10" ht="15">
      <c r="B110" s="418" t="str">
        <f>CONCATENATE(C127,"     ",D127)</f>
        <v>     </v>
      </c>
      <c r="C110" s="524" t="s">
        <v>491</v>
      </c>
      <c r="D110" s="525"/>
      <c r="E110" s="221">
        <f>E106+E109</f>
        <v>1986547</v>
      </c>
      <c r="G110" s="436">
        <f>SUM(G107:G109)</f>
        <v>1986547</v>
      </c>
      <c r="H110" s="439" t="str">
        <f>CONCATENATE("Total ",E1," Resources Available")</f>
        <v>Total 2012 Resources Available</v>
      </c>
      <c r="I110" s="438"/>
      <c r="J110" s="435"/>
    </row>
    <row r="111" spans="2:10" ht="15">
      <c r="B111" s="418" t="str">
        <f>CONCATENATE(C128,"     ",D128)</f>
        <v>     </v>
      </c>
      <c r="C111" s="270"/>
      <c r="D111" s="159" t="s">
        <v>68</v>
      </c>
      <c r="E111" s="70">
        <f>IF(E110-E56&gt;0,E110-E56,0)</f>
        <v>608256</v>
      </c>
      <c r="G111" s="441"/>
      <c r="H111" s="439"/>
      <c r="I111" s="439"/>
      <c r="J111" s="435"/>
    </row>
    <row r="112" spans="2:10" ht="15">
      <c r="B112" s="159"/>
      <c r="C112" s="351" t="s">
        <v>489</v>
      </c>
      <c r="D112" s="352">
        <f>inputOth!$E$42</f>
        <v>0</v>
      </c>
      <c r="E112" s="221">
        <f>ROUND(IF(D112&gt;0,(E111*D112),0),0)</f>
        <v>0</v>
      </c>
      <c r="G112" s="440">
        <f>C106*0.05+C106</f>
        <v>1888981.5</v>
      </c>
      <c r="H112" s="439" t="str">
        <f>CONCATENATE("Less ",E1-2," Expenditures + 5%")</f>
        <v>Less 2010 Expenditures + 5%</v>
      </c>
      <c r="I112" s="438"/>
      <c r="J112" s="435"/>
    </row>
    <row r="113" spans="2:10" ht="15">
      <c r="B113" s="35"/>
      <c r="C113" s="526" t="str">
        <f>CONCATENATE("Amount of  ",$E$1-1," Ad Valorem Tax")</f>
        <v>Amount of  2011 Ad Valorem Tax</v>
      </c>
      <c r="D113" s="527"/>
      <c r="E113" s="281">
        <f>E111+E112</f>
        <v>608256</v>
      </c>
      <c r="G113" s="446">
        <f>G110-G112</f>
        <v>97565.5</v>
      </c>
      <c r="H113" s="442" t="str">
        <f>CONCATENATE("Projected ",E1+1," Carryover (est.)")</f>
        <v>Projected 2013 Carryover (est.)</v>
      </c>
      <c r="I113" s="443"/>
      <c r="J113" s="444"/>
    </row>
    <row r="114" spans="2:10" ht="15">
      <c r="B114" s="35"/>
      <c r="C114" s="35"/>
      <c r="D114" s="35"/>
      <c r="E114" s="35"/>
      <c r="G114" s="353"/>
      <c r="H114" s="353"/>
      <c r="I114" s="353"/>
      <c r="J114" s="353"/>
    </row>
    <row r="115" spans="2:10" ht="15">
      <c r="B115" s="505" t="s">
        <v>192</v>
      </c>
      <c r="C115" s="505"/>
      <c r="D115" s="505"/>
      <c r="E115" s="505"/>
      <c r="G115" s="423">
        <f>IF(inputOth!E7=0,"",ROUND(general!E113/inputOth!E7*1000,3))</f>
        <v>51.853</v>
      </c>
      <c r="H115" s="450" t="str">
        <f>CONCATENATE("Projected ",E1-1," Mill Rate (est.)")</f>
        <v>Projected 2011 Mill Rate (est.)</v>
      </c>
      <c r="I115" s="449"/>
      <c r="J115" s="448"/>
    </row>
    <row r="117" spans="2:10" ht="15">
      <c r="B117" s="94"/>
      <c r="G117" s="518" t="str">
        <f>CONCATENATE("Desired Carryover Into ",E1+1,"")</f>
        <v>Desired Carryover Into 2013</v>
      </c>
      <c r="H117" s="521"/>
      <c r="I117" s="521"/>
      <c r="J117" s="520"/>
    </row>
    <row r="118" spans="7:10" ht="15">
      <c r="G118" s="434"/>
      <c r="H118" s="428"/>
      <c r="I118" s="428"/>
      <c r="J118" s="435"/>
    </row>
    <row r="119" spans="7:10" ht="15">
      <c r="G119" s="445" t="s">
        <v>500</v>
      </c>
      <c r="H119" s="439"/>
      <c r="I119" s="439"/>
      <c r="J119" s="433">
        <v>0</v>
      </c>
    </row>
    <row r="120" spans="2:10" ht="15">
      <c r="B120" s="32"/>
      <c r="C120" s="32"/>
      <c r="G120" s="452" t="s">
        <v>501</v>
      </c>
      <c r="H120" s="427"/>
      <c r="I120" s="429"/>
      <c r="J120" s="451">
        <f>IF(J119=0,"",ROUND((J119+E113-G113)/inputOth!E7*1000,3)-general!G115)</f>
      </c>
    </row>
    <row r="121" spans="7:10" ht="15">
      <c r="G121" s="432" t="str">
        <f>CONCATENATE("",E1," Total Expenditures Must Be:")</f>
        <v>2012 Total Expenditures Must Be:</v>
      </c>
      <c r="H121" s="431"/>
      <c r="I121" s="430"/>
      <c r="J121" s="447">
        <v>0</v>
      </c>
    </row>
    <row r="127" spans="3:4" ht="15" hidden="1">
      <c r="C127" s="417">
        <f>IF(C106&gt;C108,"See Tab A","")</f>
      </c>
      <c r="D127" s="417">
        <f>IF(D106&gt;D108,"See Tab C","")</f>
      </c>
    </row>
    <row r="128" spans="3:4" ht="15" hidden="1">
      <c r="C128" s="417">
        <f>IF(C107&lt;0,"See Tab B","")</f>
      </c>
      <c r="D128" s="417">
        <f>IF(D107&lt;0,"See Tab D","")</f>
      </c>
    </row>
  </sheetData>
  <sheetProtection/>
  <mergeCells count="7">
    <mergeCell ref="B58:E58"/>
    <mergeCell ref="G105:J105"/>
    <mergeCell ref="G117:J117"/>
    <mergeCell ref="B115:E115"/>
    <mergeCell ref="C109:D109"/>
    <mergeCell ref="C110:D110"/>
    <mergeCell ref="C113:D113"/>
  </mergeCells>
  <conditionalFormatting sqref="E104">
    <cfRule type="cellIs" priority="2" dxfId="254" operator="greaterThan" stopIfTrue="1">
      <formula>$E$106*0.1</formula>
    </cfRule>
  </conditionalFormatting>
  <conditionalFormatting sqref="E109">
    <cfRule type="cellIs" priority="3" dxfId="254" operator="greaterThan" stopIfTrue="1">
      <formula>$E$106/0.95-$E$106</formula>
    </cfRule>
  </conditionalFormatting>
  <conditionalFormatting sqref="D106">
    <cfRule type="cellIs" priority="4" dxfId="0" operator="greaterThan" stopIfTrue="1">
      <formula>$D$108</formula>
    </cfRule>
  </conditionalFormatting>
  <conditionalFormatting sqref="C106">
    <cfRule type="cellIs" priority="5" dxfId="0" operator="greaterThan" stopIfTrue="1">
      <formula>$C$108</formula>
    </cfRule>
  </conditionalFormatting>
  <conditionalFormatting sqref="C107">
    <cfRule type="cellIs" priority="6" dxfId="0" operator="lessThan" stopIfTrue="1">
      <formula>0</formula>
    </cfRule>
  </conditionalFormatting>
  <conditionalFormatting sqref="C104">
    <cfRule type="cellIs" priority="7" dxfId="0" operator="greaterThan" stopIfTrue="1">
      <formula>$C$106*0.1</formula>
    </cfRule>
  </conditionalFormatting>
  <conditionalFormatting sqref="D104">
    <cfRule type="cellIs" priority="8" dxfId="0" operator="greaterThan" stopIfTrue="1">
      <formula>$D$106*0.1</formula>
    </cfRule>
  </conditionalFormatting>
  <conditionalFormatting sqref="D53">
    <cfRule type="cellIs" priority="9" dxfId="0" operator="greaterThan" stopIfTrue="1">
      <formula>$D$55*0.1</formula>
    </cfRule>
  </conditionalFormatting>
  <conditionalFormatting sqref="C53">
    <cfRule type="cellIs" priority="10" dxfId="0" operator="greaterThan" stopIfTrue="1">
      <formula>$C$55*0.1</formula>
    </cfRule>
  </conditionalFormatting>
  <conditionalFormatting sqref="E53">
    <cfRule type="cellIs" priority="11" dxfId="254" operator="greaterThan" stopIfTrue="1">
      <formula>$E$55*0.1+E113</formula>
    </cfRule>
  </conditionalFormatting>
  <conditionalFormatting sqref="D107">
    <cfRule type="cellIs" priority="1" dxfId="1" operator="lessThan" stopIfTrue="1">
      <formula>0</formula>
    </cfRule>
  </conditionalFormatting>
  <printOptions/>
  <pageMargins left="0.5" right="0.5" top="1" bottom="0.5" header="0.5" footer="0.5"/>
  <pageSetup blackAndWhite="1" fitToHeight="2" fitToWidth="1" horizontalDpi="120" verticalDpi="120" orientation="portrait" scale="76" r:id="rId1"/>
  <headerFooter alignWithMargins="0">
    <oddHeader>&amp;RState of Kansas
City</oddHeader>
  </headerFooter>
  <rowBreaks count="2" manualBreakCount="2">
    <brk id="58" min="1" max="4" man="1"/>
    <brk id="59" max="255" man="1"/>
  </rowBreaks>
</worksheet>
</file>

<file path=xl/worksheets/sheet11.xml><?xml version="1.0" encoding="utf-8"?>
<worksheet xmlns="http://schemas.openxmlformats.org/spreadsheetml/2006/main" xmlns:r="http://schemas.openxmlformats.org/officeDocument/2006/relationships">
  <dimension ref="A1:D109"/>
  <sheetViews>
    <sheetView workbookViewId="0" topLeftCell="A36">
      <selection activeCell="D36" sqref="D36"/>
    </sheetView>
  </sheetViews>
  <sheetFormatPr defaultColWidth="8.8984375" defaultRowHeight="15"/>
  <cols>
    <col min="1" max="1" width="28.296875" style="32" customWidth="1"/>
    <col min="2" max="3" width="15.69921875" style="32" customWidth="1"/>
    <col min="4" max="4" width="16.09765625" style="32" customWidth="1"/>
    <col min="5" max="16384" width="8.8984375" style="32" customWidth="1"/>
  </cols>
  <sheetData>
    <row r="1" spans="1:4" ht="15">
      <c r="A1" s="187" t="str">
        <f>inputPrYr!D2</f>
        <v>City of Ellsworth</v>
      </c>
      <c r="B1" s="35"/>
      <c r="C1" s="161"/>
      <c r="D1" s="35">
        <f>inputPrYr!C5</f>
        <v>2012</v>
      </c>
    </row>
    <row r="2" spans="1:4" ht="15">
      <c r="A2" s="35"/>
      <c r="B2" s="35"/>
      <c r="C2" s="35"/>
      <c r="D2" s="161"/>
    </row>
    <row r="3" spans="1:4" ht="15">
      <c r="A3" s="242"/>
      <c r="B3" s="271"/>
      <c r="C3" s="271"/>
      <c r="D3" s="271"/>
    </row>
    <row r="4" spans="1:4" ht="15">
      <c r="A4" s="219" t="s">
        <v>53</v>
      </c>
      <c r="B4" s="467" t="s">
        <v>73</v>
      </c>
      <c r="C4" s="466" t="s">
        <v>197</v>
      </c>
      <c r="D4" s="466" t="s">
        <v>198</v>
      </c>
    </row>
    <row r="5" spans="1:4" ht="15">
      <c r="A5" s="468" t="s">
        <v>263</v>
      </c>
      <c r="B5" s="244">
        <f>D1-2</f>
        <v>2010</v>
      </c>
      <c r="C5" s="244">
        <f>D1-1</f>
        <v>2011</v>
      </c>
      <c r="D5" s="244">
        <f>D1</f>
        <v>2012</v>
      </c>
    </row>
    <row r="6" spans="1:4" ht="15">
      <c r="A6" s="219" t="s">
        <v>63</v>
      </c>
      <c r="B6" s="75"/>
      <c r="C6" s="75"/>
      <c r="D6" s="75"/>
    </row>
    <row r="7" spans="1:4" ht="15">
      <c r="A7" s="474" t="s">
        <v>566</v>
      </c>
      <c r="B7" s="75"/>
      <c r="C7" s="75"/>
      <c r="D7" s="75"/>
    </row>
    <row r="8" spans="1:4" ht="15">
      <c r="A8" s="273" t="s">
        <v>71</v>
      </c>
      <c r="B8" s="253">
        <v>154503</v>
      </c>
      <c r="C8" s="253">
        <v>158940</v>
      </c>
      <c r="D8" s="253">
        <v>161940</v>
      </c>
    </row>
    <row r="9" spans="1:4" ht="15">
      <c r="A9" s="273" t="s">
        <v>64</v>
      </c>
      <c r="B9" s="253">
        <v>69500</v>
      </c>
      <c r="C9" s="253">
        <v>69581</v>
      </c>
      <c r="D9" s="253">
        <v>81675</v>
      </c>
    </row>
    <row r="10" spans="1:4" ht="15">
      <c r="A10" s="273" t="s">
        <v>65</v>
      </c>
      <c r="B10" s="253">
        <v>6363</v>
      </c>
      <c r="C10" s="253">
        <v>6650</v>
      </c>
      <c r="D10" s="253">
        <v>6700</v>
      </c>
    </row>
    <row r="11" spans="1:4" ht="15">
      <c r="A11" s="273" t="s">
        <v>66</v>
      </c>
      <c r="B11" s="253">
        <v>409</v>
      </c>
      <c r="C11" s="253">
        <v>750</v>
      </c>
      <c r="D11" s="253">
        <v>750</v>
      </c>
    </row>
    <row r="12" spans="1:4" ht="15">
      <c r="A12" s="273" t="s">
        <v>211</v>
      </c>
      <c r="B12" s="253">
        <v>13681</v>
      </c>
      <c r="C12" s="253">
        <v>12000</v>
      </c>
      <c r="D12" s="253">
        <v>21000</v>
      </c>
    </row>
    <row r="13" spans="1:4" ht="15">
      <c r="A13" s="57" t="s">
        <v>567</v>
      </c>
      <c r="B13" s="253">
        <v>25000</v>
      </c>
      <c r="C13" s="253">
        <v>5000</v>
      </c>
      <c r="D13" s="253">
        <v>3000</v>
      </c>
    </row>
    <row r="14" spans="1:4" ht="15">
      <c r="A14" s="57" t="s">
        <v>568</v>
      </c>
      <c r="B14" s="253">
        <v>4000</v>
      </c>
      <c r="C14" s="253">
        <v>2500</v>
      </c>
      <c r="D14" s="253">
        <v>1500</v>
      </c>
    </row>
    <row r="15" spans="1:4" ht="15">
      <c r="A15" s="219" t="s">
        <v>25</v>
      </c>
      <c r="B15" s="258">
        <f>SUM(B8:B14)</f>
        <v>273456</v>
      </c>
      <c r="C15" s="258">
        <f>SUM(C8:C14)</f>
        <v>255421</v>
      </c>
      <c r="D15" s="258">
        <f>SUM(D8:D14)</f>
        <v>276565</v>
      </c>
    </row>
    <row r="16" spans="1:4" ht="15">
      <c r="A16" s="475" t="s">
        <v>569</v>
      </c>
      <c r="B16" s="187"/>
      <c r="C16" s="187"/>
      <c r="D16" s="187"/>
    </row>
    <row r="17" spans="1:4" ht="15">
      <c r="A17" s="273" t="s">
        <v>71</v>
      </c>
      <c r="B17" s="253">
        <v>257001</v>
      </c>
      <c r="C17" s="253">
        <v>259050</v>
      </c>
      <c r="D17" s="253">
        <v>264300</v>
      </c>
    </row>
    <row r="18" spans="1:4" ht="15">
      <c r="A18" s="273" t="s">
        <v>64</v>
      </c>
      <c r="B18" s="253">
        <v>17795</v>
      </c>
      <c r="C18" s="253">
        <v>17722</v>
      </c>
      <c r="D18" s="253">
        <v>22840</v>
      </c>
    </row>
    <row r="19" spans="1:4" ht="15">
      <c r="A19" s="273" t="s">
        <v>65</v>
      </c>
      <c r="B19" s="253">
        <v>13764</v>
      </c>
      <c r="C19" s="253">
        <v>15000</v>
      </c>
      <c r="D19" s="253">
        <v>18000</v>
      </c>
    </row>
    <row r="20" spans="1:4" ht="15">
      <c r="A20" s="273" t="s">
        <v>66</v>
      </c>
      <c r="B20" s="253">
        <v>155</v>
      </c>
      <c r="C20" s="253">
        <v>253</v>
      </c>
      <c r="D20" s="253">
        <v>250</v>
      </c>
    </row>
    <row r="21" spans="1:4" ht="15">
      <c r="A21" s="273" t="s">
        <v>211</v>
      </c>
      <c r="B21" s="253">
        <v>2643</v>
      </c>
      <c r="C21" s="253">
        <v>3000</v>
      </c>
      <c r="D21" s="253">
        <v>12535</v>
      </c>
    </row>
    <row r="22" spans="1:4" ht="15">
      <c r="A22" s="57" t="s">
        <v>567</v>
      </c>
      <c r="B22" s="253">
        <v>1000</v>
      </c>
      <c r="C22" s="253">
        <v>5000</v>
      </c>
      <c r="D22" s="253">
        <v>1000</v>
      </c>
    </row>
    <row r="23" spans="1:4" ht="15">
      <c r="A23" s="57" t="s">
        <v>568</v>
      </c>
      <c r="B23" s="253">
        <v>16000</v>
      </c>
      <c r="C23" s="253">
        <v>500</v>
      </c>
      <c r="D23" s="253">
        <v>1000</v>
      </c>
    </row>
    <row r="24" spans="1:4" ht="15">
      <c r="A24" s="219" t="s">
        <v>25</v>
      </c>
      <c r="B24" s="258">
        <f>SUM(B17:B23)</f>
        <v>308358</v>
      </c>
      <c r="C24" s="258">
        <f>SUM(C17:C23)</f>
        <v>300525</v>
      </c>
      <c r="D24" s="258">
        <f>SUM(D17:D23)</f>
        <v>319925</v>
      </c>
    </row>
    <row r="25" spans="1:4" ht="15">
      <c r="A25" s="475" t="s">
        <v>570</v>
      </c>
      <c r="B25" s="187"/>
      <c r="C25" s="187"/>
      <c r="D25" s="187"/>
    </row>
    <row r="26" spans="1:4" ht="15">
      <c r="A26" s="273" t="s">
        <v>578</v>
      </c>
      <c r="B26" s="253">
        <v>8000</v>
      </c>
      <c r="C26" s="253">
        <v>8000</v>
      </c>
      <c r="D26" s="253">
        <v>8000</v>
      </c>
    </row>
    <row r="27" spans="1:4" ht="15">
      <c r="A27" s="273" t="s">
        <v>64</v>
      </c>
      <c r="B27" s="253">
        <v>31716</v>
      </c>
      <c r="C27" s="253">
        <v>29670</v>
      </c>
      <c r="D27" s="253">
        <v>31240</v>
      </c>
    </row>
    <row r="28" spans="1:4" ht="15">
      <c r="A28" s="273" t="s">
        <v>65</v>
      </c>
      <c r="B28" s="253">
        <v>9490</v>
      </c>
      <c r="C28" s="253">
        <v>13000</v>
      </c>
      <c r="D28" s="253">
        <v>13000</v>
      </c>
    </row>
    <row r="29" spans="1:4" ht="15">
      <c r="A29" s="273" t="s">
        <v>66</v>
      </c>
      <c r="B29" s="253">
        <v>7085</v>
      </c>
      <c r="C29" s="253">
        <v>8338</v>
      </c>
      <c r="D29" s="253">
        <v>7125</v>
      </c>
    </row>
    <row r="30" spans="1:4" ht="15">
      <c r="A30" s="273" t="s">
        <v>211</v>
      </c>
      <c r="B30" s="253">
        <v>309</v>
      </c>
      <c r="C30" s="253">
        <v>500</v>
      </c>
      <c r="D30" s="253">
        <v>2460</v>
      </c>
    </row>
    <row r="31" spans="1:4" ht="15">
      <c r="A31" s="57" t="s">
        <v>567</v>
      </c>
      <c r="B31" s="253">
        <v>1500</v>
      </c>
      <c r="C31" s="253">
        <v>1500</v>
      </c>
      <c r="D31" s="253">
        <v>1500</v>
      </c>
    </row>
    <row r="32" spans="1:4" ht="15">
      <c r="A32" s="57" t="s">
        <v>568</v>
      </c>
      <c r="B32" s="253">
        <v>15500</v>
      </c>
      <c r="C32" s="253">
        <v>5000</v>
      </c>
      <c r="D32" s="253">
        <v>3000</v>
      </c>
    </row>
    <row r="33" spans="1:4" ht="15">
      <c r="A33" s="219" t="s">
        <v>25</v>
      </c>
      <c r="B33" s="258">
        <f>SUM(B26:B32)</f>
        <v>73600</v>
      </c>
      <c r="C33" s="258">
        <f>SUM(C26:C32)</f>
        <v>66008</v>
      </c>
      <c r="D33" s="258">
        <f>SUM(D26:D32)</f>
        <v>66325</v>
      </c>
    </row>
    <row r="34" spans="1:4" ht="15">
      <c r="A34" s="476" t="s">
        <v>571</v>
      </c>
      <c r="B34" s="187"/>
      <c r="C34" s="187"/>
      <c r="D34" s="187"/>
    </row>
    <row r="35" spans="1:4" ht="15">
      <c r="A35" s="273" t="s">
        <v>71</v>
      </c>
      <c r="B35" s="253">
        <v>153665</v>
      </c>
      <c r="C35" s="253">
        <v>158050</v>
      </c>
      <c r="D35" s="253">
        <v>162050</v>
      </c>
    </row>
    <row r="36" spans="1:4" ht="15">
      <c r="A36" s="273" t="s">
        <v>64</v>
      </c>
      <c r="B36" s="253">
        <v>59569</v>
      </c>
      <c r="C36" s="253">
        <v>62946</v>
      </c>
      <c r="D36" s="253">
        <v>66090</v>
      </c>
    </row>
    <row r="37" spans="1:4" ht="15">
      <c r="A37" s="273" t="s">
        <v>65</v>
      </c>
      <c r="B37" s="253">
        <v>20667</v>
      </c>
      <c r="C37" s="253">
        <v>26250</v>
      </c>
      <c r="D37" s="253">
        <v>30000</v>
      </c>
    </row>
    <row r="38" spans="1:4" ht="15">
      <c r="A38" s="273" t="s">
        <v>211</v>
      </c>
      <c r="B38" s="253">
        <v>0</v>
      </c>
      <c r="C38" s="253">
        <v>0</v>
      </c>
      <c r="D38" s="253">
        <v>12700</v>
      </c>
    </row>
    <row r="39" spans="1:4" ht="15">
      <c r="A39" s="57" t="s">
        <v>567</v>
      </c>
      <c r="B39" s="253">
        <v>50000</v>
      </c>
      <c r="C39" s="253">
        <v>150000</v>
      </c>
      <c r="D39" s="253">
        <v>160000</v>
      </c>
    </row>
    <row r="40" spans="1:4" ht="15">
      <c r="A40" s="57" t="s">
        <v>568</v>
      </c>
      <c r="B40" s="253">
        <v>38500</v>
      </c>
      <c r="C40" s="253">
        <v>17500</v>
      </c>
      <c r="D40" s="253">
        <v>12000</v>
      </c>
    </row>
    <row r="41" spans="1:4" ht="15">
      <c r="A41" s="219" t="s">
        <v>25</v>
      </c>
      <c r="B41" s="258">
        <f>SUM(B35:B40)</f>
        <v>322401</v>
      </c>
      <c r="C41" s="258">
        <f>SUM(C35:C40)</f>
        <v>414746</v>
      </c>
      <c r="D41" s="258">
        <f>SUM(D35:D40)</f>
        <v>442840</v>
      </c>
    </row>
    <row r="42" spans="1:4" ht="15">
      <c r="A42" s="475" t="s">
        <v>572</v>
      </c>
      <c r="B42" s="253"/>
      <c r="C42" s="253"/>
      <c r="D42" s="253"/>
    </row>
    <row r="43" spans="1:4" ht="15">
      <c r="A43" s="273" t="s">
        <v>71</v>
      </c>
      <c r="B43" s="253">
        <v>28062</v>
      </c>
      <c r="C43" s="253">
        <v>29840</v>
      </c>
      <c r="D43" s="253">
        <v>31120</v>
      </c>
    </row>
    <row r="44" spans="1:4" ht="15">
      <c r="A44" s="273" t="s">
        <v>64</v>
      </c>
      <c r="B44" s="253">
        <v>12846</v>
      </c>
      <c r="C44" s="253">
        <v>13933</v>
      </c>
      <c r="D44" s="253">
        <v>15000</v>
      </c>
    </row>
    <row r="45" spans="1:4" ht="15">
      <c r="A45" s="273" t="s">
        <v>65</v>
      </c>
      <c r="B45" s="253">
        <v>6246</v>
      </c>
      <c r="C45" s="253">
        <v>7750</v>
      </c>
      <c r="D45" s="253">
        <v>8500</v>
      </c>
    </row>
    <row r="46" spans="1:4" ht="15">
      <c r="A46" s="273" t="s">
        <v>211</v>
      </c>
      <c r="B46" s="253">
        <v>178</v>
      </c>
      <c r="C46" s="253">
        <v>200</v>
      </c>
      <c r="D46" s="253">
        <v>2010</v>
      </c>
    </row>
    <row r="47" spans="1:4" ht="15">
      <c r="A47" s="273" t="s">
        <v>567</v>
      </c>
      <c r="B47" s="253">
        <v>3500</v>
      </c>
      <c r="C47" s="253">
        <v>1500</v>
      </c>
      <c r="D47" s="253">
        <v>4000</v>
      </c>
    </row>
    <row r="48" spans="1:4" ht="15">
      <c r="A48" s="57" t="s">
        <v>568</v>
      </c>
      <c r="B48" s="253">
        <v>9100</v>
      </c>
      <c r="C48" s="253">
        <v>4500</v>
      </c>
      <c r="D48" s="253">
        <v>1500</v>
      </c>
    </row>
    <row r="49" spans="1:4" ht="15">
      <c r="A49" s="219" t="s">
        <v>25</v>
      </c>
      <c r="B49" s="258">
        <f>SUM(B42:B48)</f>
        <v>59932</v>
      </c>
      <c r="C49" s="258">
        <f>SUM(C42:C48)</f>
        <v>57723</v>
      </c>
      <c r="D49" s="258">
        <f>SUM(D42:D48)</f>
        <v>62130</v>
      </c>
    </row>
    <row r="50" spans="1:4" ht="15">
      <c r="A50" s="476" t="s">
        <v>573</v>
      </c>
      <c r="B50" s="187"/>
      <c r="C50" s="187"/>
      <c r="D50" s="187"/>
    </row>
    <row r="51" spans="1:4" ht="15">
      <c r="A51" s="273" t="s">
        <v>71</v>
      </c>
      <c r="B51" s="253">
        <v>10772</v>
      </c>
      <c r="C51" s="253">
        <v>12000</v>
      </c>
      <c r="D51" s="253">
        <v>13000</v>
      </c>
    </row>
    <row r="52" spans="1:4" ht="15">
      <c r="A52" s="273" t="s">
        <v>64</v>
      </c>
      <c r="B52" s="253">
        <v>1126</v>
      </c>
      <c r="C52" s="253">
        <v>3522</v>
      </c>
      <c r="D52" s="253">
        <v>3650</v>
      </c>
    </row>
    <row r="53" spans="1:4" ht="15">
      <c r="A53" s="273" t="s">
        <v>65</v>
      </c>
      <c r="B53" s="253">
        <v>1418</v>
      </c>
      <c r="C53" s="253">
        <v>2200</v>
      </c>
      <c r="D53" s="253">
        <v>2425</v>
      </c>
    </row>
    <row r="54" spans="1:4" ht="15">
      <c r="A54" s="273" t="s">
        <v>211</v>
      </c>
      <c r="B54" s="253">
        <v>0</v>
      </c>
      <c r="C54" s="253">
        <v>0</v>
      </c>
      <c r="D54" s="253">
        <v>600</v>
      </c>
    </row>
    <row r="55" spans="1:4" ht="15">
      <c r="A55" s="57" t="s">
        <v>567</v>
      </c>
      <c r="B55" s="253">
        <v>300</v>
      </c>
      <c r="C55" s="253">
        <v>0</v>
      </c>
      <c r="D55" s="253">
        <v>0</v>
      </c>
    </row>
    <row r="56" spans="1:4" ht="15">
      <c r="A56" s="57" t="s">
        <v>568</v>
      </c>
      <c r="B56" s="253">
        <v>300</v>
      </c>
      <c r="C56" s="253">
        <v>500</v>
      </c>
      <c r="D56" s="253">
        <v>500</v>
      </c>
    </row>
    <row r="57" spans="1:4" ht="15">
      <c r="A57" s="219" t="s">
        <v>25</v>
      </c>
      <c r="B57" s="258">
        <f>SUM(B51:B56)</f>
        <v>13916</v>
      </c>
      <c r="C57" s="258">
        <f>SUM(C51:C56)</f>
        <v>18222</v>
      </c>
      <c r="D57" s="258">
        <f>SUM(D51:D56)</f>
        <v>20175</v>
      </c>
    </row>
    <row r="58" spans="1:4" ht="15">
      <c r="A58" s="476" t="s">
        <v>574</v>
      </c>
      <c r="B58" s="187"/>
      <c r="C58" s="187"/>
      <c r="D58" s="187"/>
    </row>
    <row r="59" spans="1:4" ht="15">
      <c r="A59" s="273" t="s">
        <v>71</v>
      </c>
      <c r="B59" s="253">
        <v>34319</v>
      </c>
      <c r="C59" s="253">
        <v>34270</v>
      </c>
      <c r="D59" s="253">
        <v>32770</v>
      </c>
    </row>
    <row r="60" spans="1:4" ht="15">
      <c r="A60" s="273" t="s">
        <v>64</v>
      </c>
      <c r="B60" s="253">
        <v>12905</v>
      </c>
      <c r="C60" s="253">
        <v>11869</v>
      </c>
      <c r="D60" s="253">
        <v>12500</v>
      </c>
    </row>
    <row r="61" spans="1:4" ht="15">
      <c r="A61" s="273" t="s">
        <v>65</v>
      </c>
      <c r="B61" s="253">
        <v>12272</v>
      </c>
      <c r="C61" s="253">
        <v>14450</v>
      </c>
      <c r="D61" s="253">
        <v>18000</v>
      </c>
    </row>
    <row r="62" spans="1:4" ht="15">
      <c r="A62" s="273" t="s">
        <v>211</v>
      </c>
      <c r="B62" s="253">
        <v>1185</v>
      </c>
      <c r="C62" s="253">
        <v>1500</v>
      </c>
      <c r="D62" s="253">
        <v>3755</v>
      </c>
    </row>
    <row r="63" spans="1:4" ht="15">
      <c r="A63" s="219" t="s">
        <v>25</v>
      </c>
      <c r="B63" s="258">
        <f>SUM(B59:B62)</f>
        <v>60681</v>
      </c>
      <c r="C63" s="258">
        <f>SUM(C59:C62)</f>
        <v>62089</v>
      </c>
      <c r="D63" s="258">
        <f>SUM(D59:D62)</f>
        <v>67025</v>
      </c>
    </row>
    <row r="64" spans="1:4" ht="15">
      <c r="A64" s="35"/>
      <c r="B64" s="187"/>
      <c r="C64" s="187"/>
      <c r="D64" s="187"/>
    </row>
    <row r="65" spans="1:4" ht="15.75" thickBot="1">
      <c r="A65" s="219" t="s">
        <v>259</v>
      </c>
      <c r="B65" s="275">
        <f>B63+B57+B49+B41++B33+B24+B15</f>
        <v>1112344</v>
      </c>
      <c r="C65" s="275">
        <f>C15+C24+C33+C41+C49+C57+C63</f>
        <v>1174734</v>
      </c>
      <c r="D65" s="275">
        <f>D15+D24+D33+D41+D49+D57+D63</f>
        <v>1254985</v>
      </c>
    </row>
    <row r="66" spans="1:4" ht="15.75" thickTop="1">
      <c r="A66" s="276"/>
      <c r="B66" s="187"/>
      <c r="C66" s="187"/>
      <c r="D66" s="187"/>
    </row>
    <row r="67" spans="1:4" ht="15">
      <c r="A67" s="370" t="s">
        <v>70</v>
      </c>
      <c r="B67" s="277" t="s">
        <v>193</v>
      </c>
      <c r="C67" s="187"/>
      <c r="D67" s="187"/>
    </row>
    <row r="68" spans="1:4" ht="15">
      <c r="A68" s="35"/>
      <c r="B68" s="187"/>
      <c r="C68" s="187"/>
      <c r="D68" s="187"/>
    </row>
    <row r="69" spans="1:4" ht="15">
      <c r="A69" s="187" t="str">
        <f>A1</f>
        <v>City of Ellsworth</v>
      </c>
      <c r="B69" s="35"/>
      <c r="C69" s="161"/>
      <c r="D69" s="35">
        <f>D1</f>
        <v>2012</v>
      </c>
    </row>
    <row r="70" spans="1:4" ht="15">
      <c r="A70" s="35"/>
      <c r="B70" s="35"/>
      <c r="C70" s="35"/>
      <c r="D70" s="161"/>
    </row>
    <row r="71" spans="1:4" ht="15">
      <c r="A71" s="242"/>
      <c r="B71" s="271"/>
      <c r="C71" s="271"/>
      <c r="D71" s="271"/>
    </row>
    <row r="72" spans="1:4" ht="15">
      <c r="A72" s="219" t="s">
        <v>53</v>
      </c>
      <c r="B72" s="467" t="s">
        <v>73</v>
      </c>
      <c r="C72" s="469" t="s">
        <v>197</v>
      </c>
      <c r="D72" s="469" t="s">
        <v>198</v>
      </c>
    </row>
    <row r="73" spans="1:4" ht="15">
      <c r="A73" s="468" t="s">
        <v>264</v>
      </c>
      <c r="B73" s="314">
        <f>D69-2</f>
        <v>2010</v>
      </c>
      <c r="C73" s="244">
        <f>D69-1</f>
        <v>2011</v>
      </c>
      <c r="D73" s="244">
        <f>D69</f>
        <v>2012</v>
      </c>
    </row>
    <row r="74" spans="1:4" ht="15">
      <c r="A74" s="219" t="s">
        <v>63</v>
      </c>
      <c r="B74" s="75"/>
      <c r="C74" s="75"/>
      <c r="D74" s="75"/>
    </row>
    <row r="75" spans="1:4" ht="15">
      <c r="A75" s="474" t="s">
        <v>575</v>
      </c>
      <c r="B75" s="75"/>
      <c r="C75" s="75"/>
      <c r="D75" s="75"/>
    </row>
    <row r="76" spans="1:4" ht="15">
      <c r="A76" s="273" t="s">
        <v>64</v>
      </c>
      <c r="B76" s="253">
        <v>15859</v>
      </c>
      <c r="C76" s="253">
        <v>15900</v>
      </c>
      <c r="D76" s="253">
        <v>16686</v>
      </c>
    </row>
    <row r="77" spans="1:4" ht="15">
      <c r="A77" s="219" t="s">
        <v>25</v>
      </c>
      <c r="B77" s="258">
        <f>SUM(B76:B76)</f>
        <v>15859</v>
      </c>
      <c r="C77" s="258">
        <f>SUM(C76:C76)</f>
        <v>15900</v>
      </c>
      <c r="D77" s="258">
        <f>SUM(D76:D76)</f>
        <v>16686</v>
      </c>
    </row>
    <row r="78" spans="1:4" ht="15">
      <c r="A78" s="476" t="s">
        <v>16</v>
      </c>
      <c r="B78" s="187"/>
      <c r="C78" s="187"/>
      <c r="D78" s="187"/>
    </row>
    <row r="79" spans="1:4" ht="15">
      <c r="A79" s="273" t="s">
        <v>578</v>
      </c>
      <c r="B79" s="253">
        <v>384386</v>
      </c>
      <c r="C79" s="253">
        <v>394726</v>
      </c>
      <c r="D79" s="253">
        <v>436650</v>
      </c>
    </row>
    <row r="80" spans="1:4" ht="15">
      <c r="A80" s="273" t="s">
        <v>211</v>
      </c>
      <c r="B80" s="253">
        <v>0</v>
      </c>
      <c r="C80" s="253">
        <v>0</v>
      </c>
      <c r="D80" s="253">
        <v>13100</v>
      </c>
    </row>
    <row r="81" spans="1:4" ht="15">
      <c r="A81" s="219" t="s">
        <v>25</v>
      </c>
      <c r="B81" s="258">
        <f>SUM(B79:B79)</f>
        <v>384386</v>
      </c>
      <c r="C81" s="258">
        <f>SUM(C79:C79)</f>
        <v>394726</v>
      </c>
      <c r="D81" s="258">
        <f>SUM(D79:D80)</f>
        <v>449750</v>
      </c>
    </row>
    <row r="82" spans="1:4" ht="15">
      <c r="A82" s="476" t="s">
        <v>540</v>
      </c>
      <c r="B82" s="187"/>
      <c r="C82" s="187"/>
      <c r="D82" s="187"/>
    </row>
    <row r="83" spans="1:4" ht="15">
      <c r="A83" s="273" t="s">
        <v>64</v>
      </c>
      <c r="B83" s="253">
        <v>8498</v>
      </c>
      <c r="C83" s="253">
        <v>9075</v>
      </c>
      <c r="D83" s="253">
        <v>9060</v>
      </c>
    </row>
    <row r="84" spans="1:4" ht="15">
      <c r="A84" s="273" t="s">
        <v>65</v>
      </c>
      <c r="B84" s="253">
        <v>11403</v>
      </c>
      <c r="C84" s="253">
        <v>10650</v>
      </c>
      <c r="D84" s="253">
        <v>12650</v>
      </c>
    </row>
    <row r="85" spans="1:4" ht="15">
      <c r="A85" s="273" t="s">
        <v>211</v>
      </c>
      <c r="B85" s="253">
        <v>939</v>
      </c>
      <c r="C85" s="253">
        <v>1250</v>
      </c>
      <c r="D85" s="253">
        <v>2730</v>
      </c>
    </row>
    <row r="86" spans="1:4" ht="15">
      <c r="A86" s="57" t="s">
        <v>567</v>
      </c>
      <c r="B86" s="253">
        <v>20976</v>
      </c>
      <c r="C86" s="253">
        <v>21750</v>
      </c>
      <c r="D86" s="253">
        <v>24000</v>
      </c>
    </row>
    <row r="87" spans="1:4" ht="15">
      <c r="A87" s="219" t="s">
        <v>25</v>
      </c>
      <c r="B87" s="258">
        <f>SUM(B83:B86)</f>
        <v>41816</v>
      </c>
      <c r="C87" s="258">
        <f>SUM(C83:C86)</f>
        <v>42725</v>
      </c>
      <c r="D87" s="258">
        <f>SUM(D83:D86)</f>
        <v>48440</v>
      </c>
    </row>
    <row r="88" spans="1:4" ht="15">
      <c r="A88" s="476" t="s">
        <v>576</v>
      </c>
      <c r="B88" s="187"/>
      <c r="C88" s="187"/>
      <c r="D88" s="187"/>
    </row>
    <row r="89" spans="1:4" ht="15">
      <c r="A89" s="273" t="s">
        <v>64</v>
      </c>
      <c r="B89" s="253">
        <v>5150</v>
      </c>
      <c r="C89" s="253">
        <v>5250</v>
      </c>
      <c r="D89" s="253">
        <v>5000</v>
      </c>
    </row>
    <row r="90" spans="1:4" ht="15">
      <c r="A90" s="273" t="s">
        <v>211</v>
      </c>
      <c r="B90" s="253">
        <v>20000</v>
      </c>
      <c r="C90" s="253">
        <v>19500</v>
      </c>
      <c r="D90" s="253">
        <v>13405</v>
      </c>
    </row>
    <row r="91" spans="1:4" ht="15">
      <c r="A91" s="57" t="s">
        <v>579</v>
      </c>
      <c r="B91" s="253">
        <v>53000</v>
      </c>
      <c r="C91" s="253">
        <v>47000</v>
      </c>
      <c r="D91" s="253">
        <v>46000</v>
      </c>
    </row>
    <row r="92" spans="1:4" ht="15">
      <c r="A92" s="57" t="s">
        <v>580</v>
      </c>
      <c r="B92" s="253">
        <v>2000</v>
      </c>
      <c r="C92" s="253">
        <v>500</v>
      </c>
      <c r="D92" s="253">
        <v>3000</v>
      </c>
    </row>
    <row r="93" spans="1:4" ht="15">
      <c r="A93" s="57" t="s">
        <v>25</v>
      </c>
      <c r="B93" s="258">
        <f>SUM(B89:B92)</f>
        <v>80150</v>
      </c>
      <c r="C93" s="258">
        <f>SUM(C89:C92)</f>
        <v>72250</v>
      </c>
      <c r="D93" s="258">
        <f>SUM(D89:D92)</f>
        <v>67405</v>
      </c>
    </row>
    <row r="94" spans="1:4" ht="15">
      <c r="A94" s="476" t="s">
        <v>577</v>
      </c>
      <c r="B94" s="187"/>
      <c r="C94" s="187"/>
      <c r="D94" s="187"/>
    </row>
    <row r="95" spans="1:4" ht="15">
      <c r="A95" s="273" t="s">
        <v>71</v>
      </c>
      <c r="B95" s="253">
        <v>60480</v>
      </c>
      <c r="C95" s="253">
        <v>61740</v>
      </c>
      <c r="D95" s="253">
        <v>62740</v>
      </c>
    </row>
    <row r="96" spans="1:4" ht="15">
      <c r="A96" s="273" t="s">
        <v>64</v>
      </c>
      <c r="B96" s="253">
        <v>23423</v>
      </c>
      <c r="C96" s="253">
        <v>24738</v>
      </c>
      <c r="D96" s="253">
        <v>28635</v>
      </c>
    </row>
    <row r="97" spans="1:4" ht="15">
      <c r="A97" s="273" t="s">
        <v>65</v>
      </c>
      <c r="B97" s="253">
        <v>41697</v>
      </c>
      <c r="C97" s="253">
        <v>36200</v>
      </c>
      <c r="D97" s="253">
        <v>38650</v>
      </c>
    </row>
    <row r="98" spans="1:4" ht="15">
      <c r="A98" s="273" t="s">
        <v>211</v>
      </c>
      <c r="B98" s="253">
        <v>0</v>
      </c>
      <c r="C98" s="253">
        <v>0</v>
      </c>
      <c r="D98" s="253">
        <v>4390</v>
      </c>
    </row>
    <row r="99" spans="1:4" ht="15">
      <c r="A99" s="57" t="s">
        <v>567</v>
      </c>
      <c r="B99" s="253">
        <v>4500</v>
      </c>
      <c r="C99" s="253">
        <v>2000</v>
      </c>
      <c r="D99" s="253">
        <v>2000</v>
      </c>
    </row>
    <row r="100" spans="1:4" ht="15">
      <c r="A100" s="57" t="s">
        <v>568</v>
      </c>
      <c r="B100" s="253">
        <v>34375</v>
      </c>
      <c r="C100" s="253">
        <v>5333</v>
      </c>
      <c r="D100" s="253">
        <v>10000</v>
      </c>
    </row>
    <row r="101" spans="1:4" ht="15">
      <c r="A101" s="219" t="s">
        <v>25</v>
      </c>
      <c r="B101" s="258">
        <f>SUM(B95:B100)</f>
        <v>164475</v>
      </c>
      <c r="C101" s="258">
        <f>SUM(C95:C100)</f>
        <v>130011</v>
      </c>
      <c r="D101" s="258">
        <f>SUM(D95:D100)</f>
        <v>146415</v>
      </c>
    </row>
    <row r="102" spans="1:4" ht="15">
      <c r="A102" s="274"/>
      <c r="B102" s="187"/>
      <c r="C102" s="187"/>
      <c r="D102" s="187"/>
    </row>
    <row r="103" spans="1:4" ht="15">
      <c r="A103" s="219" t="s">
        <v>25</v>
      </c>
      <c r="B103" s="258">
        <f>B101+B93+B87+B81+B77</f>
        <v>686686</v>
      </c>
      <c r="C103" s="258">
        <f>C101+C93+C87+C81+C77</f>
        <v>655612</v>
      </c>
      <c r="D103" s="258">
        <f>D101+D93+D87+D81+D77</f>
        <v>728696</v>
      </c>
    </row>
    <row r="104" spans="1:4" ht="15">
      <c r="A104" s="219"/>
      <c r="B104" s="187"/>
      <c r="C104" s="187"/>
      <c r="D104" s="187"/>
    </row>
    <row r="105" spans="1:4" ht="15">
      <c r="A105" s="53" t="s">
        <v>261</v>
      </c>
      <c r="B105" s="313">
        <f>B103</f>
        <v>686686</v>
      </c>
      <c r="C105" s="313">
        <f>C103</f>
        <v>655612</v>
      </c>
      <c r="D105" s="313">
        <f>D103</f>
        <v>728696</v>
      </c>
    </row>
    <row r="106" spans="1:4" ht="15">
      <c r="A106" s="219" t="s">
        <v>260</v>
      </c>
      <c r="B106" s="258">
        <f>B65</f>
        <v>1112344</v>
      </c>
      <c r="C106" s="258">
        <f>C65</f>
        <v>1174734</v>
      </c>
      <c r="D106" s="258">
        <f>D65</f>
        <v>1254985</v>
      </c>
    </row>
    <row r="107" spans="1:4" ht="15.75" thickBot="1">
      <c r="A107" s="219" t="s">
        <v>262</v>
      </c>
      <c r="B107" s="275">
        <f>SUM(B105:B106)</f>
        <v>1799030</v>
      </c>
      <c r="C107" s="275">
        <f>SUM(C105:C106)</f>
        <v>1830346</v>
      </c>
      <c r="D107" s="275">
        <f>SUM(D105:D106)</f>
        <v>1983681</v>
      </c>
    </row>
    <row r="108" spans="1:4" ht="15.75" thickTop="1">
      <c r="A108" s="276" t="s">
        <v>18</v>
      </c>
      <c r="B108" s="187"/>
      <c r="C108" s="187"/>
      <c r="D108" s="187"/>
    </row>
    <row r="109" spans="1:4" ht="15">
      <c r="A109" s="370" t="s">
        <v>70</v>
      </c>
      <c r="B109" s="277" t="s">
        <v>258</v>
      </c>
      <c r="C109" s="187"/>
      <c r="D109" s="187"/>
    </row>
  </sheetData>
  <sheetProtection/>
  <printOptions/>
  <pageMargins left="0.5" right="0.5" top="1" bottom="0.5" header="0.5" footer="0.5"/>
  <pageSetup blackAndWhite="1" fitToHeight="2" horizontalDpi="300" verticalDpi="300" orientation="portrait" scale="64" r:id="rId1"/>
  <headerFooter alignWithMargins="0">
    <oddHeader>&amp;RState of Kansas
City</oddHeader>
  </headerFooter>
  <rowBreaks count="1" manualBreakCount="1">
    <brk id="67"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I89"/>
  <sheetViews>
    <sheetView zoomScalePageLayoutView="0" workbookViewId="0" topLeftCell="A37">
      <selection activeCell="E64" sqref="E64"/>
    </sheetView>
  </sheetViews>
  <sheetFormatPr defaultColWidth="8.8984375" defaultRowHeight="15"/>
  <cols>
    <col min="1" max="1" width="2.3984375" style="33" customWidth="1"/>
    <col min="2" max="2" width="31.09765625" style="33" customWidth="1"/>
    <col min="3" max="4" width="15.69921875" style="33" customWidth="1"/>
    <col min="5" max="5" width="16.19921875" style="33" customWidth="1"/>
    <col min="6" max="6" width="7.09765625" style="33" customWidth="1"/>
    <col min="7" max="16384" width="8.8984375" style="33" customWidth="1"/>
  </cols>
  <sheetData>
    <row r="1" spans="2:5" ht="15">
      <c r="B1" s="368" t="str">
        <f>inputPrYr!D2</f>
        <v>City of Ellsworth</v>
      </c>
      <c r="C1" s="368"/>
      <c r="D1" s="354"/>
      <c r="E1" s="362">
        <f>inputPrYr!C5</f>
        <v>2012</v>
      </c>
    </row>
    <row r="2" spans="2:5" ht="15">
      <c r="B2" s="354"/>
      <c r="C2" s="354"/>
      <c r="D2" s="354"/>
      <c r="E2" s="370"/>
    </row>
    <row r="3" spans="2:5" ht="15">
      <c r="B3" s="357" t="s">
        <v>119</v>
      </c>
      <c r="C3" s="357"/>
      <c r="D3" s="373"/>
      <c r="E3" s="363"/>
    </row>
    <row r="4" spans="2:5" ht="15">
      <c r="B4" s="356" t="s">
        <v>53</v>
      </c>
      <c r="C4" s="470" t="s">
        <v>73</v>
      </c>
      <c r="D4" s="471" t="s">
        <v>197</v>
      </c>
      <c r="E4" s="472" t="s">
        <v>198</v>
      </c>
    </row>
    <row r="5" spans="2:5" ht="15">
      <c r="B5" s="405" t="s">
        <v>17</v>
      </c>
      <c r="C5" s="391">
        <f>E1-2</f>
        <v>2010</v>
      </c>
      <c r="D5" s="391">
        <f>E1-1</f>
        <v>2011</v>
      </c>
      <c r="E5" s="372">
        <f>E1</f>
        <v>2012</v>
      </c>
    </row>
    <row r="6" spans="2:5" ht="15">
      <c r="B6" s="364" t="s">
        <v>174</v>
      </c>
      <c r="C6" s="401">
        <v>109341</v>
      </c>
      <c r="D6" s="400">
        <f>C36</f>
        <v>111358</v>
      </c>
      <c r="E6" s="365">
        <f>D36</f>
        <v>45462</v>
      </c>
    </row>
    <row r="7" spans="2:5" ht="15">
      <c r="B7" s="364" t="s">
        <v>176</v>
      </c>
      <c r="C7" s="366"/>
      <c r="D7" s="400"/>
      <c r="E7" s="365"/>
    </row>
    <row r="8" spans="2:5" ht="15">
      <c r="B8" s="364" t="s">
        <v>54</v>
      </c>
      <c r="C8" s="398">
        <v>210204</v>
      </c>
      <c r="D8" s="400">
        <v>153000</v>
      </c>
      <c r="E8" s="382" t="s">
        <v>42</v>
      </c>
    </row>
    <row r="9" spans="2:5" ht="15">
      <c r="B9" s="364" t="s">
        <v>55</v>
      </c>
      <c r="C9" s="398">
        <v>1544</v>
      </c>
      <c r="D9" s="402">
        <v>2343</v>
      </c>
      <c r="E9" s="358">
        <v>2250</v>
      </c>
    </row>
    <row r="10" spans="2:5" ht="15">
      <c r="B10" s="364" t="s">
        <v>56</v>
      </c>
      <c r="C10" s="398">
        <v>28075</v>
      </c>
      <c r="D10" s="402">
        <v>26500</v>
      </c>
      <c r="E10" s="365">
        <v>26000</v>
      </c>
    </row>
    <row r="11" spans="2:5" ht="15">
      <c r="B11" s="364" t="s">
        <v>57</v>
      </c>
      <c r="C11" s="398">
        <v>477</v>
      </c>
      <c r="D11" s="402">
        <v>436</v>
      </c>
      <c r="E11" s="365">
        <v>375</v>
      </c>
    </row>
    <row r="12" spans="2:5" ht="15">
      <c r="B12" s="367" t="s">
        <v>151</v>
      </c>
      <c r="C12" s="398">
        <v>199</v>
      </c>
      <c r="D12" s="402">
        <v>307</v>
      </c>
      <c r="E12" s="365">
        <v>150</v>
      </c>
    </row>
    <row r="13" spans="2:5" ht="15">
      <c r="B13" s="367" t="s">
        <v>204</v>
      </c>
      <c r="C13" s="398">
        <v>0</v>
      </c>
      <c r="D13" s="402">
        <v>0</v>
      </c>
      <c r="E13" s="365">
        <f>mvalloc!F8</f>
        <v>0</v>
      </c>
    </row>
    <row r="14" spans="2:5" ht="15">
      <c r="B14" s="385" t="s">
        <v>582</v>
      </c>
      <c r="C14" s="398">
        <v>40356</v>
      </c>
      <c r="D14" s="402">
        <v>40300</v>
      </c>
      <c r="E14" s="358">
        <v>40300</v>
      </c>
    </row>
    <row r="15" spans="2:5" ht="15">
      <c r="B15" s="385" t="s">
        <v>583</v>
      </c>
      <c r="C15" s="398">
        <v>10039</v>
      </c>
      <c r="D15" s="402">
        <v>12786</v>
      </c>
      <c r="E15" s="358">
        <v>9000</v>
      </c>
    </row>
    <row r="16" spans="2:5" ht="15">
      <c r="B16" s="385" t="s">
        <v>551</v>
      </c>
      <c r="C16" s="398">
        <v>0</v>
      </c>
      <c r="D16" s="402">
        <v>1000</v>
      </c>
      <c r="E16" s="358">
        <v>28000</v>
      </c>
    </row>
    <row r="17" spans="2:5" ht="15">
      <c r="B17" s="385" t="s">
        <v>581</v>
      </c>
      <c r="C17" s="398">
        <v>85784</v>
      </c>
      <c r="D17" s="402">
        <v>86500</v>
      </c>
      <c r="E17" s="358">
        <v>86000</v>
      </c>
    </row>
    <row r="18" spans="2:5" ht="15">
      <c r="B18" s="385" t="s">
        <v>587</v>
      </c>
      <c r="C18" s="398">
        <v>0</v>
      </c>
      <c r="D18" s="402">
        <v>0</v>
      </c>
      <c r="E18" s="358">
        <v>225000</v>
      </c>
    </row>
    <row r="19" spans="2:5" ht="15">
      <c r="B19" s="385"/>
      <c r="C19" s="398"/>
      <c r="D19" s="402"/>
      <c r="E19" s="358"/>
    </row>
    <row r="20" spans="2:9" ht="15">
      <c r="B20" s="379" t="s">
        <v>59</v>
      </c>
      <c r="C20" s="398">
        <v>2405</v>
      </c>
      <c r="D20" s="402">
        <v>2025</v>
      </c>
      <c r="E20" s="358">
        <v>2000</v>
      </c>
      <c r="F20" s="353"/>
      <c r="G20" s="353"/>
      <c r="H20" s="353"/>
      <c r="I20" s="353"/>
    </row>
    <row r="21" spans="2:9" ht="15">
      <c r="B21" s="364" t="s">
        <v>12</v>
      </c>
      <c r="C21" s="250"/>
      <c r="D21" s="250"/>
      <c r="E21" s="55"/>
      <c r="F21" s="353"/>
      <c r="G21" s="353"/>
      <c r="H21" s="353"/>
      <c r="I21" s="353"/>
    </row>
    <row r="22" spans="2:9" ht="15">
      <c r="B22" s="364" t="s">
        <v>505</v>
      </c>
      <c r="C22" s="255">
        <f>IF(C23*0.1&lt;C21,"Exceed 10% Rule","")</f>
      </c>
      <c r="D22" s="255">
        <f>IF(D23*0.1&lt;D21,"Exceed 10% Rule","")</f>
      </c>
      <c r="E22" s="292">
        <f>IF(E23*0.1+E42&lt;E21,"Exceed 10% Rule","")</f>
      </c>
      <c r="F22" s="353"/>
      <c r="G22" s="353"/>
      <c r="H22" s="353"/>
      <c r="I22" s="353"/>
    </row>
    <row r="23" spans="2:9" ht="15">
      <c r="B23" s="375" t="s">
        <v>60</v>
      </c>
      <c r="C23" s="403">
        <f>SUM(C8:C21)</f>
        <v>379083</v>
      </c>
      <c r="D23" s="403">
        <f>SUM(D8:D21)</f>
        <v>325197</v>
      </c>
      <c r="E23" s="386">
        <f>SUM(E9:E21)</f>
        <v>419075</v>
      </c>
      <c r="F23" s="353"/>
      <c r="G23" s="353"/>
      <c r="H23" s="353"/>
      <c r="I23" s="353"/>
    </row>
    <row r="24" spans="2:9" ht="15">
      <c r="B24" s="375" t="s">
        <v>61</v>
      </c>
      <c r="C24" s="403">
        <f>SUM(C6+C23)</f>
        <v>488424</v>
      </c>
      <c r="D24" s="403">
        <f>SUM(D6+D23)</f>
        <v>436555</v>
      </c>
      <c r="E24" s="386">
        <f>SUM(E6+E23)</f>
        <v>464537</v>
      </c>
      <c r="F24" s="353"/>
      <c r="G24" s="353"/>
      <c r="H24" s="353"/>
      <c r="I24" s="353"/>
    </row>
    <row r="25" spans="2:9" ht="15">
      <c r="B25" s="375"/>
      <c r="C25" s="403"/>
      <c r="D25" s="403"/>
      <c r="E25" s="386"/>
      <c r="F25" s="353"/>
      <c r="G25" s="353"/>
      <c r="H25" s="353"/>
      <c r="I25" s="353"/>
    </row>
    <row r="26" spans="2:9" ht="15">
      <c r="B26" s="364" t="s">
        <v>63</v>
      </c>
      <c r="C26" s="364"/>
      <c r="D26" s="400"/>
      <c r="E26" s="365"/>
      <c r="F26" s="353"/>
      <c r="G26" s="353"/>
      <c r="H26" s="353"/>
      <c r="I26" s="353"/>
    </row>
    <row r="27" spans="2:9" ht="15">
      <c r="B27" s="385" t="s">
        <v>586</v>
      </c>
      <c r="C27" s="414">
        <v>626</v>
      </c>
      <c r="D27" s="402">
        <v>0</v>
      </c>
      <c r="E27" s="358">
        <v>1250</v>
      </c>
      <c r="F27" s="353"/>
      <c r="G27" s="353"/>
      <c r="H27" s="353"/>
      <c r="I27" s="353"/>
    </row>
    <row r="28" spans="2:9" ht="15">
      <c r="B28" s="385" t="s">
        <v>66</v>
      </c>
      <c r="C28" s="414">
        <v>450</v>
      </c>
      <c r="D28" s="402">
        <v>300</v>
      </c>
      <c r="E28" s="358">
        <v>1250</v>
      </c>
      <c r="F28" s="353"/>
      <c r="G28" s="353"/>
      <c r="H28" s="353"/>
      <c r="I28" s="353"/>
    </row>
    <row r="29" spans="2:9" ht="15">
      <c r="B29" s="385" t="s">
        <v>584</v>
      </c>
      <c r="C29" s="414">
        <v>310000</v>
      </c>
      <c r="D29" s="402">
        <v>325000</v>
      </c>
      <c r="E29" s="358">
        <v>480000</v>
      </c>
      <c r="F29" s="353"/>
      <c r="G29" s="353"/>
      <c r="H29" s="353"/>
      <c r="I29" s="353"/>
    </row>
    <row r="30" spans="2:9" ht="15">
      <c r="B30" s="385" t="s">
        <v>585</v>
      </c>
      <c r="C30" s="414">
        <v>65990</v>
      </c>
      <c r="D30" s="402">
        <v>65793</v>
      </c>
      <c r="E30" s="358">
        <v>105436</v>
      </c>
      <c r="F30" s="353"/>
      <c r="G30" s="353"/>
      <c r="H30" s="353"/>
      <c r="I30" s="353"/>
    </row>
    <row r="31" spans="2:9" ht="15">
      <c r="B31" s="385"/>
      <c r="C31" s="414"/>
      <c r="D31" s="402"/>
      <c r="E31" s="358"/>
      <c r="F31" s="353"/>
      <c r="G31" s="353"/>
      <c r="H31" s="353"/>
      <c r="I31" s="353"/>
    </row>
    <row r="32" spans="2:9" ht="15">
      <c r="B32" s="381" t="s">
        <v>11</v>
      </c>
      <c r="C32" s="414"/>
      <c r="D32" s="402"/>
      <c r="E32" s="365">
        <f>nhood!E7</f>
        <v>668</v>
      </c>
      <c r="F32" s="353"/>
      <c r="G32" s="353"/>
      <c r="H32" s="353"/>
      <c r="I32" s="353"/>
    </row>
    <row r="33" spans="2:9" ht="15">
      <c r="B33" s="381" t="s">
        <v>12</v>
      </c>
      <c r="C33" s="414"/>
      <c r="D33" s="402"/>
      <c r="E33" s="358">
        <v>17673</v>
      </c>
      <c r="F33" s="353"/>
      <c r="G33" s="353"/>
      <c r="H33" s="353"/>
      <c r="I33" s="353"/>
    </row>
    <row r="34" spans="2:9" ht="15">
      <c r="B34" s="381" t="s">
        <v>507</v>
      </c>
      <c r="C34" s="255">
        <f>IF(C35*0.1&lt;C33,"Exceed 10% Rule","")</f>
      </c>
      <c r="D34" s="255">
        <f>IF(D35*0.1&lt;D33,"Exceed 10% Rule","")</f>
      </c>
      <c r="E34" s="292">
        <f>IF(E35*0.1&lt;E33,"Exceed 10% Rule","")</f>
      </c>
      <c r="F34" s="353"/>
      <c r="G34" s="528" t="str">
        <f>CONCATENATE("Projected Carryover Into ",E1+1,"")</f>
        <v>Projected Carryover Into 2013</v>
      </c>
      <c r="H34" s="529"/>
      <c r="I34" s="530"/>
    </row>
    <row r="35" spans="2:9" ht="15">
      <c r="B35" s="375" t="s">
        <v>67</v>
      </c>
      <c r="C35" s="399">
        <f>SUM(C27:C33)</f>
        <v>377066</v>
      </c>
      <c r="D35" s="399">
        <f>SUM(D27:D33)</f>
        <v>391093</v>
      </c>
      <c r="E35" s="380">
        <f>SUM(E27:E33)</f>
        <v>606277</v>
      </c>
      <c r="F35" s="353"/>
      <c r="G35" s="387"/>
      <c r="H35" s="388"/>
      <c r="I35" s="389"/>
    </row>
    <row r="36" spans="2:9" ht="15">
      <c r="B36" s="364" t="s">
        <v>175</v>
      </c>
      <c r="C36" s="404">
        <f>SUM(C24-C35)</f>
        <v>111358</v>
      </c>
      <c r="D36" s="404">
        <f>SUM(D24-D35)</f>
        <v>45462</v>
      </c>
      <c r="E36" s="382" t="s">
        <v>42</v>
      </c>
      <c r="F36" s="353"/>
      <c r="G36" s="394">
        <f>D36</f>
        <v>45462</v>
      </c>
      <c r="H36" s="397" t="str">
        <f>CONCATENATE("",E1-1," Ending Cash Balance (est.)")</f>
        <v>2011 Ending Cash Balance (est.)</v>
      </c>
      <c r="I36" s="389"/>
    </row>
    <row r="37" spans="2:9" ht="15">
      <c r="B37" s="369" t="str">
        <f>CONCATENATE("",E1-2,"/",E1-1," Budget Authority Amount:")</f>
        <v>2010/2011 Budget Authority Amount:</v>
      </c>
      <c r="C37" s="371">
        <f>inputOth!B56</f>
        <v>410000</v>
      </c>
      <c r="D37" s="376">
        <f>inputPrYr!D18</f>
        <v>409200</v>
      </c>
      <c r="E37" s="382" t="s">
        <v>42</v>
      </c>
      <c r="F37" s="377"/>
      <c r="G37" s="394">
        <f>E23</f>
        <v>419075</v>
      </c>
      <c r="H37" s="396" t="str">
        <f>CONCATENATE("",E1," Non-AV Receipts (est.)")</f>
        <v>2012 Non-AV Receipts (est.)</v>
      </c>
      <c r="I37" s="389"/>
    </row>
    <row r="38" spans="2:9" ht="15">
      <c r="B38" s="369"/>
      <c r="C38" s="522" t="s">
        <v>490</v>
      </c>
      <c r="D38" s="523"/>
      <c r="E38" s="55"/>
      <c r="F38" s="411">
        <f>IF(E35/0.95-E35&lt;E38,"Exceeds 5%","")</f>
      </c>
      <c r="G38" s="393">
        <f>E42</f>
        <v>141740</v>
      </c>
      <c r="H38" s="396" t="str">
        <f>CONCATENATE("",E1," Ad Valorem Tax (est.)")</f>
        <v>2012 Ad Valorem Tax (est.)</v>
      </c>
      <c r="I38" s="389"/>
    </row>
    <row r="39" spans="2:9" ht="15">
      <c r="B39" s="418" t="str">
        <f>CONCATENATE(C86,"     ",D86)</f>
        <v>     </v>
      </c>
      <c r="C39" s="524" t="s">
        <v>491</v>
      </c>
      <c r="D39" s="525"/>
      <c r="E39" s="365">
        <f>SUM(E35+E38)</f>
        <v>606277</v>
      </c>
      <c r="F39" s="353"/>
      <c r="G39" s="394">
        <f>SUM(G36:G38)</f>
        <v>606277</v>
      </c>
      <c r="H39" s="396" t="str">
        <f>CONCATENATE("Total ",E1," Resources Available")</f>
        <v>Total 2012 Resources Available</v>
      </c>
      <c r="I39" s="389"/>
    </row>
    <row r="40" spans="2:9" ht="15">
      <c r="B40" s="418" t="str">
        <f>CONCATENATE(C87,"     ",D87)</f>
        <v>     </v>
      </c>
      <c r="C40" s="378"/>
      <c r="D40" s="370" t="s">
        <v>68</v>
      </c>
      <c r="E40" s="359">
        <f>IF(E39-E24&gt;0,E39-E24,0)</f>
        <v>141740</v>
      </c>
      <c r="F40" s="353"/>
      <c r="G40" s="392"/>
      <c r="H40" s="396"/>
      <c r="I40" s="389"/>
    </row>
    <row r="41" spans="2:9" ht="15">
      <c r="B41" s="370"/>
      <c r="C41" s="351" t="s">
        <v>489</v>
      </c>
      <c r="D41" s="352">
        <f>inputOth!$E$42</f>
        <v>0</v>
      </c>
      <c r="E41" s="365">
        <f>ROUND(IF(D41&gt;0,(E40*D41),0),0)</f>
        <v>0</v>
      </c>
      <c r="F41" s="353"/>
      <c r="G41" s="393">
        <f>C35</f>
        <v>377066</v>
      </c>
      <c r="H41" s="396" t="str">
        <f>CONCATENATE("Less ",E1-2," Expenditures")</f>
        <v>Less 2010 Expenditures</v>
      </c>
      <c r="I41" s="389"/>
    </row>
    <row r="42" spans="2:9" ht="15">
      <c r="B42" s="354"/>
      <c r="C42" s="531" t="s">
        <v>494</v>
      </c>
      <c r="D42" s="532"/>
      <c r="E42" s="383">
        <f>SUM(E40:E41)</f>
        <v>141740</v>
      </c>
      <c r="F42" s="353"/>
      <c r="G42" s="393">
        <f>SUM(G39-G41)</f>
        <v>229211</v>
      </c>
      <c r="H42" s="395" t="str">
        <f>CONCATENATE("Projected ",E1+1," carryover (est.)")</f>
        <v>Projected 2013 carryover (est.)</v>
      </c>
      <c r="I42" s="390"/>
    </row>
    <row r="43" spans="2:9" ht="15">
      <c r="B43" s="356"/>
      <c r="C43" s="356"/>
      <c r="D43" s="373"/>
      <c r="E43" s="373"/>
      <c r="F43" s="353"/>
      <c r="G43" s="353"/>
      <c r="H43" s="353"/>
      <c r="I43" s="353"/>
    </row>
    <row r="44" spans="2:9" ht="15">
      <c r="B44" s="356" t="s">
        <v>53</v>
      </c>
      <c r="C44" s="470" t="s">
        <v>73</v>
      </c>
      <c r="D44" s="471" t="s">
        <v>197</v>
      </c>
      <c r="E44" s="472" t="s">
        <v>198</v>
      </c>
      <c r="F44" s="353"/>
      <c r="G44" s="353"/>
      <c r="H44" s="353"/>
      <c r="I44" s="353"/>
    </row>
    <row r="45" spans="2:9" ht="15">
      <c r="B45" s="406" t="str">
        <f>inputPrYr!B20</f>
        <v>Library</v>
      </c>
      <c r="C45" s="391">
        <f>E1-2</f>
        <v>2010</v>
      </c>
      <c r="D45" s="391">
        <f>E1-1</f>
        <v>2011</v>
      </c>
      <c r="E45" s="372">
        <f>E1</f>
        <v>2012</v>
      </c>
      <c r="F45" s="353"/>
      <c r="G45" s="353"/>
      <c r="H45" s="353"/>
      <c r="I45" s="353"/>
    </row>
    <row r="46" spans="2:9" ht="15">
      <c r="B46" s="364" t="s">
        <v>174</v>
      </c>
      <c r="C46" s="398">
        <v>3348</v>
      </c>
      <c r="D46" s="400">
        <f>C67</f>
        <v>4818</v>
      </c>
      <c r="E46" s="365">
        <f>D67</f>
        <v>3054</v>
      </c>
      <c r="F46" s="353"/>
      <c r="G46" s="353"/>
      <c r="H46" s="353"/>
      <c r="I46" s="353"/>
    </row>
    <row r="47" spans="2:9" ht="15">
      <c r="B47" s="374" t="s">
        <v>176</v>
      </c>
      <c r="C47" s="364"/>
      <c r="D47" s="400"/>
      <c r="E47" s="365"/>
      <c r="F47" s="353"/>
      <c r="G47" s="353"/>
      <c r="H47" s="353"/>
      <c r="I47" s="353"/>
    </row>
    <row r="48" spans="2:9" ht="15">
      <c r="B48" s="364" t="s">
        <v>54</v>
      </c>
      <c r="C48" s="398">
        <v>85004</v>
      </c>
      <c r="D48" s="400">
        <v>83159</v>
      </c>
      <c r="E48" s="382" t="s">
        <v>42</v>
      </c>
      <c r="F48" s="353"/>
      <c r="G48" s="353"/>
      <c r="H48" s="353"/>
      <c r="I48" s="353"/>
    </row>
    <row r="49" spans="2:9" ht="15">
      <c r="B49" s="364" t="s">
        <v>55</v>
      </c>
      <c r="C49" s="398">
        <v>708</v>
      </c>
      <c r="D49" s="402">
        <v>700</v>
      </c>
      <c r="E49" s="358">
        <v>725</v>
      </c>
      <c r="F49" s="353"/>
      <c r="G49" s="353"/>
      <c r="H49" s="353"/>
      <c r="I49" s="353"/>
    </row>
    <row r="50" spans="2:9" ht="15">
      <c r="B50" s="364" t="s">
        <v>56</v>
      </c>
      <c r="C50" s="398">
        <v>14251</v>
      </c>
      <c r="D50" s="402">
        <v>14200</v>
      </c>
      <c r="E50" s="365">
        <v>14300</v>
      </c>
      <c r="F50" s="353"/>
      <c r="G50" s="353"/>
      <c r="H50" s="353"/>
      <c r="I50" s="353"/>
    </row>
    <row r="51" spans="2:9" ht="15">
      <c r="B51" s="364" t="s">
        <v>57</v>
      </c>
      <c r="C51" s="398">
        <v>242</v>
      </c>
      <c r="D51" s="402">
        <v>220</v>
      </c>
      <c r="E51" s="365">
        <v>220</v>
      </c>
      <c r="F51" s="353"/>
      <c r="G51" s="353"/>
      <c r="H51" s="353"/>
      <c r="I51" s="353"/>
    </row>
    <row r="52" spans="2:5" ht="15">
      <c r="B52" s="367" t="s">
        <v>151</v>
      </c>
      <c r="C52" s="398">
        <v>108</v>
      </c>
      <c r="D52" s="402">
        <v>100</v>
      </c>
      <c r="E52" s="365">
        <v>110</v>
      </c>
    </row>
    <row r="53" spans="2:5" ht="15">
      <c r="B53" s="367" t="s">
        <v>204</v>
      </c>
      <c r="C53" s="398"/>
      <c r="D53" s="402"/>
      <c r="E53" s="365">
        <f>mvalloc!F9</f>
        <v>0</v>
      </c>
    </row>
    <row r="54" spans="2:5" ht="15">
      <c r="B54" s="379" t="s">
        <v>59</v>
      </c>
      <c r="C54" s="398">
        <v>2</v>
      </c>
      <c r="D54" s="402">
        <v>2</v>
      </c>
      <c r="E54" s="358">
        <v>5</v>
      </c>
    </row>
    <row r="55" spans="2:5" ht="15">
      <c r="B55" s="379"/>
      <c r="C55" s="398"/>
      <c r="D55" s="402"/>
      <c r="E55" s="358"/>
    </row>
    <row r="56" spans="2:5" ht="15">
      <c r="B56" s="364" t="s">
        <v>12</v>
      </c>
      <c r="C56" s="398"/>
      <c r="D56" s="250"/>
      <c r="E56" s="55"/>
    </row>
    <row r="57" spans="2:5" ht="15">
      <c r="B57" s="364" t="s">
        <v>505</v>
      </c>
      <c r="C57" s="255">
        <f>IF(C58*0.1&lt;C56,"Exceed 10% Rule","")</f>
      </c>
      <c r="D57" s="255">
        <f>IF(D58*0.1&lt;D56,"Exceed 10% Rule","")</f>
      </c>
      <c r="E57" s="292">
        <f>IF(E58*0.1+E73&lt;E56,"Exceed 10% Rule","")</f>
      </c>
    </row>
    <row r="58" spans="2:5" ht="15">
      <c r="B58" s="375" t="s">
        <v>60</v>
      </c>
      <c r="C58" s="399">
        <f>SUM(C48:C56)</f>
        <v>100315</v>
      </c>
      <c r="D58" s="399">
        <f>SUM(D48:D56)</f>
        <v>98381</v>
      </c>
      <c r="E58" s="380">
        <f>SUM(E49:E56)</f>
        <v>15360</v>
      </c>
    </row>
    <row r="59" spans="2:5" ht="15">
      <c r="B59" s="375" t="s">
        <v>61</v>
      </c>
      <c r="C59" s="399">
        <f>SUM(C46+C58)</f>
        <v>103663</v>
      </c>
      <c r="D59" s="399">
        <f>SUM(D46+D58)</f>
        <v>103199</v>
      </c>
      <c r="E59" s="380">
        <f>SUM(E46+E58)</f>
        <v>18414</v>
      </c>
    </row>
    <row r="60" spans="2:5" ht="15">
      <c r="B60" s="364" t="s">
        <v>63</v>
      </c>
      <c r="C60" s="364"/>
      <c r="D60" s="400"/>
      <c r="E60" s="365"/>
    </row>
    <row r="61" spans="2:5" ht="15">
      <c r="B61" s="385" t="s">
        <v>588</v>
      </c>
      <c r="C61" s="398">
        <v>98845</v>
      </c>
      <c r="D61" s="402">
        <v>98845</v>
      </c>
      <c r="E61" s="358">
        <v>106564</v>
      </c>
    </row>
    <row r="62" spans="2:5" ht="15">
      <c r="B62" s="385"/>
      <c r="C62" s="398"/>
      <c r="D62" s="402"/>
      <c r="E62" s="358"/>
    </row>
    <row r="63" spans="2:6" ht="15">
      <c r="B63" s="367" t="s">
        <v>11</v>
      </c>
      <c r="C63" s="398"/>
      <c r="D63" s="402"/>
      <c r="E63" s="365">
        <f>nhood!E8</f>
        <v>430</v>
      </c>
      <c r="F63" s="353"/>
    </row>
    <row r="64" spans="2:6" ht="15">
      <c r="B64" s="367" t="s">
        <v>12</v>
      </c>
      <c r="C64" s="414">
        <v>0</v>
      </c>
      <c r="D64" s="402">
        <v>1300</v>
      </c>
      <c r="E64" s="358">
        <v>2767</v>
      </c>
      <c r="F64" s="353"/>
    </row>
    <row r="65" spans="2:6" ht="15">
      <c r="B65" s="367" t="s">
        <v>506</v>
      </c>
      <c r="C65" s="255">
        <f>IF(C66*0.1&lt;C64,"Exceed 10% Rule","")</f>
      </c>
      <c r="D65" s="255">
        <f>IF(D66*0.1&lt;D64,"Exceed 10% Rule","")</f>
      </c>
      <c r="E65" s="292">
        <f>IF(E66*0.1&lt;E64,"Exceed 10% Rule","")</f>
      </c>
      <c r="F65" s="353"/>
    </row>
    <row r="66" spans="2:6" ht="15">
      <c r="B66" s="375" t="s">
        <v>67</v>
      </c>
      <c r="C66" s="399">
        <f>SUM(C61:C64)</f>
        <v>98845</v>
      </c>
      <c r="D66" s="399">
        <f>SUM(D61:D64)</f>
        <v>100145</v>
      </c>
      <c r="E66" s="380">
        <f>SUM(E61:E64)</f>
        <v>109761</v>
      </c>
      <c r="F66" s="353"/>
    </row>
    <row r="67" spans="2:6" ht="15">
      <c r="B67" s="364" t="s">
        <v>175</v>
      </c>
      <c r="C67" s="404">
        <f>SUM(C59-C66)</f>
        <v>4818</v>
      </c>
      <c r="D67" s="404">
        <f>SUM(D59-D66)</f>
        <v>3054</v>
      </c>
      <c r="E67" s="382" t="s">
        <v>42</v>
      </c>
      <c r="F67" s="353"/>
    </row>
    <row r="68" spans="2:6" ht="15">
      <c r="B68" s="369" t="str">
        <f>CONCATENATE("",E1-2,"/",E1-1," Budget Authority Amount:")</f>
        <v>2010/2011 Budget Authority Amount:</v>
      </c>
      <c r="C68" s="371">
        <f>inputOth!B57</f>
        <v>102322</v>
      </c>
      <c r="D68" s="371">
        <f>inputPrYr!D20</f>
        <v>104992</v>
      </c>
      <c r="E68" s="382" t="s">
        <v>42</v>
      </c>
      <c r="F68" s="377"/>
    </row>
    <row r="69" spans="2:6" ht="15">
      <c r="B69" s="369"/>
      <c r="C69" s="522" t="s">
        <v>490</v>
      </c>
      <c r="D69" s="523"/>
      <c r="E69" s="55"/>
      <c r="F69" s="411">
        <f>IF(E66/0.95-E66&lt;E69,"Exceeds 5%","")</f>
      </c>
    </row>
    <row r="70" spans="2:6" ht="15">
      <c r="B70" s="418" t="str">
        <f>CONCATENATE(C88,"     ",D88)</f>
        <v>     </v>
      </c>
      <c r="C70" s="524" t="s">
        <v>491</v>
      </c>
      <c r="D70" s="525"/>
      <c r="E70" s="365">
        <f>SUM(E66+E69)</f>
        <v>109761</v>
      </c>
      <c r="F70" s="353"/>
    </row>
    <row r="71" spans="2:6" ht="15">
      <c r="B71" s="418" t="str">
        <f>CONCATENATE(C89,"     ",D89)</f>
        <v>     </v>
      </c>
      <c r="C71" s="378"/>
      <c r="D71" s="370" t="s">
        <v>68</v>
      </c>
      <c r="E71" s="359">
        <f>IF(E70-E59&gt;0,E70-E59,0)</f>
        <v>91347</v>
      </c>
      <c r="F71" s="353"/>
    </row>
    <row r="72" spans="2:6" ht="15">
      <c r="B72" s="370"/>
      <c r="C72" s="351" t="s">
        <v>489</v>
      </c>
      <c r="D72" s="352">
        <f>inputOth!$E$42</f>
        <v>0</v>
      </c>
      <c r="E72" s="365">
        <f>ROUND(IF(D72&gt;0,(E71*D72),0),0)</f>
        <v>0</v>
      </c>
      <c r="F72" s="353"/>
    </row>
    <row r="73" spans="2:6" ht="15">
      <c r="B73" s="354"/>
      <c r="C73" s="531" t="s">
        <v>494</v>
      </c>
      <c r="D73" s="532"/>
      <c r="E73" s="383">
        <f>SUM(E71:E72)</f>
        <v>91347</v>
      </c>
      <c r="F73" s="353"/>
    </row>
    <row r="74" spans="2:6" ht="15">
      <c r="B74" s="370" t="s">
        <v>70</v>
      </c>
      <c r="C74" s="384">
        <v>8</v>
      </c>
      <c r="D74" s="360"/>
      <c r="E74" s="354"/>
      <c r="F74" s="353"/>
    </row>
    <row r="76" spans="2:6" ht="15">
      <c r="B76" s="361"/>
      <c r="C76" s="361"/>
      <c r="D76" s="353"/>
      <c r="E76" s="353"/>
      <c r="F76" s="353"/>
    </row>
    <row r="81" spans="3:4" ht="15">
      <c r="C81" s="355" t="s">
        <v>493</v>
      </c>
      <c r="D81" s="355" t="s">
        <v>493</v>
      </c>
    </row>
    <row r="82" spans="3:4" ht="15">
      <c r="C82" s="355" t="s">
        <v>493</v>
      </c>
      <c r="D82" s="355" t="s">
        <v>493</v>
      </c>
    </row>
    <row r="84" spans="3:4" ht="15">
      <c r="C84" s="355" t="s">
        <v>493</v>
      </c>
      <c r="D84" s="355" t="s">
        <v>493</v>
      </c>
    </row>
    <row r="85" spans="3:4" ht="16.5" customHeight="1">
      <c r="C85" s="355" t="s">
        <v>493</v>
      </c>
      <c r="D85" s="355" t="s">
        <v>493</v>
      </c>
    </row>
    <row r="86" spans="3:4" ht="15" customHeight="1" hidden="1">
      <c r="C86" s="417">
        <f>IF(C35&gt;C37,"See Tab A","")</f>
      </c>
      <c r="D86" s="417">
        <f>IF(D35&gt;D37,"See Tab C","")</f>
      </c>
    </row>
    <row r="87" spans="3:4" ht="15.75" customHeight="1" hidden="1">
      <c r="C87" s="417">
        <f>IF(C36&lt;0,"See Tab B","")</f>
      </c>
      <c r="D87" s="417">
        <f>IF(D36&lt;0,"See Tab D","")</f>
      </c>
    </row>
    <row r="88" spans="3:4" ht="15" customHeight="1" hidden="1">
      <c r="C88" s="417">
        <f>IF(C63&gt;C67,"See Tab A","")</f>
      </c>
      <c r="D88" s="417">
        <f>IF(D63&gt;D67,"See Tab C","")</f>
      </c>
    </row>
    <row r="89" spans="3:4" ht="14.25" customHeight="1" hidden="1">
      <c r="C89" s="417">
        <f>IF(C67&lt;0,"See Tab B","")</f>
      </c>
      <c r="D89" s="417">
        <f>IF(D67&lt;0,"See Tab D","")</f>
      </c>
    </row>
  </sheetData>
  <sheetProtection/>
  <mergeCells count="7">
    <mergeCell ref="G34:I34"/>
    <mergeCell ref="C73:D73"/>
    <mergeCell ref="C69:D69"/>
    <mergeCell ref="C70:D70"/>
    <mergeCell ref="C38:D38"/>
    <mergeCell ref="C39:D39"/>
    <mergeCell ref="C42:D42"/>
  </mergeCells>
  <conditionalFormatting sqref="C56">
    <cfRule type="cellIs" priority="22" dxfId="1" operator="greaterThan" stopIfTrue="1">
      <formula>$C$58*0.1</formula>
    </cfRule>
  </conditionalFormatting>
  <conditionalFormatting sqref="D56 D21">
    <cfRule type="cellIs" priority="21" dxfId="0" operator="greaterThan" stopIfTrue="1">
      <formula>$D$23*0.1</formula>
    </cfRule>
  </conditionalFormatting>
  <conditionalFormatting sqref="E56">
    <cfRule type="cellIs" priority="20" dxfId="254" operator="greaterThan" stopIfTrue="1">
      <formula>$E$23*0.1+E73</formula>
    </cfRule>
  </conditionalFormatting>
  <conditionalFormatting sqref="C64">
    <cfRule type="cellIs" priority="19" dxfId="1" operator="greaterThan" stopIfTrue="1">
      <formula>$C$66*0.1</formula>
    </cfRule>
  </conditionalFormatting>
  <conditionalFormatting sqref="D64">
    <cfRule type="cellIs" priority="18" dxfId="1" operator="greaterThan" stopIfTrue="1">
      <formula>$D$66*0.1</formula>
    </cfRule>
  </conditionalFormatting>
  <conditionalFormatting sqref="E64">
    <cfRule type="cellIs" priority="17" dxfId="1" operator="greaterThan" stopIfTrue="1">
      <formula>$E$66*0.1</formula>
    </cfRule>
  </conditionalFormatting>
  <conditionalFormatting sqref="C33">
    <cfRule type="cellIs" priority="16" dxfId="1" operator="greaterThan" stopIfTrue="1">
      <formula>$C$35*0.1</formula>
    </cfRule>
  </conditionalFormatting>
  <conditionalFormatting sqref="D33">
    <cfRule type="cellIs" priority="15" dxfId="1" operator="greaterThan" stopIfTrue="1">
      <formula>$D$35*0.1</formula>
    </cfRule>
  </conditionalFormatting>
  <conditionalFormatting sqref="E33">
    <cfRule type="cellIs" priority="14" dxfId="1" operator="greaterThan" stopIfTrue="1">
      <formula>$E$35*0.1</formula>
    </cfRule>
  </conditionalFormatting>
  <conditionalFormatting sqref="C21">
    <cfRule type="cellIs" priority="12" dxfId="0" operator="greaterThan" stopIfTrue="1">
      <formula>$C$23*0.1</formula>
    </cfRule>
  </conditionalFormatting>
  <conditionalFormatting sqref="E21">
    <cfRule type="cellIs" priority="11" dxfId="254" operator="greaterThan" stopIfTrue="1">
      <formula>$E$23*0.1+E42</formula>
    </cfRule>
  </conditionalFormatting>
  <conditionalFormatting sqref="E38">
    <cfRule type="cellIs" priority="10" dxfId="254" operator="greaterThan" stopIfTrue="1">
      <formula>$E$35/0.95-$E$35</formula>
    </cfRule>
  </conditionalFormatting>
  <conditionalFormatting sqref="E69">
    <cfRule type="cellIs" priority="9" dxfId="254" operator="greaterThan" stopIfTrue="1">
      <formula>$E$66/0.95-$E$66</formula>
    </cfRule>
  </conditionalFormatting>
  <conditionalFormatting sqref="C35">
    <cfRule type="cellIs" priority="8" dxfId="1" operator="greaterThan" stopIfTrue="1">
      <formula>$C$37</formula>
    </cfRule>
  </conditionalFormatting>
  <conditionalFormatting sqref="C36:D36">
    <cfRule type="cellIs" priority="7" dxfId="1" operator="lessThan" stopIfTrue="1">
      <formula>0</formula>
    </cfRule>
  </conditionalFormatting>
  <conditionalFormatting sqref="D35">
    <cfRule type="cellIs" priority="6" dxfId="1" operator="greaterThan" stopIfTrue="1">
      <formula>$D$37</formula>
    </cfRule>
  </conditionalFormatting>
  <conditionalFormatting sqref="C66">
    <cfRule type="cellIs" priority="4" dxfId="1" operator="greaterThan" stopIfTrue="1">
      <formula>$C$68</formula>
    </cfRule>
  </conditionalFormatting>
  <conditionalFormatting sqref="C67">
    <cfRule type="cellIs" priority="3" dxfId="1" operator="lessThan" stopIfTrue="1">
      <formula>0</formula>
    </cfRule>
  </conditionalFormatting>
  <conditionalFormatting sqref="D66">
    <cfRule type="cellIs" priority="2" dxfId="1" operator="greaterThan" stopIfTrue="1">
      <formula>$D$68</formula>
    </cfRule>
  </conditionalFormatting>
  <conditionalFormatting sqref="D67">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B2" sqref="B2"/>
    </sheetView>
  </sheetViews>
  <sheetFormatPr defaultColWidth="8.8984375" defaultRowHeight="15"/>
  <cols>
    <col min="1" max="1" width="2.3984375" style="33" customWidth="1"/>
    <col min="2" max="2" width="31.09765625" style="33" customWidth="1"/>
    <col min="3" max="4" width="15.69921875" style="33" customWidth="1"/>
    <col min="5" max="5" width="16.19921875" style="33" customWidth="1"/>
    <col min="6" max="16384" width="8.8984375" style="33" customWidth="1"/>
  </cols>
  <sheetData>
    <row r="1" spans="2:5" ht="15">
      <c r="B1" s="187" t="str">
        <f>(inputPrYr!D2)</f>
        <v>City of Ellsworth</v>
      </c>
      <c r="C1" s="35"/>
      <c r="D1" s="35"/>
      <c r="E1" s="241">
        <f>inputPrYr!C5</f>
        <v>2012</v>
      </c>
    </row>
    <row r="2" spans="2:5" ht="15">
      <c r="B2" s="35"/>
      <c r="C2" s="35"/>
      <c r="D2" s="35"/>
      <c r="E2" s="159"/>
    </row>
    <row r="3" spans="2:5" ht="15">
      <c r="B3" s="242" t="s">
        <v>119</v>
      </c>
      <c r="C3" s="194"/>
      <c r="D3" s="194"/>
      <c r="E3" s="282"/>
    </row>
    <row r="4" spans="2:5" ht="15">
      <c r="B4" s="35"/>
      <c r="C4" s="283"/>
      <c r="D4" s="283"/>
      <c r="E4" s="283"/>
    </row>
    <row r="5" spans="2:5" ht="15">
      <c r="B5" s="40" t="s">
        <v>53</v>
      </c>
      <c r="C5" s="464" t="s">
        <v>73</v>
      </c>
      <c r="D5" s="465" t="s">
        <v>197</v>
      </c>
      <c r="E5" s="466" t="s">
        <v>198</v>
      </c>
    </row>
    <row r="6" spans="2:5" ht="15">
      <c r="B6" s="424" t="str">
        <f>inputPrYr!B21</f>
        <v>Fire/Police</v>
      </c>
      <c r="C6" s="341">
        <f>E1-2</f>
        <v>2010</v>
      </c>
      <c r="D6" s="341">
        <f>E1-1</f>
        <v>2011</v>
      </c>
      <c r="E6" s="244">
        <f>E1</f>
        <v>2012</v>
      </c>
    </row>
    <row r="7" spans="2:5" ht="15">
      <c r="B7" s="245" t="s">
        <v>174</v>
      </c>
      <c r="C7" s="250">
        <v>5275</v>
      </c>
      <c r="D7" s="248">
        <f>C33</f>
        <v>9991</v>
      </c>
      <c r="E7" s="221">
        <f>D33</f>
        <v>6366</v>
      </c>
    </row>
    <row r="8" spans="2:5" ht="15">
      <c r="B8" s="249" t="s">
        <v>176</v>
      </c>
      <c r="C8" s="149"/>
      <c r="D8" s="149"/>
      <c r="E8" s="75"/>
    </row>
    <row r="9" spans="2:5" ht="15">
      <c r="B9" s="140" t="s">
        <v>54</v>
      </c>
      <c r="C9" s="250">
        <v>14259</v>
      </c>
      <c r="D9" s="248">
        <v>3430</v>
      </c>
      <c r="E9" s="279" t="s">
        <v>42</v>
      </c>
    </row>
    <row r="10" spans="2:5" ht="15">
      <c r="B10" s="140" t="s">
        <v>55</v>
      </c>
      <c r="C10" s="250">
        <v>137</v>
      </c>
      <c r="D10" s="250">
        <v>189</v>
      </c>
      <c r="E10" s="55">
        <v>400</v>
      </c>
    </row>
    <row r="11" spans="2:5" ht="15">
      <c r="B11" s="140" t="s">
        <v>56</v>
      </c>
      <c r="C11" s="250">
        <v>1932</v>
      </c>
      <c r="D11" s="250">
        <v>600</v>
      </c>
      <c r="E11" s="221">
        <v>5200</v>
      </c>
    </row>
    <row r="12" spans="2:5" ht="15">
      <c r="B12" s="140" t="s">
        <v>57</v>
      </c>
      <c r="C12" s="250">
        <v>33</v>
      </c>
      <c r="D12" s="250">
        <v>10</v>
      </c>
      <c r="E12" s="221">
        <v>85</v>
      </c>
    </row>
    <row r="13" spans="2:5" ht="15">
      <c r="B13" s="149" t="s">
        <v>151</v>
      </c>
      <c r="C13" s="250">
        <v>28</v>
      </c>
      <c r="D13" s="250">
        <v>21</v>
      </c>
      <c r="E13" s="221">
        <v>95</v>
      </c>
    </row>
    <row r="14" spans="2:5" ht="15">
      <c r="B14" s="280" t="s">
        <v>204</v>
      </c>
      <c r="C14" s="250"/>
      <c r="D14" s="250">
        <v>0</v>
      </c>
      <c r="E14" s="221">
        <f>mvalloc!F10</f>
        <v>0</v>
      </c>
    </row>
    <row r="15" spans="2:5" ht="15">
      <c r="B15" s="266"/>
      <c r="C15" s="250"/>
      <c r="D15" s="250"/>
      <c r="E15" s="55"/>
    </row>
    <row r="16" spans="2:5" ht="15">
      <c r="B16" s="266"/>
      <c r="C16" s="250"/>
      <c r="D16" s="250"/>
      <c r="E16" s="55"/>
    </row>
    <row r="17" spans="2:5" ht="15">
      <c r="B17" s="266"/>
      <c r="C17" s="250"/>
      <c r="D17" s="250"/>
      <c r="E17" s="55"/>
    </row>
    <row r="18" spans="2:5" ht="15">
      <c r="B18" s="254" t="s">
        <v>59</v>
      </c>
      <c r="C18" s="250">
        <v>106</v>
      </c>
      <c r="D18" s="250">
        <v>25</v>
      </c>
      <c r="E18" s="55">
        <v>200</v>
      </c>
    </row>
    <row r="19" spans="2:5" ht="15">
      <c r="B19" s="149" t="s">
        <v>12</v>
      </c>
      <c r="C19" s="250"/>
      <c r="D19" s="250"/>
      <c r="E19" s="55"/>
    </row>
    <row r="20" spans="2:5" ht="15">
      <c r="B20" s="245" t="s">
        <v>505</v>
      </c>
      <c r="C20" s="255">
        <f>IF(C21*0.1&lt;C19,"Exceed 10% Rule","")</f>
      </c>
      <c r="D20" s="255">
        <f>IF(D21*0.1&lt;D19,"Exceed 10% Rule","")</f>
      </c>
      <c r="E20" s="292">
        <f>IF(E21*0.1+E39&lt;E19,"Exceed 10% Rule","")</f>
      </c>
    </row>
    <row r="21" spans="2:5" ht="15">
      <c r="B21" s="257" t="s">
        <v>60</v>
      </c>
      <c r="C21" s="259">
        <f>SUM(C9:C19)</f>
        <v>16495</v>
      </c>
      <c r="D21" s="259">
        <f>SUM(D9:D19)</f>
        <v>4275</v>
      </c>
      <c r="E21" s="260">
        <f>SUM(E9:E19)</f>
        <v>5980</v>
      </c>
    </row>
    <row r="22" spans="2:5" ht="15">
      <c r="B22" s="257" t="s">
        <v>61</v>
      </c>
      <c r="C22" s="263">
        <f>C7+C21</f>
        <v>21770</v>
      </c>
      <c r="D22" s="263">
        <f>D7+D21</f>
        <v>14266</v>
      </c>
      <c r="E22" s="70">
        <f>E7+E21</f>
        <v>12346</v>
      </c>
    </row>
    <row r="23" spans="2:5" ht="15">
      <c r="B23" s="140" t="s">
        <v>63</v>
      </c>
      <c r="C23" s="267"/>
      <c r="D23" s="267"/>
      <c r="E23" s="53"/>
    </row>
    <row r="24" spans="2:5" ht="15">
      <c r="B24" s="266" t="s">
        <v>589</v>
      </c>
      <c r="C24" s="250">
        <v>0</v>
      </c>
      <c r="D24" s="250">
        <v>0</v>
      </c>
      <c r="E24" s="55">
        <v>0</v>
      </c>
    </row>
    <row r="25" spans="2:5" ht="15">
      <c r="B25" s="266" t="s">
        <v>590</v>
      </c>
      <c r="C25" s="250">
        <v>11779</v>
      </c>
      <c r="D25" s="250">
        <v>7900</v>
      </c>
      <c r="E25" s="55">
        <v>47545</v>
      </c>
    </row>
    <row r="26" spans="2:5" ht="15">
      <c r="B26" s="266"/>
      <c r="C26" s="250"/>
      <c r="D26" s="250"/>
      <c r="E26" s="55"/>
    </row>
    <row r="27" spans="2:5" ht="15">
      <c r="B27" s="266"/>
      <c r="C27" s="250"/>
      <c r="D27" s="250"/>
      <c r="E27" s="55"/>
    </row>
    <row r="28" spans="2:5" ht="15">
      <c r="B28" s="266"/>
      <c r="C28" s="250"/>
      <c r="D28" s="250"/>
      <c r="E28" s="55"/>
    </row>
    <row r="29" spans="2:5" ht="15">
      <c r="B29" s="267" t="s">
        <v>11</v>
      </c>
      <c r="C29" s="250"/>
      <c r="D29" s="250"/>
      <c r="E29" s="70">
        <f>nhood!E9</f>
        <v>174</v>
      </c>
    </row>
    <row r="30" spans="2:5" ht="15">
      <c r="B30" s="267" t="s">
        <v>12</v>
      </c>
      <c r="C30" s="250">
        <v>0</v>
      </c>
      <c r="D30" s="250">
        <v>0</v>
      </c>
      <c r="E30" s="55">
        <v>1466</v>
      </c>
    </row>
    <row r="31" spans="2:5" ht="15">
      <c r="B31" s="267" t="s">
        <v>506</v>
      </c>
      <c r="C31" s="255">
        <f>IF(C32*0.1&lt;C30,"Exceed 10% Rule","")</f>
      </c>
      <c r="D31" s="255">
        <f>IF(D32*0.1&lt;D30,"Exceed 10% Rule","")</f>
      </c>
      <c r="E31" s="292">
        <f>IF(E32*0.1&lt;E30,"Exceed 10% Rule","")</f>
      </c>
    </row>
    <row r="32" spans="2:5" ht="15">
      <c r="B32" s="257" t="s">
        <v>67</v>
      </c>
      <c r="C32" s="259">
        <f>SUM(C24:C30)</f>
        <v>11779</v>
      </c>
      <c r="D32" s="259">
        <f>SUM(D24:D30)</f>
        <v>7900</v>
      </c>
      <c r="E32" s="260">
        <f>SUM(E24:E30)</f>
        <v>49185</v>
      </c>
    </row>
    <row r="33" spans="2:5" ht="15">
      <c r="B33" s="140" t="s">
        <v>175</v>
      </c>
      <c r="C33" s="263">
        <f>C22-C32</f>
        <v>9991</v>
      </c>
      <c r="D33" s="263">
        <f>D22-D32</f>
        <v>6366</v>
      </c>
      <c r="E33" s="279" t="s">
        <v>42</v>
      </c>
    </row>
    <row r="34" spans="2:6" ht="15">
      <c r="B34" s="126" t="str">
        <f>CONCATENATE("",E1-2,"/",E1-1," Budget Authority Amount:")</f>
        <v>2010/2011 Budget Authority Amount:</v>
      </c>
      <c r="C34" s="234">
        <f>inputOth!B58</f>
        <v>17500</v>
      </c>
      <c r="D34" s="234">
        <f>inputPrYr!D21</f>
        <v>15954</v>
      </c>
      <c r="E34" s="279" t="s">
        <v>42</v>
      </c>
      <c r="F34" s="269"/>
    </row>
    <row r="35" spans="2:6" ht="15">
      <c r="B35" s="126"/>
      <c r="C35" s="522" t="s">
        <v>490</v>
      </c>
      <c r="D35" s="523"/>
      <c r="E35" s="55"/>
      <c r="F35" s="269">
        <f>IF(E32/0.95-E32&lt;E35,"Exceeds 5%","")</f>
      </c>
    </row>
    <row r="36" spans="2:5" ht="15">
      <c r="B36" s="418" t="str">
        <f>CONCATENATE(C90,"     ",D90)</f>
        <v>     </v>
      </c>
      <c r="C36" s="524" t="s">
        <v>491</v>
      </c>
      <c r="D36" s="525"/>
      <c r="E36" s="221">
        <f>E32+E35</f>
        <v>49185</v>
      </c>
    </row>
    <row r="37" spans="2:5" ht="15">
      <c r="B37" s="418" t="str">
        <f>CONCATENATE(C91,"     ",D91)</f>
        <v>     </v>
      </c>
      <c r="C37" s="270"/>
      <c r="D37" s="159" t="s">
        <v>68</v>
      </c>
      <c r="E37" s="70">
        <f>IF(E36-E22&gt;0,E36-E22,0)</f>
        <v>36839</v>
      </c>
    </row>
    <row r="38" spans="2:5" ht="15">
      <c r="B38" s="159"/>
      <c r="C38" s="351" t="s">
        <v>489</v>
      </c>
      <c r="D38" s="352">
        <f>inputOth!$E$42</f>
        <v>0</v>
      </c>
      <c r="E38" s="221">
        <f>ROUND(IF(D38&gt;0,(E37*D38),0),0)</f>
        <v>0</v>
      </c>
    </row>
    <row r="39" spans="2:5" ht="15">
      <c r="B39" s="159"/>
      <c r="C39" s="526" t="str">
        <f>CONCATENATE("Amount of  ",$E$1-1," Ad Valorem Tax")</f>
        <v>Amount of  2011 Ad Valorem Tax</v>
      </c>
      <c r="D39" s="527"/>
      <c r="E39" s="284">
        <f>E37+E38</f>
        <v>36839</v>
      </c>
    </row>
    <row r="40" spans="2:5" ht="15">
      <c r="B40" s="35"/>
      <c r="C40" s="526"/>
      <c r="D40" s="533"/>
      <c r="E40" s="64"/>
    </row>
    <row r="41" spans="2:5" ht="15">
      <c r="B41" s="40" t="s">
        <v>53</v>
      </c>
      <c r="C41" s="283"/>
      <c r="D41" s="283"/>
      <c r="E41" s="283"/>
    </row>
    <row r="42" spans="2:5" ht="15">
      <c r="B42" s="35"/>
      <c r="C42" s="464" t="s">
        <v>73</v>
      </c>
      <c r="D42" s="465" t="s">
        <v>197</v>
      </c>
      <c r="E42" s="466" t="s">
        <v>198</v>
      </c>
    </row>
    <row r="43" spans="2:5" ht="15">
      <c r="B43" s="424">
        <f>(inputPrYr!B22)</f>
        <v>0</v>
      </c>
      <c r="C43" s="341">
        <f>E1-2</f>
        <v>2010</v>
      </c>
      <c r="D43" s="341">
        <f>E1-1</f>
        <v>2011</v>
      </c>
      <c r="E43" s="244">
        <f>E1</f>
        <v>2012</v>
      </c>
    </row>
    <row r="44" spans="2:5" ht="15">
      <c r="B44" s="245" t="s">
        <v>174</v>
      </c>
      <c r="C44" s="250"/>
      <c r="D44" s="248">
        <f>C70</f>
        <v>0</v>
      </c>
      <c r="E44" s="221">
        <f>D70</f>
        <v>0</v>
      </c>
    </row>
    <row r="45" spans="2:5" ht="15">
      <c r="B45" s="249" t="s">
        <v>176</v>
      </c>
      <c r="C45" s="149"/>
      <c r="D45" s="149"/>
      <c r="E45" s="75"/>
    </row>
    <row r="46" spans="2:5" ht="15">
      <c r="B46" s="140" t="s">
        <v>54</v>
      </c>
      <c r="C46" s="250"/>
      <c r="D46" s="248">
        <f>inputPrYr!E22</f>
        <v>0</v>
      </c>
      <c r="E46" s="279" t="s">
        <v>42</v>
      </c>
    </row>
    <row r="47" spans="2:5" ht="15">
      <c r="B47" s="140" t="s">
        <v>55</v>
      </c>
      <c r="C47" s="250"/>
      <c r="D47" s="250"/>
      <c r="E47" s="55"/>
    </row>
    <row r="48" spans="2:5" ht="15">
      <c r="B48" s="140" t="s">
        <v>56</v>
      </c>
      <c r="C48" s="250"/>
      <c r="D48" s="250"/>
      <c r="E48" s="221" t="str">
        <f>mvalloc!C11</f>
        <v>  </v>
      </c>
    </row>
    <row r="49" spans="2:5" ht="15">
      <c r="B49" s="140" t="s">
        <v>57</v>
      </c>
      <c r="C49" s="250"/>
      <c r="D49" s="250"/>
      <c r="E49" s="221" t="str">
        <f>mvalloc!D11</f>
        <v> </v>
      </c>
    </row>
    <row r="50" spans="2:5" ht="15">
      <c r="B50" s="149" t="s">
        <v>151</v>
      </c>
      <c r="C50" s="250"/>
      <c r="D50" s="250"/>
      <c r="E50" s="221" t="str">
        <f>mvalloc!E11</f>
        <v> </v>
      </c>
    </row>
    <row r="51" spans="2:5" ht="15">
      <c r="B51" s="280" t="s">
        <v>204</v>
      </c>
      <c r="C51" s="250"/>
      <c r="D51" s="250"/>
      <c r="E51" s="221" t="str">
        <f>mvalloc!F11</f>
        <v> </v>
      </c>
    </row>
    <row r="52" spans="2:5" ht="15">
      <c r="B52" s="266"/>
      <c r="C52" s="250"/>
      <c r="D52" s="250"/>
      <c r="E52" s="55"/>
    </row>
    <row r="53" spans="2:5" ht="15">
      <c r="B53" s="266"/>
      <c r="C53" s="250"/>
      <c r="D53" s="250"/>
      <c r="E53" s="55"/>
    </row>
    <row r="54" spans="2:5" ht="15">
      <c r="B54" s="266"/>
      <c r="C54" s="250"/>
      <c r="D54" s="250"/>
      <c r="E54" s="55"/>
    </row>
    <row r="55" spans="2:5" ht="15">
      <c r="B55" s="254" t="s">
        <v>59</v>
      </c>
      <c r="C55" s="250"/>
      <c r="D55" s="250"/>
      <c r="E55" s="55"/>
    </row>
    <row r="56" spans="2:5" ht="15">
      <c r="B56" s="149" t="s">
        <v>12</v>
      </c>
      <c r="C56" s="250"/>
      <c r="D56" s="250"/>
      <c r="E56" s="55"/>
    </row>
    <row r="57" spans="2:5" ht="15">
      <c r="B57" s="245" t="s">
        <v>505</v>
      </c>
      <c r="C57" s="255">
        <f>IF(C58*0.1&lt;C56,"Exceed 10% Rule","")</f>
      </c>
      <c r="D57" s="255">
        <f>IF(D58*0.1&lt;D56,"Exceed 10% Rule","")</f>
      </c>
      <c r="E57" s="292">
        <f>IF(E58*0.1+E76&lt;E56,"Exceed 10% Rule","")</f>
      </c>
    </row>
    <row r="58" spans="2:5" ht="15">
      <c r="B58" s="257" t="s">
        <v>60</v>
      </c>
      <c r="C58" s="259">
        <f>SUM(C46:C56)</f>
        <v>0</v>
      </c>
      <c r="D58" s="259">
        <f>SUM(D46:D56)</f>
        <v>0</v>
      </c>
      <c r="E58" s="260">
        <f>SUM(E46:E56)</f>
        <v>0</v>
      </c>
    </row>
    <row r="59" spans="2:5" ht="15">
      <c r="B59" s="257" t="s">
        <v>61</v>
      </c>
      <c r="C59" s="259">
        <f>C44+C58</f>
        <v>0</v>
      </c>
      <c r="D59" s="259">
        <f>D44+D58</f>
        <v>0</v>
      </c>
      <c r="E59" s="260">
        <f>E44+E58</f>
        <v>0</v>
      </c>
    </row>
    <row r="60" spans="2:5" ht="15">
      <c r="B60" s="140" t="s">
        <v>63</v>
      </c>
      <c r="C60" s="267"/>
      <c r="D60" s="267"/>
      <c r="E60" s="53"/>
    </row>
    <row r="61" spans="2:5" ht="15">
      <c r="B61" s="266"/>
      <c r="C61" s="250"/>
      <c r="D61" s="250"/>
      <c r="E61" s="55"/>
    </row>
    <row r="62" spans="2:5" ht="15">
      <c r="B62" s="266"/>
      <c r="C62" s="250"/>
      <c r="D62" s="250"/>
      <c r="E62" s="55"/>
    </row>
    <row r="63" spans="2:5" ht="15">
      <c r="B63" s="266"/>
      <c r="C63" s="250"/>
      <c r="D63" s="250"/>
      <c r="E63" s="55"/>
    </row>
    <row r="64" spans="2:5" ht="15">
      <c r="B64" s="266"/>
      <c r="C64" s="250"/>
      <c r="D64" s="250"/>
      <c r="E64" s="55"/>
    </row>
    <row r="65" spans="2:5" ht="15">
      <c r="B65" s="266"/>
      <c r="C65" s="250"/>
      <c r="D65" s="250"/>
      <c r="E65" s="55"/>
    </row>
    <row r="66" spans="2:5" ht="15">
      <c r="B66" s="267" t="s">
        <v>11</v>
      </c>
      <c r="C66" s="250"/>
      <c r="D66" s="250"/>
      <c r="E66" s="70">
        <f>nhood!E10</f>
      </c>
    </row>
    <row r="67" spans="2:5" ht="15">
      <c r="B67" s="267" t="s">
        <v>12</v>
      </c>
      <c r="C67" s="250"/>
      <c r="D67" s="250"/>
      <c r="E67" s="55"/>
    </row>
    <row r="68" spans="2:5" ht="15">
      <c r="B68" s="267" t="s">
        <v>506</v>
      </c>
      <c r="C68" s="255">
        <f>IF(C69*0.1&lt;C67,"Exceed 10% Rule","")</f>
      </c>
      <c r="D68" s="255">
        <f>IF(D69*0.1&lt;D67,"Exceed 10% Rule","")</f>
      </c>
      <c r="E68" s="292">
        <f>IF(E69*0.1&lt;E67,"Exceed 10% Rule","")</f>
      </c>
    </row>
    <row r="69" spans="2:5" ht="15">
      <c r="B69" s="257" t="s">
        <v>67</v>
      </c>
      <c r="C69" s="259">
        <f>SUM(C61:C67)</f>
        <v>0</v>
      </c>
      <c r="D69" s="259">
        <f>SUM(D61:D67)</f>
        <v>0</v>
      </c>
      <c r="E69" s="260">
        <f>SUM(E61:E67)</f>
        <v>0</v>
      </c>
    </row>
    <row r="70" spans="2:5" ht="15">
      <c r="B70" s="140" t="s">
        <v>175</v>
      </c>
      <c r="C70" s="263">
        <f>C59-C69</f>
        <v>0</v>
      </c>
      <c r="D70" s="263">
        <f>D59-D69</f>
        <v>0</v>
      </c>
      <c r="E70" s="279" t="s">
        <v>42</v>
      </c>
    </row>
    <row r="71" spans="2:6" ht="15">
      <c r="B71" s="126" t="str">
        <f>CONCATENATE("",E1-2,"/",E1-1," Budget Authority Amount:")</f>
        <v>2010/2011 Budget Authority Amount:</v>
      </c>
      <c r="C71" s="234"/>
      <c r="D71" s="234">
        <f>inputPrYr!D22</f>
        <v>0</v>
      </c>
      <c r="E71" s="279" t="s">
        <v>42</v>
      </c>
      <c r="F71" s="269"/>
    </row>
    <row r="72" spans="2:6" ht="15">
      <c r="B72" s="126"/>
      <c r="C72" s="522" t="s">
        <v>490</v>
      </c>
      <c r="D72" s="523"/>
      <c r="E72" s="55"/>
      <c r="F72" s="269">
        <f>IF(E69/0.95-E69&lt;E72,"Exceeds 5%","")</f>
      </c>
    </row>
    <row r="73" spans="2:5" ht="15">
      <c r="B73" s="418"/>
      <c r="C73" s="524" t="s">
        <v>491</v>
      </c>
      <c r="D73" s="525"/>
      <c r="E73" s="221">
        <f>E69+E72</f>
        <v>0</v>
      </c>
    </row>
    <row r="74" spans="2:5" ht="15">
      <c r="B74" s="418" t="str">
        <f>CONCATENATE(C93,"     ",D93)</f>
        <v>     </v>
      </c>
      <c r="C74" s="270"/>
      <c r="D74" s="159" t="s">
        <v>68</v>
      </c>
      <c r="E74" s="70">
        <f>IF(E73-E59&gt;0,E73-E59,0)</f>
        <v>0</v>
      </c>
    </row>
    <row r="75" spans="2:5" ht="15">
      <c r="B75" s="159"/>
      <c r="C75" s="351" t="s">
        <v>489</v>
      </c>
      <c r="D75" s="352">
        <f>inputOth!$E$42</f>
        <v>0</v>
      </c>
      <c r="E75" s="221">
        <f>ROUND(IF(D75&gt;0,(E74*D75),0),0)</f>
        <v>0</v>
      </c>
    </row>
    <row r="76" spans="2:5" ht="15">
      <c r="B76" s="35"/>
      <c r="C76" s="526" t="str">
        <f>CONCATENATE("Amount of  ",$E$1-1," Ad Valorem Tax")</f>
        <v>Amount of  2011 Ad Valorem Tax</v>
      </c>
      <c r="D76" s="527"/>
      <c r="E76" s="284">
        <f>E74+E75</f>
        <v>0</v>
      </c>
    </row>
    <row r="77" spans="2:5" ht="15">
      <c r="B77" s="370" t="s">
        <v>70</v>
      </c>
      <c r="C77" s="274">
        <v>9</v>
      </c>
      <c r="D77" s="35"/>
      <c r="E77" s="35"/>
    </row>
    <row r="78" ht="15">
      <c r="B78" s="32"/>
    </row>
    <row r="90" spans="3:4" ht="15" hidden="1">
      <c r="C90" s="417">
        <f>IF(C32&gt;C34,"See Tab A","")</f>
      </c>
      <c r="D90" s="417">
        <f>IF(D30&gt;D34,"See Tab C","")</f>
      </c>
    </row>
    <row r="91" spans="3:4" ht="15" hidden="1">
      <c r="C91" s="417">
        <f>IF(C33&lt;0,"See Tab B","")</f>
      </c>
      <c r="D91" s="417">
        <f>IF(D33&lt;0,"See Tab D","")</f>
      </c>
    </row>
    <row r="92" spans="3:4" ht="15" hidden="1">
      <c r="C92" s="417">
        <f>IF(C67&gt;C71,"See Tab A","")</f>
      </c>
      <c r="D92" s="417">
        <f>IF(D67&gt;D71,"See Tab C","")</f>
      </c>
    </row>
    <row r="93" spans="3:4" ht="15" hidden="1">
      <c r="C93" s="417">
        <f>IF(C70&lt;0,"See Tab B","")</f>
      </c>
      <c r="D93" s="417">
        <f>IF(D70&lt;0,"See Tab D","")</f>
      </c>
    </row>
  </sheetData>
  <sheetProtection/>
  <mergeCells count="7">
    <mergeCell ref="C72:D72"/>
    <mergeCell ref="C73:D73"/>
    <mergeCell ref="C35:D35"/>
    <mergeCell ref="C36:D36"/>
    <mergeCell ref="C40:D40"/>
    <mergeCell ref="C76:D76"/>
    <mergeCell ref="C39:D39"/>
  </mergeCells>
  <conditionalFormatting sqref="E67">
    <cfRule type="cellIs" priority="3" dxfId="254" operator="greaterThan" stopIfTrue="1">
      <formula>$E$69*0.1</formula>
    </cfRule>
  </conditionalFormatting>
  <conditionalFormatting sqref="E72">
    <cfRule type="cellIs" priority="4" dxfId="254" operator="greaterThan" stopIfTrue="1">
      <formula>$E$69/0.95-$E$69</formula>
    </cfRule>
  </conditionalFormatting>
  <conditionalFormatting sqref="E30">
    <cfRule type="cellIs" priority="5" dxfId="254" operator="greaterThan" stopIfTrue="1">
      <formula>$E$32*0.1</formula>
    </cfRule>
  </conditionalFormatting>
  <conditionalFormatting sqref="E35">
    <cfRule type="cellIs" priority="6" dxfId="254" operator="greaterThan" stopIfTrue="1">
      <formula>$E$32/0.95-$E$32</formula>
    </cfRule>
  </conditionalFormatting>
  <conditionalFormatting sqref="C30">
    <cfRule type="cellIs" priority="7" dxfId="0" operator="greaterThan" stopIfTrue="1">
      <formula>$C$32*0.1</formula>
    </cfRule>
  </conditionalFormatting>
  <conditionalFormatting sqref="D30">
    <cfRule type="cellIs" priority="8" dxfId="0" operator="greaterThan" stopIfTrue="1">
      <formula>$D$32*0.1</formula>
    </cfRule>
  </conditionalFormatting>
  <conditionalFormatting sqref="D32">
    <cfRule type="cellIs" priority="9" dxfId="0" operator="greaterThan" stopIfTrue="1">
      <formula>$D$34</formula>
    </cfRule>
  </conditionalFormatting>
  <conditionalFormatting sqref="C32">
    <cfRule type="cellIs" priority="10" dxfId="0" operator="greaterThan" stopIfTrue="1">
      <formula>$C$34</formula>
    </cfRule>
  </conditionalFormatting>
  <conditionalFormatting sqref="C33 C70">
    <cfRule type="cellIs" priority="11" dxfId="0" operator="lessThan" stopIfTrue="1">
      <formula>0</formula>
    </cfRule>
  </conditionalFormatting>
  <conditionalFormatting sqref="C67">
    <cfRule type="cellIs" priority="12" dxfId="0" operator="greaterThan" stopIfTrue="1">
      <formula>$C$69*0.1</formula>
    </cfRule>
  </conditionalFormatting>
  <conditionalFormatting sqref="D67">
    <cfRule type="cellIs" priority="13" dxfId="0" operator="greaterThan" stopIfTrue="1">
      <formula>$D$69*0.1</formula>
    </cfRule>
  </conditionalFormatting>
  <conditionalFormatting sqref="D69">
    <cfRule type="cellIs" priority="14" dxfId="0" operator="greaterThan" stopIfTrue="1">
      <formula>$D$71</formula>
    </cfRule>
  </conditionalFormatting>
  <conditionalFormatting sqref="C69">
    <cfRule type="cellIs" priority="15" dxfId="0" operator="greaterThan" stopIfTrue="1">
      <formula>$C$71</formula>
    </cfRule>
  </conditionalFormatting>
  <conditionalFormatting sqref="D19">
    <cfRule type="cellIs" priority="16" dxfId="0" operator="greaterThan" stopIfTrue="1">
      <formula>$D$21*0.1</formula>
    </cfRule>
  </conditionalFormatting>
  <conditionalFormatting sqref="C19">
    <cfRule type="cellIs" priority="17" dxfId="0" operator="greaterThan" stopIfTrue="1">
      <formula>$C$21*0.1</formula>
    </cfRule>
  </conditionalFormatting>
  <conditionalFormatting sqref="D56">
    <cfRule type="cellIs" priority="18" dxfId="0" operator="greaterThan" stopIfTrue="1">
      <formula>$D$58*0.1</formula>
    </cfRule>
  </conditionalFormatting>
  <conditionalFormatting sqref="C56">
    <cfRule type="cellIs" priority="19" dxfId="0" operator="greaterThan" stopIfTrue="1">
      <formula>$C$58*0.1</formula>
    </cfRule>
  </conditionalFormatting>
  <conditionalFormatting sqref="E19">
    <cfRule type="cellIs" priority="20" dxfId="254" operator="greaterThan" stopIfTrue="1">
      <formula>$E$21*0.1+E39</formula>
    </cfRule>
  </conditionalFormatting>
  <conditionalFormatting sqref="E56">
    <cfRule type="cellIs" priority="21" dxfId="254" operator="greaterThan" stopIfTrue="1">
      <formula>$E$58*0.1+E76</formula>
    </cfRule>
  </conditionalFormatting>
  <conditionalFormatting sqref="D70 D33">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6">
      <selection activeCell="D46" sqref="D46"/>
    </sheetView>
  </sheetViews>
  <sheetFormatPr defaultColWidth="8.8984375" defaultRowHeight="15"/>
  <cols>
    <col min="1" max="1" width="2.3984375" style="33" customWidth="1"/>
    <col min="2" max="2" width="31.09765625" style="33" customWidth="1"/>
    <col min="3" max="4" width="15.69921875" style="33" customWidth="1"/>
    <col min="5" max="5" width="16.19921875" style="33" customWidth="1"/>
    <col min="6" max="16384" width="8.8984375" style="33" customWidth="1"/>
  </cols>
  <sheetData>
    <row r="1" spans="2:5" ht="15">
      <c r="B1" s="187" t="str">
        <f>(inputPrYr!D2)</f>
        <v>City of Ellsworth</v>
      </c>
      <c r="C1" s="35"/>
      <c r="D1" s="35"/>
      <c r="E1" s="241">
        <f>inputPrYr!C5</f>
        <v>2012</v>
      </c>
    </row>
    <row r="2" spans="2:5" ht="15">
      <c r="B2" s="35"/>
      <c r="C2" s="35"/>
      <c r="D2" s="35"/>
      <c r="E2" s="159"/>
    </row>
    <row r="3" spans="2:5" ht="15">
      <c r="B3" s="242" t="s">
        <v>120</v>
      </c>
      <c r="C3" s="283"/>
      <c r="D3" s="283"/>
      <c r="E3" s="283"/>
    </row>
    <row r="4" spans="2:5" ht="15">
      <c r="B4" s="40" t="s">
        <v>53</v>
      </c>
      <c r="C4" s="467" t="s">
        <v>73</v>
      </c>
      <c r="D4" s="466" t="s">
        <v>197</v>
      </c>
      <c r="E4" s="466" t="s">
        <v>198</v>
      </c>
    </row>
    <row r="5" spans="2:5" ht="15">
      <c r="B5" s="424" t="str">
        <f>(inputPrYr!B28)</f>
        <v>Special Highway</v>
      </c>
      <c r="C5" s="244">
        <f>E1-2</f>
        <v>2010</v>
      </c>
      <c r="D5" s="244">
        <f>E1-1</f>
        <v>2011</v>
      </c>
      <c r="E5" s="244">
        <f>E1</f>
        <v>2012</v>
      </c>
    </row>
    <row r="6" spans="2:5" ht="15">
      <c r="B6" s="245" t="s">
        <v>174</v>
      </c>
      <c r="C6" s="55">
        <v>50917</v>
      </c>
      <c r="D6" s="221">
        <f>C31</f>
        <v>32821</v>
      </c>
      <c r="E6" s="221">
        <f>D31</f>
        <v>28796</v>
      </c>
    </row>
    <row r="7" spans="2:5" ht="15">
      <c r="B7" s="249" t="s">
        <v>176</v>
      </c>
      <c r="C7" s="75"/>
      <c r="D7" s="75"/>
      <c r="E7" s="75"/>
    </row>
    <row r="8" spans="2:5" ht="15">
      <c r="B8" s="267" t="s">
        <v>154</v>
      </c>
      <c r="C8" s="55">
        <v>76198</v>
      </c>
      <c r="D8" s="285">
        <v>76000</v>
      </c>
      <c r="E8" s="221">
        <v>75000</v>
      </c>
    </row>
    <row r="9" spans="2:5" ht="15">
      <c r="B9" s="286" t="s">
        <v>216</v>
      </c>
      <c r="C9" s="55">
        <v>0</v>
      </c>
      <c r="D9" s="285">
        <f>inputOth!E48</f>
        <v>0</v>
      </c>
      <c r="E9" s="285">
        <f>inputOth!E46</f>
        <v>0</v>
      </c>
    </row>
    <row r="10" spans="2:5" ht="15">
      <c r="B10" s="266" t="s">
        <v>551</v>
      </c>
      <c r="C10" s="55">
        <v>240</v>
      </c>
      <c r="D10" s="55">
        <v>0</v>
      </c>
      <c r="E10" s="55">
        <v>0</v>
      </c>
    </row>
    <row r="11" spans="2:5" ht="15">
      <c r="B11" s="266"/>
      <c r="C11" s="55"/>
      <c r="D11" s="55"/>
      <c r="E11" s="55"/>
    </row>
    <row r="12" spans="2:5" ht="15">
      <c r="B12" s="266"/>
      <c r="C12" s="55"/>
      <c r="D12" s="55"/>
      <c r="E12" s="55"/>
    </row>
    <row r="13" spans="2:5" ht="15">
      <c r="B13" s="266"/>
      <c r="C13" s="55"/>
      <c r="D13" s="55"/>
      <c r="E13" s="55"/>
    </row>
    <row r="14" spans="2:5" ht="15">
      <c r="B14" s="254" t="s">
        <v>59</v>
      </c>
      <c r="C14" s="55">
        <v>381</v>
      </c>
      <c r="D14" s="55">
        <v>325</v>
      </c>
      <c r="E14" s="55">
        <v>300</v>
      </c>
    </row>
    <row r="15" spans="2:5" ht="15">
      <c r="B15" s="149" t="s">
        <v>12</v>
      </c>
      <c r="C15" s="55"/>
      <c r="D15" s="251"/>
      <c r="E15" s="251"/>
    </row>
    <row r="16" spans="2:5" ht="15">
      <c r="B16" s="245" t="s">
        <v>505</v>
      </c>
      <c r="C16" s="292">
        <f>IF(C17*0.1&lt;C15,"Exceed 10% Rule","")</f>
      </c>
      <c r="D16" s="256">
        <f>IF(D17*0.1&lt;D15,"Exceed 10% Rule","")</f>
      </c>
      <c r="E16" s="256">
        <f>IF(E17*0.1&lt;E15,"Exceed 10% Rule","")</f>
      </c>
    </row>
    <row r="17" spans="2:5" ht="15">
      <c r="B17" s="257" t="s">
        <v>60</v>
      </c>
      <c r="C17" s="260">
        <f>SUM(C8:C15)</f>
        <v>76819</v>
      </c>
      <c r="D17" s="260">
        <f>SUM(D8:D15)</f>
        <v>76325</v>
      </c>
      <c r="E17" s="260">
        <f>SUM(E8:E15)</f>
        <v>75300</v>
      </c>
    </row>
    <row r="18" spans="2:5" ht="15">
      <c r="B18" s="257" t="s">
        <v>61</v>
      </c>
      <c r="C18" s="260">
        <f>C6+C17</f>
        <v>127736</v>
      </c>
      <c r="D18" s="260">
        <f>D6+D17</f>
        <v>109146</v>
      </c>
      <c r="E18" s="260">
        <f>E6+E17</f>
        <v>104096</v>
      </c>
    </row>
    <row r="19" spans="2:5" ht="15">
      <c r="B19" s="140" t="s">
        <v>63</v>
      </c>
      <c r="C19" s="221"/>
      <c r="D19" s="221"/>
      <c r="E19" s="221"/>
    </row>
    <row r="20" spans="2:5" ht="15">
      <c r="B20" s="266" t="s">
        <v>586</v>
      </c>
      <c r="C20" s="55">
        <v>51830</v>
      </c>
      <c r="D20" s="55">
        <v>58000</v>
      </c>
      <c r="E20" s="55">
        <v>75563</v>
      </c>
    </row>
    <row r="21" spans="2:5" ht="15">
      <c r="B21" s="266" t="s">
        <v>65</v>
      </c>
      <c r="C21" s="55">
        <v>25085</v>
      </c>
      <c r="D21" s="55">
        <v>11500</v>
      </c>
      <c r="E21" s="55">
        <v>14560</v>
      </c>
    </row>
    <row r="22" spans="2:5" ht="15">
      <c r="B22" s="266" t="s">
        <v>591</v>
      </c>
      <c r="C22" s="55">
        <v>8000</v>
      </c>
      <c r="D22" s="55">
        <v>7000</v>
      </c>
      <c r="E22" s="55">
        <v>7000</v>
      </c>
    </row>
    <row r="23" spans="2:5" ht="15">
      <c r="B23" s="266" t="s">
        <v>568</v>
      </c>
      <c r="C23" s="55">
        <v>10000</v>
      </c>
      <c r="D23" s="55">
        <v>3850</v>
      </c>
      <c r="E23" s="55">
        <v>3850</v>
      </c>
    </row>
    <row r="24" spans="2:5" ht="15">
      <c r="B24" s="266"/>
      <c r="C24" s="55"/>
      <c r="D24" s="55"/>
      <c r="E24" s="55"/>
    </row>
    <row r="25" spans="2:5" ht="15">
      <c r="B25" s="266"/>
      <c r="C25" s="55"/>
      <c r="D25" s="55"/>
      <c r="E25" s="55"/>
    </row>
    <row r="26" spans="2:5" ht="15">
      <c r="B26" s="266"/>
      <c r="C26" s="55"/>
      <c r="D26" s="55"/>
      <c r="E26" s="55"/>
    </row>
    <row r="27" spans="2:5" ht="15">
      <c r="B27" s="266"/>
      <c r="C27" s="55"/>
      <c r="D27" s="55"/>
      <c r="E27" s="55"/>
    </row>
    <row r="28" spans="2:5" ht="15">
      <c r="B28" s="267" t="s">
        <v>12</v>
      </c>
      <c r="C28" s="55"/>
      <c r="D28" s="251"/>
      <c r="E28" s="251">
        <v>3123</v>
      </c>
    </row>
    <row r="29" spans="2:5" ht="15">
      <c r="B29" s="267" t="s">
        <v>506</v>
      </c>
      <c r="C29" s="292">
        <f>IF(C30*0.1&lt;C28,"Exceed 10% Rule","")</f>
      </c>
      <c r="D29" s="256">
        <f>IF(D30*0.1&lt;D28,"Exceed 10% Rule","")</f>
      </c>
      <c r="E29" s="256">
        <f>IF(E30*0.1&lt;E28,"Exceed 10% Rule","")</f>
      </c>
    </row>
    <row r="30" spans="2:5" ht="15">
      <c r="B30" s="257" t="s">
        <v>67</v>
      </c>
      <c r="C30" s="260">
        <f>SUM(C20:C28)</f>
        <v>94915</v>
      </c>
      <c r="D30" s="260">
        <f>SUM(D20:D28)</f>
        <v>80350</v>
      </c>
      <c r="E30" s="260">
        <f>SUM(E20:E28)</f>
        <v>104096</v>
      </c>
    </row>
    <row r="31" spans="2:5" ht="15">
      <c r="B31" s="140" t="s">
        <v>175</v>
      </c>
      <c r="C31" s="70">
        <f>C18-C30</f>
        <v>32821</v>
      </c>
      <c r="D31" s="70">
        <f>D18-D30</f>
        <v>28796</v>
      </c>
      <c r="E31" s="70">
        <f>E18-E30</f>
        <v>0</v>
      </c>
    </row>
    <row r="32" spans="2:5" ht="15">
      <c r="B32" s="126" t="str">
        <f>CONCATENATE("",E1-2,"/",E1-1," Budget Authority Amount:")</f>
        <v>2010/2011 Budget Authority Amount:</v>
      </c>
      <c r="C32" s="234">
        <f>inputOth!B59</f>
        <v>116665</v>
      </c>
      <c r="D32" s="234">
        <f>inputPrYr!D28</f>
        <v>110933</v>
      </c>
      <c r="E32" s="343">
        <f>IF(E31&lt;0,"See Tab E","")</f>
      </c>
    </row>
    <row r="33" spans="2:5" ht="15">
      <c r="B33" s="126"/>
      <c r="C33" s="270">
        <f>IF(C30&gt;C32,"See Tab A","")</f>
      </c>
      <c r="D33" s="270">
        <f>IF(D30&gt;D32,"See Tab C","")</f>
      </c>
      <c r="E33" s="85"/>
    </row>
    <row r="34" spans="2:5" ht="15">
      <c r="B34" s="126"/>
      <c r="C34" s="270">
        <f>IF(C31&lt;0,"See Tab B","")</f>
      </c>
      <c r="D34" s="270">
        <f>IF(D31&lt;0,"See Tab D","")</f>
      </c>
      <c r="E34" s="85"/>
    </row>
    <row r="35" spans="2:5" ht="15">
      <c r="B35" s="35"/>
      <c r="C35" s="85"/>
      <c r="D35" s="85"/>
      <c r="E35" s="85"/>
    </row>
    <row r="36" spans="2:5" ht="15">
      <c r="B36" s="40" t="s">
        <v>53</v>
      </c>
      <c r="C36" s="287"/>
      <c r="D36" s="287"/>
      <c r="E36" s="287"/>
    </row>
    <row r="37" spans="2:5" ht="15">
      <c r="B37" s="35"/>
      <c r="C37" s="467" t="s">
        <v>73</v>
      </c>
      <c r="D37" s="466" t="s">
        <v>197</v>
      </c>
      <c r="E37" s="466" t="s">
        <v>198</v>
      </c>
    </row>
    <row r="38" spans="2:5" ht="15">
      <c r="B38" s="424" t="str">
        <f>(inputPrYr!B29)</f>
        <v>Special Parks &amp; Recreation</v>
      </c>
      <c r="C38" s="244">
        <f>C5</f>
        <v>2010</v>
      </c>
      <c r="D38" s="244">
        <f>D5</f>
        <v>2011</v>
      </c>
      <c r="E38" s="244">
        <f>E5</f>
        <v>2012</v>
      </c>
    </row>
    <row r="39" spans="2:5" ht="15">
      <c r="B39" s="245" t="s">
        <v>174</v>
      </c>
      <c r="C39" s="55">
        <v>5058</v>
      </c>
      <c r="D39" s="221">
        <f>C62</f>
        <v>3237</v>
      </c>
      <c r="E39" s="221">
        <f>D62</f>
        <v>1939</v>
      </c>
    </row>
    <row r="40" spans="2:5" ht="15">
      <c r="B40" s="249" t="s">
        <v>176</v>
      </c>
      <c r="C40" s="75"/>
      <c r="D40" s="75"/>
      <c r="E40" s="75"/>
    </row>
    <row r="41" spans="2:5" ht="15">
      <c r="B41" s="266" t="s">
        <v>592</v>
      </c>
      <c r="C41" s="55">
        <v>2911</v>
      </c>
      <c r="D41" s="55">
        <v>3200</v>
      </c>
      <c r="E41" s="55">
        <v>3200</v>
      </c>
    </row>
    <row r="42" spans="2:5" ht="15">
      <c r="B42" s="266"/>
      <c r="C42" s="55"/>
      <c r="D42" s="55"/>
      <c r="E42" s="55"/>
    </row>
    <row r="43" spans="2:5" ht="15">
      <c r="B43" s="266"/>
      <c r="C43" s="55"/>
      <c r="D43" s="55"/>
      <c r="E43" s="55"/>
    </row>
    <row r="44" spans="2:5" ht="15">
      <c r="B44" s="266"/>
      <c r="C44" s="55"/>
      <c r="D44" s="55"/>
      <c r="E44" s="55"/>
    </row>
    <row r="45" spans="2:5" ht="15">
      <c r="B45" s="254" t="s">
        <v>59</v>
      </c>
      <c r="C45" s="55">
        <v>39</v>
      </c>
      <c r="D45" s="55">
        <v>12</v>
      </c>
      <c r="E45" s="55">
        <v>30</v>
      </c>
    </row>
    <row r="46" spans="2:5" ht="15">
      <c r="B46" s="149" t="s">
        <v>12</v>
      </c>
      <c r="C46" s="55">
        <v>250</v>
      </c>
      <c r="D46" s="251">
        <v>40</v>
      </c>
      <c r="E46" s="251">
        <v>50</v>
      </c>
    </row>
    <row r="47" spans="2:5" ht="15">
      <c r="B47" s="245" t="s">
        <v>505</v>
      </c>
      <c r="C47" s="292">
        <f>IF(C48*0.1&lt;C46,"Exceed 10% Rule","")</f>
      </c>
      <c r="D47" s="256">
        <f>IF(D48*0.1&lt;D46,"Exceed 10% Rule","")</f>
      </c>
      <c r="E47" s="256">
        <f>IF(E48*0.1&lt;E46,"Exceed 10% Rule","")</f>
      </c>
    </row>
    <row r="48" spans="2:5" ht="15">
      <c r="B48" s="257" t="s">
        <v>60</v>
      </c>
      <c r="C48" s="260">
        <f>SUM(C41:C46)</f>
        <v>3200</v>
      </c>
      <c r="D48" s="260">
        <f>SUM(D41:D46)</f>
        <v>3252</v>
      </c>
      <c r="E48" s="260">
        <f>SUM(E41:E46)</f>
        <v>3280</v>
      </c>
    </row>
    <row r="49" spans="2:5" ht="15">
      <c r="B49" s="257" t="s">
        <v>61</v>
      </c>
      <c r="C49" s="260">
        <f>C39+C48</f>
        <v>8258</v>
      </c>
      <c r="D49" s="260">
        <f>D39+D48</f>
        <v>6489</v>
      </c>
      <c r="E49" s="260">
        <f>E39+E48</f>
        <v>5219</v>
      </c>
    </row>
    <row r="50" spans="2:5" ht="15">
      <c r="B50" s="140" t="s">
        <v>63</v>
      </c>
      <c r="C50" s="221"/>
      <c r="D50" s="221"/>
      <c r="E50" s="221"/>
    </row>
    <row r="51" spans="2:5" ht="15">
      <c r="B51" s="266" t="s">
        <v>64</v>
      </c>
      <c r="C51" s="55">
        <v>3113</v>
      </c>
      <c r="D51" s="55">
        <v>3050</v>
      </c>
      <c r="E51" s="55">
        <v>3350</v>
      </c>
    </row>
    <row r="52" spans="2:5" ht="15">
      <c r="B52" s="266" t="s">
        <v>66</v>
      </c>
      <c r="C52" s="55">
        <v>1358</v>
      </c>
      <c r="D52" s="55">
        <v>1000</v>
      </c>
      <c r="E52" s="55">
        <v>1200</v>
      </c>
    </row>
    <row r="53" spans="2:5" ht="15">
      <c r="B53" s="266" t="s">
        <v>593</v>
      </c>
      <c r="C53" s="55">
        <v>550</v>
      </c>
      <c r="D53" s="55">
        <v>500</v>
      </c>
      <c r="E53" s="55">
        <v>500</v>
      </c>
    </row>
    <row r="54" spans="2:5" ht="15">
      <c r="B54" s="266"/>
      <c r="C54" s="55"/>
      <c r="D54" s="55"/>
      <c r="E54" s="55"/>
    </row>
    <row r="55" spans="2:5" ht="15">
      <c r="B55" s="266"/>
      <c r="C55" s="55"/>
      <c r="D55" s="55"/>
      <c r="E55" s="55"/>
    </row>
    <row r="56" spans="2:5" ht="15">
      <c r="B56" s="266"/>
      <c r="C56" s="55"/>
      <c r="D56" s="55"/>
      <c r="E56" s="55"/>
    </row>
    <row r="57" spans="2:5" ht="15">
      <c r="B57" s="266"/>
      <c r="C57" s="55"/>
      <c r="D57" s="55"/>
      <c r="E57" s="55"/>
    </row>
    <row r="58" spans="2:5" ht="15">
      <c r="B58" s="266"/>
      <c r="C58" s="55"/>
      <c r="D58" s="55"/>
      <c r="E58" s="55"/>
    </row>
    <row r="59" spans="2:5" ht="15">
      <c r="B59" s="267" t="s">
        <v>12</v>
      </c>
      <c r="C59" s="55"/>
      <c r="D59" s="251"/>
      <c r="E59" s="251">
        <v>169</v>
      </c>
    </row>
    <row r="60" spans="2:5" ht="15">
      <c r="B60" s="267" t="s">
        <v>506</v>
      </c>
      <c r="C60" s="292">
        <f>IF(C61*0.1&lt;C59,"Exceed 10% Rule","")</f>
      </c>
      <c r="D60" s="256">
        <f>IF(D61*0.1&lt;D59,"Exceed 10% Rule","")</f>
      </c>
      <c r="E60" s="256">
        <f>IF(E61*0.1&lt;E59,"Exceed 10% Rule","")</f>
      </c>
    </row>
    <row r="61" spans="2:5" ht="15">
      <c r="B61" s="257" t="s">
        <v>67</v>
      </c>
      <c r="C61" s="260">
        <f>SUM(C51:C59)</f>
        <v>5021</v>
      </c>
      <c r="D61" s="260">
        <f>SUM(D51:D59)</f>
        <v>4550</v>
      </c>
      <c r="E61" s="260">
        <f>SUM(E51:E59)</f>
        <v>5219</v>
      </c>
    </row>
    <row r="62" spans="2:5" ht="15">
      <c r="B62" s="140" t="s">
        <v>175</v>
      </c>
      <c r="C62" s="70">
        <f>C49-C61</f>
        <v>3237</v>
      </c>
      <c r="D62" s="70">
        <f>D49-D61</f>
        <v>1939</v>
      </c>
      <c r="E62" s="70">
        <f>E49-E61</f>
        <v>0</v>
      </c>
    </row>
    <row r="63" spans="2:5" ht="15">
      <c r="B63" s="126" t="str">
        <f>CONCATENATE("",E1-2,"/",E1-1," Budget Authority Amount:")</f>
        <v>2010/2011 Budget Authority Amount:</v>
      </c>
      <c r="C63" s="234">
        <f>inputOth!B60</f>
        <v>7608</v>
      </c>
      <c r="D63" s="234">
        <f>inputPrYr!D29</f>
        <v>7450</v>
      </c>
      <c r="E63" s="343">
        <f>IF(E62&lt;0,"See Tab E","")</f>
      </c>
    </row>
    <row r="64" spans="2:5" ht="15">
      <c r="B64" s="126"/>
      <c r="C64" s="270">
        <f>IF(C61&gt;C63,"See Tab A","")</f>
      </c>
      <c r="D64" s="270">
        <f>IF(D61&gt;D63,"See Tab C","")</f>
      </c>
      <c r="E64" s="35"/>
    </row>
    <row r="65" spans="2:5" ht="15">
      <c r="B65" s="126"/>
      <c r="C65" s="270">
        <f>IF(C62&lt;0,"See Tab B","")</f>
      </c>
      <c r="D65" s="270">
        <f>IF(D62&lt;0,"See Tab D","")</f>
      </c>
      <c r="E65" s="35"/>
    </row>
    <row r="66" spans="2:5" ht="15">
      <c r="B66" s="35"/>
      <c r="C66" s="35"/>
      <c r="D66" s="35"/>
      <c r="E66" s="35"/>
    </row>
    <row r="67" spans="2:5" ht="15">
      <c r="B67" s="370" t="s">
        <v>70</v>
      </c>
      <c r="C67" s="274">
        <v>10</v>
      </c>
      <c r="D67" s="35"/>
      <c r="E67" s="35"/>
    </row>
  </sheetData>
  <sheetProtection/>
  <conditionalFormatting sqref="C15">
    <cfRule type="cellIs" priority="3" dxfId="254" operator="greaterThan" stopIfTrue="1">
      <formula>$C$17*0.1</formula>
    </cfRule>
  </conditionalFormatting>
  <conditionalFormatting sqref="D15">
    <cfRule type="cellIs" priority="4" dxfId="254" operator="greaterThan" stopIfTrue="1">
      <formula>$D$17*0.1</formula>
    </cfRule>
  </conditionalFormatting>
  <conditionalFormatting sqref="E15">
    <cfRule type="cellIs" priority="5" dxfId="254" operator="greaterThan" stopIfTrue="1">
      <formula>$E$17*0.1</formula>
    </cfRule>
  </conditionalFormatting>
  <conditionalFormatting sqref="C28">
    <cfRule type="cellIs" priority="6" dxfId="254" operator="greaterThan" stopIfTrue="1">
      <formula>$C$30*0.1</formula>
    </cfRule>
  </conditionalFormatting>
  <conditionalFormatting sqref="D28">
    <cfRule type="cellIs" priority="7" dxfId="254" operator="greaterThan" stopIfTrue="1">
      <formula>$D$30*0.1</formula>
    </cfRule>
  </conditionalFormatting>
  <conditionalFormatting sqref="E28">
    <cfRule type="cellIs" priority="8" dxfId="254" operator="greaterThan" stopIfTrue="1">
      <formula>$E$30*0.1</formula>
    </cfRule>
  </conditionalFormatting>
  <conditionalFormatting sqref="C46">
    <cfRule type="cellIs" priority="9" dxfId="254" operator="greaterThan" stopIfTrue="1">
      <formula>$C$48*0.1</formula>
    </cfRule>
  </conditionalFormatting>
  <conditionalFormatting sqref="D46">
    <cfRule type="cellIs" priority="10" dxfId="254" operator="greaterThan" stopIfTrue="1">
      <formula>$D$48*0.1</formula>
    </cfRule>
  </conditionalFormatting>
  <conditionalFormatting sqref="E46">
    <cfRule type="cellIs" priority="11" dxfId="254" operator="greaterThan" stopIfTrue="1">
      <formula>$E$48*0.1</formula>
    </cfRule>
  </conditionalFormatting>
  <conditionalFormatting sqref="C59">
    <cfRule type="cellIs" priority="12" dxfId="254" operator="greaterThan" stopIfTrue="1">
      <formula>$C$61*0.1</formula>
    </cfRule>
  </conditionalFormatting>
  <conditionalFormatting sqref="D59">
    <cfRule type="cellIs" priority="13" dxfId="254" operator="greaterThan" stopIfTrue="1">
      <formula>$D$61*0.1</formula>
    </cfRule>
  </conditionalFormatting>
  <conditionalFormatting sqref="E59">
    <cfRule type="cellIs" priority="14" dxfId="254" operator="greaterThan" stopIfTrue="1">
      <formula>$E$61*0.1</formula>
    </cfRule>
  </conditionalFormatting>
  <conditionalFormatting sqref="D61">
    <cfRule type="cellIs" priority="15" dxfId="0" operator="greaterThan" stopIfTrue="1">
      <formula>$D$63</formula>
    </cfRule>
  </conditionalFormatting>
  <conditionalFormatting sqref="C61">
    <cfRule type="cellIs" priority="16" dxfId="0" operator="greaterThan" stopIfTrue="1">
      <formula>$C$63</formula>
    </cfRule>
  </conditionalFormatting>
  <conditionalFormatting sqref="C62 E62 C31 E31">
    <cfRule type="cellIs" priority="17" dxfId="0" operator="lessThan" stopIfTrue="1">
      <formula>0</formula>
    </cfRule>
  </conditionalFormatting>
  <conditionalFormatting sqref="D30">
    <cfRule type="cellIs" priority="18" dxfId="0" operator="greaterThan" stopIfTrue="1">
      <formula>$D$32</formula>
    </cfRule>
  </conditionalFormatting>
  <conditionalFormatting sqref="C30">
    <cfRule type="cellIs" priority="19" dxfId="0" operator="greaterThan" stopIfTrue="1">
      <formula>$C$32</formula>
    </cfRule>
  </conditionalFormatting>
  <conditionalFormatting sqref="D31">
    <cfRule type="cellIs" priority="2" dxfId="1" operator="lessThan" stopIfTrue="1">
      <formula>0</formula>
    </cfRule>
  </conditionalFormatting>
  <conditionalFormatting sqref="D62">
    <cfRule type="cellIs" priority="1" dxfId="1"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7">
      <selection activeCell="E44" sqref="E44"/>
    </sheetView>
  </sheetViews>
  <sheetFormatPr defaultColWidth="8.8984375" defaultRowHeight="15"/>
  <cols>
    <col min="1" max="1" width="2.3984375" style="33" customWidth="1"/>
    <col min="2" max="2" width="31.09765625" style="33" customWidth="1"/>
    <col min="3" max="4" width="15.69921875" style="33" customWidth="1"/>
    <col min="5" max="5" width="16.296875" style="33" customWidth="1"/>
    <col min="6" max="16384" width="8.8984375" style="33" customWidth="1"/>
  </cols>
  <sheetData>
    <row r="1" spans="2:5" ht="15">
      <c r="B1" s="187" t="str">
        <f>(inputPrYr!D2)</f>
        <v>City of Ellsworth</v>
      </c>
      <c r="C1" s="35"/>
      <c r="D1" s="35"/>
      <c r="E1" s="241">
        <f>inputPrYr!C5</f>
        <v>2012</v>
      </c>
    </row>
    <row r="2" spans="2:5" ht="15">
      <c r="B2" s="35"/>
      <c r="C2" s="35"/>
      <c r="D2" s="35"/>
      <c r="E2" s="159"/>
    </row>
    <row r="3" spans="2:5" ht="15">
      <c r="B3" s="242" t="s">
        <v>120</v>
      </c>
      <c r="C3" s="283"/>
      <c r="D3" s="283"/>
      <c r="E3" s="283"/>
    </row>
    <row r="4" spans="2:5" ht="15">
      <c r="B4" s="40" t="s">
        <v>53</v>
      </c>
      <c r="C4" s="467" t="s">
        <v>215</v>
      </c>
      <c r="D4" s="466" t="s">
        <v>197</v>
      </c>
      <c r="E4" s="466" t="s">
        <v>198</v>
      </c>
    </row>
    <row r="5" spans="2:5" ht="15">
      <c r="B5" s="424" t="str">
        <f>(inputPrYr!B30)</f>
        <v>Solid Waste</v>
      </c>
      <c r="C5" s="244">
        <f>E1-2</f>
        <v>2010</v>
      </c>
      <c r="D5" s="244">
        <f>E1-1</f>
        <v>2011</v>
      </c>
      <c r="E5" s="244">
        <f>E1</f>
        <v>2012</v>
      </c>
    </row>
    <row r="6" spans="2:5" ht="15">
      <c r="B6" s="245" t="s">
        <v>174</v>
      </c>
      <c r="C6" s="55">
        <v>8146</v>
      </c>
      <c r="D6" s="221">
        <f>C20</f>
        <v>8237</v>
      </c>
      <c r="E6" s="221">
        <f>D20</f>
        <v>6562</v>
      </c>
    </row>
    <row r="7" spans="2:5" ht="15">
      <c r="B7" s="249" t="s">
        <v>176</v>
      </c>
      <c r="C7" s="75"/>
      <c r="D7" s="75"/>
      <c r="E7" s="75"/>
    </row>
    <row r="8" spans="2:5" ht="15">
      <c r="B8" s="266" t="s">
        <v>594</v>
      </c>
      <c r="C8" s="55">
        <v>149416</v>
      </c>
      <c r="D8" s="55">
        <v>149000</v>
      </c>
      <c r="E8" s="55">
        <v>148500</v>
      </c>
    </row>
    <row r="9" spans="2:5" ht="15">
      <c r="B9" s="254" t="s">
        <v>59</v>
      </c>
      <c r="C9" s="55">
        <v>132</v>
      </c>
      <c r="D9" s="55">
        <v>125</v>
      </c>
      <c r="E9" s="55">
        <v>125</v>
      </c>
    </row>
    <row r="10" spans="2:5" ht="15">
      <c r="B10" s="149" t="s">
        <v>12</v>
      </c>
      <c r="C10" s="55"/>
      <c r="D10" s="251"/>
      <c r="E10" s="251"/>
    </row>
    <row r="11" spans="2:5" ht="15">
      <c r="B11" s="245" t="s">
        <v>505</v>
      </c>
      <c r="C11" s="292">
        <f>IF(C12*0.1&lt;C10,"Exceed 10% Rule","")</f>
      </c>
      <c r="D11" s="256">
        <f>IF(D12*0.1&lt;D10,"Exceed 10% Rule","")</f>
      </c>
      <c r="E11" s="256">
        <f>IF(E12*0.1&lt;E10,"Exceed 10% Rule","")</f>
      </c>
    </row>
    <row r="12" spans="2:5" ht="15">
      <c r="B12" s="257" t="s">
        <v>60</v>
      </c>
      <c r="C12" s="260">
        <f>SUM(C8:C10)</f>
        <v>149548</v>
      </c>
      <c r="D12" s="260">
        <f>SUM(D8:D10)</f>
        <v>149125</v>
      </c>
      <c r="E12" s="260">
        <f>SUM(E8:E10)</f>
        <v>148625</v>
      </c>
    </row>
    <row r="13" spans="2:5" ht="15">
      <c r="B13" s="257" t="s">
        <v>61</v>
      </c>
      <c r="C13" s="260">
        <f>C6+C12</f>
        <v>157694</v>
      </c>
      <c r="D13" s="260">
        <f>D6+D12</f>
        <v>157362</v>
      </c>
      <c r="E13" s="260">
        <f>E6+E12</f>
        <v>155187</v>
      </c>
    </row>
    <row r="14" spans="2:5" ht="15">
      <c r="B14" s="140" t="s">
        <v>63</v>
      </c>
      <c r="C14" s="221"/>
      <c r="D14" s="221"/>
      <c r="E14" s="221"/>
    </row>
    <row r="15" spans="2:5" ht="15">
      <c r="B15" s="266" t="s">
        <v>595</v>
      </c>
      <c r="C15" s="55">
        <v>143923</v>
      </c>
      <c r="D15" s="55">
        <v>145000</v>
      </c>
      <c r="E15" s="55">
        <v>144531</v>
      </c>
    </row>
    <row r="16" spans="2:5" ht="15">
      <c r="B16" s="266" t="s">
        <v>596</v>
      </c>
      <c r="C16" s="55">
        <v>5534</v>
      </c>
      <c r="D16" s="55">
        <v>5800</v>
      </c>
      <c r="E16" s="55">
        <v>6000</v>
      </c>
    </row>
    <row r="17" spans="2:5" ht="15">
      <c r="B17" s="267" t="s">
        <v>12</v>
      </c>
      <c r="C17" s="55">
        <v>0</v>
      </c>
      <c r="D17" s="251">
        <v>0</v>
      </c>
      <c r="E17" s="251">
        <v>4656</v>
      </c>
    </row>
    <row r="18" spans="2:5" ht="15">
      <c r="B18" s="267" t="s">
        <v>506</v>
      </c>
      <c r="C18" s="292">
        <f>IF(C19*0.1&lt;C17,"Exceed 10% Rule","")</f>
      </c>
      <c r="D18" s="256">
        <f>IF(D19*0.1&lt;D17,"Exceed 10% Rule","")</f>
      </c>
      <c r="E18" s="256">
        <f>IF(E19*0.1&lt;E17,"Exceed 10% Rule","")</f>
      </c>
    </row>
    <row r="19" spans="2:5" ht="15">
      <c r="B19" s="257" t="s">
        <v>67</v>
      </c>
      <c r="C19" s="260">
        <f>SUM(C15:C17)</f>
        <v>149457</v>
      </c>
      <c r="D19" s="260">
        <f>SUM(D15:D17)</f>
        <v>150800</v>
      </c>
      <c r="E19" s="260">
        <f>SUM(E15:E17)</f>
        <v>155187</v>
      </c>
    </row>
    <row r="20" spans="2:5" ht="15">
      <c r="B20" s="140" t="s">
        <v>175</v>
      </c>
      <c r="C20" s="70">
        <f>C13-C19</f>
        <v>8237</v>
      </c>
      <c r="D20" s="70">
        <f>D13-D19</f>
        <v>6562</v>
      </c>
      <c r="E20" s="70">
        <f>E13-E19</f>
        <v>0</v>
      </c>
    </row>
    <row r="21" spans="2:5" ht="15">
      <c r="B21" s="126" t="str">
        <f>CONCATENATE("",E1-2,"/",E1-1," Budget Authority Amount:")</f>
        <v>2010/2011 Budget Authority Amount:</v>
      </c>
      <c r="C21" s="234">
        <f>inputOth!B61</f>
        <v>154000</v>
      </c>
      <c r="D21" s="234">
        <f>inputPrYr!D30</f>
        <v>155701</v>
      </c>
      <c r="E21" s="343">
        <f>IF(E20&lt;0,"See Tab E","")</f>
      </c>
    </row>
    <row r="22" spans="2:5" ht="15">
      <c r="B22" s="126"/>
      <c r="C22" s="270">
        <f>IF(C19&gt;C21,"See Tab A","")</f>
      </c>
      <c r="D22" s="270">
        <f>IF(D19&gt;D21,"See Tab C","")</f>
      </c>
      <c r="E22" s="85"/>
    </row>
    <row r="23" spans="2:5" ht="15">
      <c r="B23" s="126"/>
      <c r="C23" s="270">
        <f>IF(C20&lt;0,"See Tab B","")</f>
      </c>
      <c r="D23" s="270">
        <f>IF(D20&lt;0,"See Tab D","")</f>
      </c>
      <c r="E23" s="85"/>
    </row>
    <row r="24" spans="2:5" ht="15">
      <c r="B24" s="35"/>
      <c r="C24" s="85"/>
      <c r="D24" s="85"/>
      <c r="E24" s="85"/>
    </row>
    <row r="25" spans="2:5" ht="15">
      <c r="B25" s="40" t="s">
        <v>53</v>
      </c>
      <c r="C25" s="287"/>
      <c r="D25" s="287"/>
      <c r="E25" s="287"/>
    </row>
    <row r="26" spans="2:5" ht="15">
      <c r="B26" s="35"/>
      <c r="C26" s="467" t="s">
        <v>73</v>
      </c>
      <c r="D26" s="466" t="s">
        <v>197</v>
      </c>
      <c r="E26" s="466" t="s">
        <v>198</v>
      </c>
    </row>
    <row r="27" spans="2:5" ht="15">
      <c r="B27" s="424" t="str">
        <f>(inputPrYr!B31)</f>
        <v>Capital Improvement</v>
      </c>
      <c r="C27" s="244">
        <f>C5</f>
        <v>2010</v>
      </c>
      <c r="D27" s="244">
        <f>D5</f>
        <v>2011</v>
      </c>
      <c r="E27" s="244">
        <f>E5</f>
        <v>2012</v>
      </c>
    </row>
    <row r="28" spans="2:5" ht="15">
      <c r="B28" s="245" t="s">
        <v>174</v>
      </c>
      <c r="C28" s="55">
        <v>224139</v>
      </c>
      <c r="D28" s="221">
        <f>C61</f>
        <v>150864</v>
      </c>
      <c r="E28" s="221">
        <f>D61</f>
        <v>294052</v>
      </c>
    </row>
    <row r="29" spans="2:5" ht="15">
      <c r="B29" s="249" t="s">
        <v>176</v>
      </c>
      <c r="C29" s="75"/>
      <c r="D29" s="75"/>
      <c r="E29" s="75"/>
    </row>
    <row r="30" spans="2:5" ht="15">
      <c r="B30" s="266" t="s">
        <v>544</v>
      </c>
      <c r="C30" s="55">
        <v>1891</v>
      </c>
      <c r="D30" s="55">
        <v>1800</v>
      </c>
      <c r="E30" s="55">
        <v>1800</v>
      </c>
    </row>
    <row r="31" spans="2:5" ht="15">
      <c r="B31" s="266" t="s">
        <v>604</v>
      </c>
      <c r="C31" s="55">
        <v>50</v>
      </c>
      <c r="D31" s="55">
        <v>0</v>
      </c>
      <c r="E31" s="55">
        <v>0</v>
      </c>
    </row>
    <row r="32" spans="2:5" ht="15">
      <c r="B32" s="266" t="s">
        <v>605</v>
      </c>
      <c r="C32" s="55">
        <v>1950</v>
      </c>
      <c r="D32" s="55">
        <v>500</v>
      </c>
      <c r="E32" s="55">
        <v>500</v>
      </c>
    </row>
    <row r="33" spans="2:5" ht="15">
      <c r="B33" s="266" t="s">
        <v>551</v>
      </c>
      <c r="C33" s="55">
        <v>161752</v>
      </c>
      <c r="D33" s="55">
        <v>200000</v>
      </c>
      <c r="E33" s="55">
        <v>321000</v>
      </c>
    </row>
    <row r="34" spans="2:5" ht="15">
      <c r="B34" s="266" t="s">
        <v>606</v>
      </c>
      <c r="C34" s="55">
        <v>106776</v>
      </c>
      <c r="D34" s="55">
        <v>186750</v>
      </c>
      <c r="E34" s="55">
        <v>195500</v>
      </c>
    </row>
    <row r="35" spans="2:5" ht="15">
      <c r="B35" s="266" t="s">
        <v>608</v>
      </c>
      <c r="C35" s="55">
        <v>8000</v>
      </c>
      <c r="D35" s="55">
        <v>7000</v>
      </c>
      <c r="E35" s="55">
        <v>7000</v>
      </c>
    </row>
    <row r="36" spans="2:5" ht="15">
      <c r="B36" s="266" t="s">
        <v>609</v>
      </c>
      <c r="C36" s="55">
        <v>32000</v>
      </c>
      <c r="D36" s="55">
        <v>50000</v>
      </c>
      <c r="E36" s="55">
        <v>85000</v>
      </c>
    </row>
    <row r="37" spans="2:5" ht="15">
      <c r="B37" s="266" t="s">
        <v>607</v>
      </c>
      <c r="C37" s="55">
        <v>14700</v>
      </c>
      <c r="D37" s="55">
        <v>23000</v>
      </c>
      <c r="E37" s="55">
        <v>13000</v>
      </c>
    </row>
    <row r="38" spans="2:5" ht="15">
      <c r="B38" s="254" t="s">
        <v>59</v>
      </c>
      <c r="C38" s="55">
        <v>2826</v>
      </c>
      <c r="D38" s="55">
        <v>3500</v>
      </c>
      <c r="E38" s="55">
        <v>4500</v>
      </c>
    </row>
    <row r="39" spans="2:5" ht="15">
      <c r="B39" s="149" t="s">
        <v>12</v>
      </c>
      <c r="C39" s="55">
        <v>1863</v>
      </c>
      <c r="D39" s="251">
        <v>1000</v>
      </c>
      <c r="E39" s="251">
        <v>1000</v>
      </c>
    </row>
    <row r="40" spans="2:5" ht="15">
      <c r="B40" s="245" t="s">
        <v>505</v>
      </c>
      <c r="C40" s="292">
        <f>IF(C41*0.1&lt;C39,"Exceed 10% Rule","")</f>
      </c>
      <c r="D40" s="256">
        <f>IF(D41*0.1&lt;D39,"Exceed 10% Rule","")</f>
      </c>
      <c r="E40" s="256">
        <f>IF(E41*0.1&lt;E39,"Exceed 10% Rule","")</f>
      </c>
    </row>
    <row r="41" spans="2:5" ht="15">
      <c r="B41" s="257" t="s">
        <v>60</v>
      </c>
      <c r="C41" s="260">
        <f>SUM(C30:C39)</f>
        <v>331808</v>
      </c>
      <c r="D41" s="260">
        <f>SUM(D30:D39)</f>
        <v>473550</v>
      </c>
      <c r="E41" s="260">
        <f>SUM(E30:E39)</f>
        <v>629300</v>
      </c>
    </row>
    <row r="42" spans="2:5" ht="15">
      <c r="B42" s="257" t="s">
        <v>61</v>
      </c>
      <c r="C42" s="260">
        <f>C28+C41</f>
        <v>555947</v>
      </c>
      <c r="D42" s="260">
        <f>D28+D41</f>
        <v>624414</v>
      </c>
      <c r="E42" s="260">
        <f>E28+E41</f>
        <v>923352</v>
      </c>
    </row>
    <row r="43" spans="2:5" ht="15">
      <c r="B43" s="140" t="s">
        <v>63</v>
      </c>
      <c r="C43" s="221"/>
      <c r="D43" s="221"/>
      <c r="E43" s="221"/>
    </row>
    <row r="44" spans="2:5" ht="15">
      <c r="B44" s="266" t="s">
        <v>66</v>
      </c>
      <c r="C44" s="55">
        <v>7329</v>
      </c>
      <c r="D44" s="55">
        <v>200</v>
      </c>
      <c r="E44" s="55">
        <v>36000</v>
      </c>
    </row>
    <row r="45" spans="2:5" ht="15">
      <c r="B45" s="266" t="s">
        <v>610</v>
      </c>
      <c r="C45" s="55">
        <v>51594</v>
      </c>
      <c r="D45" s="55">
        <v>4500</v>
      </c>
      <c r="E45" s="55">
        <v>20000</v>
      </c>
    </row>
    <row r="46" spans="2:5" ht="15">
      <c r="B46" s="266" t="s">
        <v>611</v>
      </c>
      <c r="C46" s="55">
        <v>107335</v>
      </c>
      <c r="D46" s="55">
        <v>1662</v>
      </c>
      <c r="E46" s="55">
        <v>0</v>
      </c>
    </row>
    <row r="47" spans="2:5" ht="15">
      <c r="B47" s="266" t="s">
        <v>612</v>
      </c>
      <c r="C47" s="55">
        <v>0</v>
      </c>
      <c r="D47" s="55">
        <v>34000</v>
      </c>
      <c r="E47" s="55">
        <v>15000</v>
      </c>
    </row>
    <row r="48" spans="2:5" ht="15">
      <c r="B48" s="266" t="s">
        <v>613</v>
      </c>
      <c r="C48" s="55">
        <v>0</v>
      </c>
      <c r="D48" s="55">
        <v>0</v>
      </c>
      <c r="E48" s="55">
        <v>1000</v>
      </c>
    </row>
    <row r="49" spans="2:5" ht="15">
      <c r="B49" s="266" t="s">
        <v>614</v>
      </c>
      <c r="C49" s="55">
        <v>0</v>
      </c>
      <c r="D49" s="55">
        <v>1000</v>
      </c>
      <c r="E49" s="55">
        <v>1000</v>
      </c>
    </row>
    <row r="50" spans="2:5" ht="15">
      <c r="B50" s="266" t="s">
        <v>615</v>
      </c>
      <c r="C50" s="55">
        <v>0</v>
      </c>
      <c r="D50" s="55">
        <v>68000</v>
      </c>
      <c r="E50" s="55">
        <v>435000</v>
      </c>
    </row>
    <row r="51" spans="2:5" ht="15">
      <c r="B51" s="266" t="s">
        <v>616</v>
      </c>
      <c r="C51" s="55">
        <v>0</v>
      </c>
      <c r="D51" s="55">
        <v>0</v>
      </c>
      <c r="E51" s="55">
        <v>2000</v>
      </c>
    </row>
    <row r="52" spans="2:5" ht="15">
      <c r="B52" s="266" t="s">
        <v>617</v>
      </c>
      <c r="C52" s="55">
        <v>0</v>
      </c>
      <c r="D52" s="55">
        <v>0</v>
      </c>
      <c r="E52" s="55">
        <v>1000</v>
      </c>
    </row>
    <row r="53" spans="2:5" ht="15">
      <c r="B53" s="266" t="s">
        <v>618</v>
      </c>
      <c r="C53" s="55">
        <v>133190</v>
      </c>
      <c r="D53" s="55">
        <v>180000</v>
      </c>
      <c r="E53" s="55">
        <v>275000</v>
      </c>
    </row>
    <row r="54" spans="2:5" ht="15">
      <c r="B54" s="266" t="s">
        <v>620</v>
      </c>
      <c r="C54" s="55">
        <v>363</v>
      </c>
      <c r="D54" s="55">
        <v>1000</v>
      </c>
      <c r="E54" s="55">
        <v>1000</v>
      </c>
    </row>
    <row r="55" spans="2:5" ht="15">
      <c r="B55" s="266" t="s">
        <v>619</v>
      </c>
      <c r="C55" s="55">
        <v>13600</v>
      </c>
      <c r="D55" s="55">
        <v>10000</v>
      </c>
      <c r="E55" s="55">
        <v>50000</v>
      </c>
    </row>
    <row r="56" spans="2:5" ht="15">
      <c r="B56" s="266" t="s">
        <v>621</v>
      </c>
      <c r="C56" s="55">
        <v>20216</v>
      </c>
      <c r="D56" s="55">
        <v>20000</v>
      </c>
      <c r="E56" s="55">
        <v>35000</v>
      </c>
    </row>
    <row r="57" spans="2:5" ht="15">
      <c r="B57" s="266" t="s">
        <v>622</v>
      </c>
      <c r="C57" s="55">
        <v>71456</v>
      </c>
      <c r="D57" s="55">
        <v>10000</v>
      </c>
      <c r="E57" s="55">
        <v>13000</v>
      </c>
    </row>
    <row r="58" spans="2:5" ht="15">
      <c r="B58" s="267" t="s">
        <v>12</v>
      </c>
      <c r="C58" s="55">
        <v>0</v>
      </c>
      <c r="D58" s="251">
        <v>0</v>
      </c>
      <c r="E58" s="251">
        <v>38352</v>
      </c>
    </row>
    <row r="59" spans="2:5" ht="15">
      <c r="B59" s="267" t="s">
        <v>506</v>
      </c>
      <c r="C59" s="292">
        <f>IF(C60*0.1&lt;C58,"Exceed 10% Rule","")</f>
      </c>
      <c r="D59" s="256">
        <f>IF(D60*0.1&lt;D58,"Exceed 10% Rule","")</f>
      </c>
      <c r="E59" s="256">
        <f>IF(E60*0.1&lt;E58,"Exceed 10% Rule","")</f>
      </c>
    </row>
    <row r="60" spans="2:5" ht="15">
      <c r="B60" s="257" t="s">
        <v>67</v>
      </c>
      <c r="C60" s="260">
        <f>SUM(C44:C58)</f>
        <v>405083</v>
      </c>
      <c r="D60" s="260">
        <f>SUM(D44:D58)</f>
        <v>330362</v>
      </c>
      <c r="E60" s="260">
        <f>SUM(E44:E58)</f>
        <v>923352</v>
      </c>
    </row>
    <row r="61" spans="2:5" ht="15">
      <c r="B61" s="140" t="s">
        <v>175</v>
      </c>
      <c r="C61" s="70">
        <f>C42-C60</f>
        <v>150864</v>
      </c>
      <c r="D61" s="70">
        <f>D42-D60</f>
        <v>294052</v>
      </c>
      <c r="E61" s="70">
        <f>E42-E60</f>
        <v>0</v>
      </c>
    </row>
    <row r="62" spans="2:5" ht="15">
      <c r="B62" s="126" t="str">
        <f>CONCATENATE("",E1-2,"/",E1-1," Budget Authority Amount:")</f>
        <v>2010/2011 Budget Authority Amount:</v>
      </c>
      <c r="C62" s="234">
        <f>inputOth!B62</f>
        <v>589011</v>
      </c>
      <c r="D62" s="234">
        <f>inputPrYr!D31</f>
        <v>645671</v>
      </c>
      <c r="E62" s="343">
        <f>IF(E61&lt;0,"See Tab E","")</f>
      </c>
    </row>
    <row r="63" spans="2:5" ht="15">
      <c r="B63" s="126"/>
      <c r="C63" s="270">
        <f>IF(C60&gt;C62,"See Tab A","")</f>
      </c>
      <c r="D63" s="270">
        <f>IF(D60&gt;D62,"See Tab C","")</f>
      </c>
      <c r="E63" s="35"/>
    </row>
    <row r="64" spans="2:5" ht="15">
      <c r="B64" s="126"/>
      <c r="C64" s="270">
        <f>IF(C61&lt;0,"See Tab B","")</f>
      </c>
      <c r="D64" s="270">
        <f>IF(D61&lt;0,"See Tab D","")</f>
      </c>
      <c r="E64" s="35"/>
    </row>
    <row r="65" spans="2:5" ht="15">
      <c r="B65" s="35"/>
      <c r="C65" s="35"/>
      <c r="D65" s="35"/>
      <c r="E65" s="35"/>
    </row>
    <row r="66" spans="2:5" ht="15">
      <c r="B66" s="370" t="s">
        <v>70</v>
      </c>
      <c r="C66" s="274">
        <v>11</v>
      </c>
      <c r="D66" s="35"/>
      <c r="E66" s="35"/>
    </row>
  </sheetData>
  <sheetProtection/>
  <conditionalFormatting sqref="C10">
    <cfRule type="cellIs" priority="3" dxfId="254" operator="greaterThan" stopIfTrue="1">
      <formula>$C$12*0.1</formula>
    </cfRule>
  </conditionalFormatting>
  <conditionalFormatting sqref="D10">
    <cfRule type="cellIs" priority="4" dxfId="254" operator="greaterThan" stopIfTrue="1">
      <formula>$D$12*0.1</formula>
    </cfRule>
  </conditionalFormatting>
  <conditionalFormatting sqref="E10">
    <cfRule type="cellIs" priority="5" dxfId="254" operator="greaterThan" stopIfTrue="1">
      <formula>$E$12*0.1</formula>
    </cfRule>
  </conditionalFormatting>
  <conditionalFormatting sqref="C17">
    <cfRule type="cellIs" priority="6" dxfId="254" operator="greaterThan" stopIfTrue="1">
      <formula>$C$19*0.1</formula>
    </cfRule>
  </conditionalFormatting>
  <conditionalFormatting sqref="D17">
    <cfRule type="cellIs" priority="7" dxfId="254" operator="greaterThan" stopIfTrue="1">
      <formula>$D$19*0.1</formula>
    </cfRule>
  </conditionalFormatting>
  <conditionalFormatting sqref="E17">
    <cfRule type="cellIs" priority="8" dxfId="254" operator="greaterThan" stopIfTrue="1">
      <formula>$E$19*0.1</formula>
    </cfRule>
  </conditionalFormatting>
  <conditionalFormatting sqref="C39">
    <cfRule type="cellIs" priority="9" dxfId="254" operator="greaterThan" stopIfTrue="1">
      <formula>$C$41*0.1</formula>
    </cfRule>
  </conditionalFormatting>
  <conditionalFormatting sqref="D39">
    <cfRule type="cellIs" priority="10" dxfId="254" operator="greaterThan" stopIfTrue="1">
      <formula>$D$41*0.1</formula>
    </cfRule>
  </conditionalFormatting>
  <conditionalFormatting sqref="E39">
    <cfRule type="cellIs" priority="11" dxfId="254" operator="greaterThan" stopIfTrue="1">
      <formula>$E$41*0.1</formula>
    </cfRule>
  </conditionalFormatting>
  <conditionalFormatting sqref="C58">
    <cfRule type="cellIs" priority="12" dxfId="254" operator="greaterThan" stopIfTrue="1">
      <formula>$C$60*0.1</formula>
    </cfRule>
  </conditionalFormatting>
  <conditionalFormatting sqref="D58">
    <cfRule type="cellIs" priority="13" dxfId="254" operator="greaterThan" stopIfTrue="1">
      <formula>$D$60*0.1</formula>
    </cfRule>
  </conditionalFormatting>
  <conditionalFormatting sqref="E58">
    <cfRule type="cellIs" priority="14" dxfId="254" operator="greaterThan" stopIfTrue="1">
      <formula>$E$60*0.1</formula>
    </cfRule>
  </conditionalFormatting>
  <conditionalFormatting sqref="D60">
    <cfRule type="cellIs" priority="15" dxfId="0" operator="greaterThan" stopIfTrue="1">
      <formula>$D$62</formula>
    </cfRule>
  </conditionalFormatting>
  <conditionalFormatting sqref="C60">
    <cfRule type="cellIs" priority="16" dxfId="0" operator="greaterThan" stopIfTrue="1">
      <formula>$C$62</formula>
    </cfRule>
  </conditionalFormatting>
  <conditionalFormatting sqref="C61 E61 C20 E20">
    <cfRule type="cellIs" priority="17" dxfId="0" operator="lessThan" stopIfTrue="1">
      <formula>0</formula>
    </cfRule>
  </conditionalFormatting>
  <conditionalFormatting sqref="D19">
    <cfRule type="cellIs" priority="18" dxfId="0" operator="greaterThan" stopIfTrue="1">
      <formula>$D$21</formula>
    </cfRule>
  </conditionalFormatting>
  <conditionalFormatting sqref="C19">
    <cfRule type="cellIs" priority="19" dxfId="0" operator="greaterThan" stopIfTrue="1">
      <formula>$C$21</formula>
    </cfRule>
  </conditionalFormatting>
  <conditionalFormatting sqref="D61 D20">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1">
      <selection activeCell="B15" sqref="B15"/>
    </sheetView>
  </sheetViews>
  <sheetFormatPr defaultColWidth="8.8984375" defaultRowHeight="15"/>
  <cols>
    <col min="1" max="1" width="2.3984375" style="33" customWidth="1"/>
    <col min="2" max="2" width="31.09765625" style="33" customWidth="1"/>
    <col min="3" max="4" width="15.69921875" style="33" customWidth="1"/>
    <col min="5" max="5" width="16.09765625" style="33" customWidth="1"/>
    <col min="6" max="16384" width="8.8984375" style="33" customWidth="1"/>
  </cols>
  <sheetData>
    <row r="1" spans="2:5" ht="15">
      <c r="B1" s="187" t="str">
        <f>(inputPrYr!D2)</f>
        <v>City of Ellsworth</v>
      </c>
      <c r="C1" s="35"/>
      <c r="D1" s="35"/>
      <c r="E1" s="241">
        <f>inputPrYr!C5</f>
        <v>2012</v>
      </c>
    </row>
    <row r="2" spans="2:5" ht="15">
      <c r="B2" s="35"/>
      <c r="C2" s="35"/>
      <c r="D2" s="35"/>
      <c r="E2" s="159"/>
    </row>
    <row r="3" spans="2:5" ht="15">
      <c r="B3" s="242" t="s">
        <v>120</v>
      </c>
      <c r="C3" s="283"/>
      <c r="D3" s="283"/>
      <c r="E3" s="283"/>
    </row>
    <row r="4" spans="2:5" ht="15">
      <c r="B4" s="40" t="s">
        <v>53</v>
      </c>
      <c r="C4" s="467" t="s">
        <v>73</v>
      </c>
      <c r="D4" s="466" t="s">
        <v>197</v>
      </c>
      <c r="E4" s="466" t="s">
        <v>198</v>
      </c>
    </row>
    <row r="5" spans="2:5" ht="15">
      <c r="B5" s="424" t="str">
        <f>(inputPrYr!B32)</f>
        <v>Municipal Equipment Reserve</v>
      </c>
      <c r="C5" s="244">
        <f>E1-2</f>
        <v>2010</v>
      </c>
      <c r="D5" s="244">
        <f>E1-1</f>
        <v>2011</v>
      </c>
      <c r="E5" s="244">
        <f>E1</f>
        <v>2012</v>
      </c>
    </row>
    <row r="6" spans="2:5" ht="15">
      <c r="B6" s="245" t="s">
        <v>174</v>
      </c>
      <c r="C6" s="55">
        <v>265989</v>
      </c>
      <c r="D6" s="221">
        <f>C35</f>
        <v>308146</v>
      </c>
      <c r="E6" s="221">
        <f>D35</f>
        <v>234679</v>
      </c>
    </row>
    <row r="7" spans="2:5" ht="15">
      <c r="B7" s="249" t="s">
        <v>176</v>
      </c>
      <c r="C7" s="75"/>
      <c r="D7" s="75"/>
      <c r="E7" s="75"/>
    </row>
    <row r="8" spans="2:5" ht="15">
      <c r="B8" s="266" t="s">
        <v>623</v>
      </c>
      <c r="C8" s="55">
        <v>6250</v>
      </c>
      <c r="D8" s="55">
        <v>150</v>
      </c>
      <c r="E8" s="55">
        <v>2000</v>
      </c>
    </row>
    <row r="9" spans="2:5" ht="15">
      <c r="B9" s="266" t="s">
        <v>624</v>
      </c>
      <c r="C9" s="55">
        <v>0</v>
      </c>
      <c r="D9" s="55">
        <v>50</v>
      </c>
      <c r="E9" s="55">
        <v>50</v>
      </c>
    </row>
    <row r="10" spans="2:5" ht="15">
      <c r="B10" s="266" t="s">
        <v>551</v>
      </c>
      <c r="C10" s="55">
        <v>2148</v>
      </c>
      <c r="D10" s="55">
        <v>2000</v>
      </c>
      <c r="E10" s="55">
        <v>1000</v>
      </c>
    </row>
    <row r="11" spans="2:5" ht="15">
      <c r="B11" s="266" t="s">
        <v>606</v>
      </c>
      <c r="C11" s="55">
        <v>117775</v>
      </c>
      <c r="D11" s="55">
        <v>35833</v>
      </c>
      <c r="E11" s="55">
        <v>29500</v>
      </c>
    </row>
    <row r="12" spans="2:5" ht="15">
      <c r="B12" s="266" t="s">
        <v>608</v>
      </c>
      <c r="C12" s="55">
        <v>10000</v>
      </c>
      <c r="D12" s="55">
        <v>3850</v>
      </c>
      <c r="E12" s="55">
        <v>3850</v>
      </c>
    </row>
    <row r="13" spans="2:5" ht="15">
      <c r="B13" s="266" t="s">
        <v>609</v>
      </c>
      <c r="C13" s="55">
        <v>77000</v>
      </c>
      <c r="D13" s="55">
        <v>89000</v>
      </c>
      <c r="E13" s="55">
        <v>36000</v>
      </c>
    </row>
    <row r="14" spans="2:5" ht="15">
      <c r="B14" s="266" t="s">
        <v>625</v>
      </c>
      <c r="C14" s="55">
        <v>10000</v>
      </c>
      <c r="D14" s="55">
        <v>8000</v>
      </c>
      <c r="E14" s="55">
        <v>4000</v>
      </c>
    </row>
    <row r="15" spans="2:5" ht="15">
      <c r="B15" s="254" t="s">
        <v>59</v>
      </c>
      <c r="C15" s="55">
        <v>2839</v>
      </c>
      <c r="D15" s="55">
        <v>2500</v>
      </c>
      <c r="E15" s="55">
        <v>2000</v>
      </c>
    </row>
    <row r="16" spans="2:5" ht="15">
      <c r="B16" s="149" t="s">
        <v>12</v>
      </c>
      <c r="C16" s="55">
        <v>650</v>
      </c>
      <c r="D16" s="251">
        <v>500</v>
      </c>
      <c r="E16" s="251">
        <v>2000</v>
      </c>
    </row>
    <row r="17" spans="2:5" ht="15">
      <c r="B17" s="245" t="s">
        <v>505</v>
      </c>
      <c r="C17" s="292">
        <f>IF(C18*0.1&lt;C16,"Exceed 10% Rule","")</f>
      </c>
      <c r="D17" s="256">
        <f>IF(D18*0.1&lt;D16,"Exceed 10% Rule","")</f>
      </c>
      <c r="E17" s="256">
        <f>IF(E18*0.1&lt;E16,"Exceed 10% Rule","")</f>
      </c>
    </row>
    <row r="18" spans="2:5" ht="15">
      <c r="B18" s="257" t="s">
        <v>60</v>
      </c>
      <c r="C18" s="260">
        <f>SUM(C8:C16)</f>
        <v>226662</v>
      </c>
      <c r="D18" s="260">
        <f>SUM(D8:D16)</f>
        <v>141883</v>
      </c>
      <c r="E18" s="260">
        <f>SUM(E8:E16)</f>
        <v>80400</v>
      </c>
    </row>
    <row r="19" spans="2:5" ht="15">
      <c r="B19" s="257" t="s">
        <v>61</v>
      </c>
      <c r="C19" s="260">
        <f>C6+C18</f>
        <v>492651</v>
      </c>
      <c r="D19" s="260">
        <f>D6+D18</f>
        <v>450029</v>
      </c>
      <c r="E19" s="260">
        <f>E6+E18</f>
        <v>315079</v>
      </c>
    </row>
    <row r="20" spans="2:5" ht="15">
      <c r="B20" s="140" t="s">
        <v>63</v>
      </c>
      <c r="C20" s="221"/>
      <c r="D20" s="221"/>
      <c r="E20" s="221"/>
    </row>
    <row r="21" spans="2:5" ht="15">
      <c r="B21" s="266" t="s">
        <v>66</v>
      </c>
      <c r="C21" s="55">
        <v>0</v>
      </c>
      <c r="D21" s="55">
        <v>0</v>
      </c>
      <c r="E21" s="55">
        <v>64000</v>
      </c>
    </row>
    <row r="22" spans="2:5" ht="15">
      <c r="B22" s="266" t="s">
        <v>611</v>
      </c>
      <c r="C22" s="55">
        <v>154069</v>
      </c>
      <c r="D22" s="55">
        <v>0</v>
      </c>
      <c r="E22" s="55">
        <v>0</v>
      </c>
    </row>
    <row r="23" spans="2:5" ht="15">
      <c r="B23" s="266" t="s">
        <v>626</v>
      </c>
      <c r="C23" s="55">
        <v>0</v>
      </c>
      <c r="D23" s="55">
        <v>5000</v>
      </c>
      <c r="E23" s="55">
        <v>5000</v>
      </c>
    </row>
    <row r="24" spans="2:5" ht="15">
      <c r="B24" s="266" t="s">
        <v>613</v>
      </c>
      <c r="C24" s="55">
        <v>0</v>
      </c>
      <c r="D24" s="55">
        <v>2500</v>
      </c>
      <c r="E24" s="55">
        <v>20000</v>
      </c>
    </row>
    <row r="25" spans="2:5" ht="15">
      <c r="B25" s="266" t="s">
        <v>614</v>
      </c>
      <c r="C25" s="55">
        <v>0</v>
      </c>
      <c r="D25" s="55">
        <v>7000</v>
      </c>
      <c r="E25" s="55">
        <v>50000</v>
      </c>
    </row>
    <row r="26" spans="2:5" ht="15">
      <c r="B26" s="266" t="s">
        <v>627</v>
      </c>
      <c r="C26" s="55">
        <v>0</v>
      </c>
      <c r="D26" s="55">
        <v>35000</v>
      </c>
      <c r="E26" s="55">
        <v>35000</v>
      </c>
    </row>
    <row r="27" spans="2:5" ht="15">
      <c r="B27" s="266" t="s">
        <v>629</v>
      </c>
      <c r="C27" s="55">
        <v>0</v>
      </c>
      <c r="D27" s="55">
        <v>59000</v>
      </c>
      <c r="E27" s="55">
        <v>20000</v>
      </c>
    </row>
    <row r="28" spans="2:5" ht="15">
      <c r="B28" s="266" t="s">
        <v>617</v>
      </c>
      <c r="C28" s="55">
        <v>3850</v>
      </c>
      <c r="D28" s="55">
        <v>3850</v>
      </c>
      <c r="E28" s="55">
        <v>3850</v>
      </c>
    </row>
    <row r="29" spans="2:5" ht="15">
      <c r="B29" s="266" t="s">
        <v>630</v>
      </c>
      <c r="C29" s="55">
        <v>4542</v>
      </c>
      <c r="D29" s="55">
        <v>85000</v>
      </c>
      <c r="E29" s="55">
        <v>85000</v>
      </c>
    </row>
    <row r="30" spans="2:5" ht="15">
      <c r="B30" s="266" t="s">
        <v>628</v>
      </c>
      <c r="C30" s="55">
        <v>0</v>
      </c>
      <c r="D30" s="55">
        <v>10000</v>
      </c>
      <c r="E30" s="55">
        <v>15000</v>
      </c>
    </row>
    <row r="31" spans="2:5" ht="15">
      <c r="B31" s="266" t="s">
        <v>631</v>
      </c>
      <c r="C31" s="55">
        <v>22044</v>
      </c>
      <c r="D31" s="55">
        <v>8000</v>
      </c>
      <c r="E31" s="55">
        <v>8000</v>
      </c>
    </row>
    <row r="32" spans="2:5" ht="15">
      <c r="B32" s="267" t="s">
        <v>12</v>
      </c>
      <c r="C32" s="55">
        <v>0</v>
      </c>
      <c r="D32" s="251">
        <v>0</v>
      </c>
      <c r="E32" s="251">
        <v>9229</v>
      </c>
    </row>
    <row r="33" spans="2:5" ht="15">
      <c r="B33" s="267" t="s">
        <v>506</v>
      </c>
      <c r="C33" s="292">
        <f>IF(C34*0.1&lt;C32,"Exceed 10% Rule","")</f>
      </c>
      <c r="D33" s="256">
        <f>IF(D34*0.1&lt;D32,"Exceed 10% Rule","")</f>
      </c>
      <c r="E33" s="256">
        <f>IF(E34*0.1&lt;E32,"Exceed 10% Rule","")</f>
      </c>
    </row>
    <row r="34" spans="2:5" ht="15">
      <c r="B34" s="257" t="s">
        <v>67</v>
      </c>
      <c r="C34" s="260">
        <f>SUM(C21:C32)</f>
        <v>184505</v>
      </c>
      <c r="D34" s="260">
        <f>SUM(D21:D32)</f>
        <v>215350</v>
      </c>
      <c r="E34" s="260">
        <f>SUM(E21:E32)</f>
        <v>315079</v>
      </c>
    </row>
    <row r="35" spans="2:5" ht="15">
      <c r="B35" s="140" t="s">
        <v>175</v>
      </c>
      <c r="C35" s="70">
        <f>C19-C34</f>
        <v>308146</v>
      </c>
      <c r="D35" s="70">
        <f>D19-D34</f>
        <v>234679</v>
      </c>
      <c r="E35" s="70">
        <f>E19-E34</f>
        <v>0</v>
      </c>
    </row>
    <row r="36" spans="2:5" ht="15">
      <c r="B36" s="126" t="str">
        <f>CONCATENATE("",E1-2,"/",E1-1," Budget Authority Amount:")</f>
        <v>2010/2011 Budget Authority Amount:</v>
      </c>
      <c r="C36" s="234">
        <f>inputOth!B63</f>
        <v>393268</v>
      </c>
      <c r="D36" s="234">
        <f>inputPrYr!D32</f>
        <v>489321</v>
      </c>
      <c r="E36" s="343">
        <f>IF(E35&lt;0,"See Tab E","")</f>
      </c>
    </row>
    <row r="37" spans="2:5" ht="15">
      <c r="B37" s="126"/>
      <c r="C37" s="270">
        <f>IF(C34&gt;C36,"See Tab A","")</f>
      </c>
      <c r="D37" s="270">
        <f>IF(D34&gt;D36,"See Tab C","")</f>
      </c>
      <c r="E37" s="85"/>
    </row>
    <row r="38" spans="2:5" ht="15">
      <c r="B38" s="126"/>
      <c r="C38" s="270">
        <f>IF(C35&lt;0,"See Tab B","")</f>
      </c>
      <c r="D38" s="270">
        <f>IF(D35&lt;0,"See Tab D","")</f>
      </c>
      <c r="E38" s="85"/>
    </row>
    <row r="39" spans="2:5" ht="15">
      <c r="B39" s="35"/>
      <c r="C39" s="85"/>
      <c r="D39" s="85"/>
      <c r="E39" s="85"/>
    </row>
    <row r="40" spans="2:5" ht="15">
      <c r="B40" s="40" t="s">
        <v>53</v>
      </c>
      <c r="C40" s="287"/>
      <c r="D40" s="287"/>
      <c r="E40" s="287"/>
    </row>
    <row r="41" spans="2:5" ht="15">
      <c r="B41" s="35"/>
      <c r="C41" s="467" t="s">
        <v>73</v>
      </c>
      <c r="D41" s="466" t="s">
        <v>197</v>
      </c>
      <c r="E41" s="466" t="s">
        <v>198</v>
      </c>
    </row>
    <row r="42" spans="2:5" ht="15">
      <c r="B42" s="424" t="str">
        <f>(inputPrYr!B33)</f>
        <v>Tourism &amp; Convention</v>
      </c>
      <c r="C42" s="244">
        <f>C5</f>
        <v>2010</v>
      </c>
      <c r="D42" s="244">
        <f>D5</f>
        <v>2011</v>
      </c>
      <c r="E42" s="244">
        <f>E5</f>
        <v>2012</v>
      </c>
    </row>
    <row r="43" spans="2:5" ht="15">
      <c r="B43" s="245" t="s">
        <v>174</v>
      </c>
      <c r="C43" s="55">
        <v>12815</v>
      </c>
      <c r="D43" s="221">
        <f>C59</f>
        <v>13072</v>
      </c>
      <c r="E43" s="221">
        <f>D59</f>
        <v>14085</v>
      </c>
    </row>
    <row r="44" spans="2:5" ht="15">
      <c r="B44" s="249" t="s">
        <v>176</v>
      </c>
      <c r="C44" s="75"/>
      <c r="D44" s="75"/>
      <c r="E44" s="75"/>
    </row>
    <row r="45" spans="2:5" ht="15">
      <c r="B45" s="266" t="s">
        <v>597</v>
      </c>
      <c r="C45" s="55">
        <v>13165</v>
      </c>
      <c r="D45" s="55">
        <v>14000</v>
      </c>
      <c r="E45" s="55">
        <v>14000</v>
      </c>
    </row>
    <row r="46" spans="2:5" ht="15">
      <c r="B46" s="254" t="s">
        <v>59</v>
      </c>
      <c r="C46" s="55">
        <v>92</v>
      </c>
      <c r="D46" s="55">
        <v>85</v>
      </c>
      <c r="E46" s="55">
        <v>85</v>
      </c>
    </row>
    <row r="47" spans="2:5" ht="15">
      <c r="B47" s="149" t="s">
        <v>12</v>
      </c>
      <c r="C47" s="55"/>
      <c r="D47" s="251"/>
      <c r="E47" s="251"/>
    </row>
    <row r="48" spans="2:5" ht="15">
      <c r="B48" s="245" t="s">
        <v>505</v>
      </c>
      <c r="C48" s="292">
        <f>IF(C49*0.1&lt;C47,"Exceed 10% Rule","")</f>
      </c>
      <c r="D48" s="256">
        <f>IF(D49*0.1&lt;D47,"Exceed 10% Rule","")</f>
      </c>
      <c r="E48" s="256">
        <f>IF(E49*0.1&lt;E47,"Exceed 10% Rule","")</f>
      </c>
    </row>
    <row r="49" spans="2:5" ht="15">
      <c r="B49" s="257" t="s">
        <v>60</v>
      </c>
      <c r="C49" s="260">
        <f>SUM(C45:C47)</f>
        <v>13257</v>
      </c>
      <c r="D49" s="260">
        <f>SUM(D45:D47)</f>
        <v>14085</v>
      </c>
      <c r="E49" s="260">
        <f>SUM(E45:E47)</f>
        <v>14085</v>
      </c>
    </row>
    <row r="50" spans="2:5" ht="15">
      <c r="B50" s="257" t="s">
        <v>61</v>
      </c>
      <c r="C50" s="260">
        <f>C43+C49</f>
        <v>26072</v>
      </c>
      <c r="D50" s="260">
        <f>D43+D49</f>
        <v>27157</v>
      </c>
      <c r="E50" s="260">
        <f>E43+E49</f>
        <v>28170</v>
      </c>
    </row>
    <row r="51" spans="2:5" ht="15">
      <c r="B51" s="140" t="s">
        <v>63</v>
      </c>
      <c r="C51" s="221"/>
      <c r="D51" s="221"/>
      <c r="E51" s="221"/>
    </row>
    <row r="52" spans="2:5" ht="15">
      <c r="B52" s="266" t="s">
        <v>598</v>
      </c>
      <c r="C52" s="55">
        <v>6250</v>
      </c>
      <c r="D52" s="55">
        <v>5900</v>
      </c>
      <c r="E52" s="55">
        <v>11000</v>
      </c>
    </row>
    <row r="53" spans="2:5" ht="15">
      <c r="B53" s="266" t="s">
        <v>599</v>
      </c>
      <c r="C53" s="55">
        <v>4250</v>
      </c>
      <c r="D53" s="55">
        <v>2500</v>
      </c>
      <c r="E53" s="55">
        <v>11000</v>
      </c>
    </row>
    <row r="54" spans="2:5" ht="15">
      <c r="B54" s="266" t="s">
        <v>600</v>
      </c>
      <c r="C54" s="55">
        <v>0</v>
      </c>
      <c r="D54" s="55">
        <v>0</v>
      </c>
      <c r="E54" s="55">
        <v>400</v>
      </c>
    </row>
    <row r="55" spans="2:5" ht="15">
      <c r="B55" s="266" t="s">
        <v>601</v>
      </c>
      <c r="C55" s="55">
        <v>2500</v>
      </c>
      <c r="D55" s="55">
        <v>4672</v>
      </c>
      <c r="E55" s="55">
        <v>5000</v>
      </c>
    </row>
    <row r="56" spans="2:5" ht="15">
      <c r="B56" s="267" t="s">
        <v>12</v>
      </c>
      <c r="C56" s="55"/>
      <c r="D56" s="251"/>
      <c r="E56" s="251">
        <v>770</v>
      </c>
    </row>
    <row r="57" spans="2:5" ht="15">
      <c r="B57" s="288" t="s">
        <v>506</v>
      </c>
      <c r="C57" s="292">
        <f>IF(C58*0.1&lt;C56,"Exceed 10% Rule","")</f>
      </c>
      <c r="D57" s="256">
        <f>IF(D58*0.1&lt;D56,"Exceed 10% Rule","")</f>
      </c>
      <c r="E57" s="256">
        <f>IF(E58*0.1&lt;E56,"Exceed 10% Rule","")</f>
      </c>
    </row>
    <row r="58" spans="2:5" ht="15">
      <c r="B58" s="257" t="s">
        <v>67</v>
      </c>
      <c r="C58" s="260">
        <f>SUM(C52:C56)</f>
        <v>13000</v>
      </c>
      <c r="D58" s="260">
        <f>SUM(D52:D56)</f>
        <v>13072</v>
      </c>
      <c r="E58" s="260">
        <f>SUM(E52:E56)</f>
        <v>28170</v>
      </c>
    </row>
    <row r="59" spans="2:5" ht="15">
      <c r="B59" s="140" t="s">
        <v>175</v>
      </c>
      <c r="C59" s="70">
        <f>C50-C58</f>
        <v>13072</v>
      </c>
      <c r="D59" s="70">
        <f>D50-D58</f>
        <v>14085</v>
      </c>
      <c r="E59" s="70">
        <f>E50-E58</f>
        <v>0</v>
      </c>
    </row>
    <row r="60" spans="2:5" ht="15">
      <c r="B60" s="126" t="str">
        <f>CONCATENATE("",E1-2,"/",E1-1," Budget Authority Amount:")</f>
        <v>2010/2011 Budget Authority Amount:</v>
      </c>
      <c r="C60" s="234">
        <f>inputOth!B64</f>
        <v>16676</v>
      </c>
      <c r="D60" s="234">
        <f>inputPrYr!D33</f>
        <v>22235</v>
      </c>
      <c r="E60" s="343">
        <f>IF(E59&lt;0,"See Tab E","")</f>
      </c>
    </row>
    <row r="61" spans="2:5" ht="15">
      <c r="B61" s="126"/>
      <c r="C61" s="270">
        <f>IF(C58&gt;C60,"See Tab A","")</f>
      </c>
      <c r="D61" s="270">
        <f>IF(D58&gt;D60,"See Tab C","")</f>
      </c>
      <c r="E61" s="35"/>
    </row>
    <row r="62" spans="2:5" ht="15">
      <c r="B62" s="126"/>
      <c r="C62" s="270">
        <f>IF(C59&lt;0,"See Tab B","")</f>
      </c>
      <c r="D62" s="270">
        <f>IF(D59&lt;0,"See Tab D","")</f>
      </c>
      <c r="E62" s="35"/>
    </row>
    <row r="63" spans="2:5" ht="15">
      <c r="B63" s="35"/>
      <c r="C63" s="35"/>
      <c r="D63" s="35"/>
      <c r="E63" s="35"/>
    </row>
    <row r="64" spans="2:5" ht="15">
      <c r="B64" s="370" t="s">
        <v>70</v>
      </c>
      <c r="C64" s="274">
        <v>12</v>
      </c>
      <c r="D64" s="35"/>
      <c r="E64" s="35"/>
    </row>
  </sheetData>
  <sheetProtection/>
  <conditionalFormatting sqref="C16">
    <cfRule type="cellIs" priority="3" dxfId="254" operator="greaterThan" stopIfTrue="1">
      <formula>$C$18*0.1</formula>
    </cfRule>
  </conditionalFormatting>
  <conditionalFormatting sqref="D16">
    <cfRule type="cellIs" priority="4" dxfId="254" operator="greaterThan" stopIfTrue="1">
      <formula>$D$18*0.1</formula>
    </cfRule>
  </conditionalFormatting>
  <conditionalFormatting sqref="E16">
    <cfRule type="cellIs" priority="5" dxfId="254" operator="greaterThan" stopIfTrue="1">
      <formula>$E$18*0.1</formula>
    </cfRule>
  </conditionalFormatting>
  <conditionalFormatting sqref="C32">
    <cfRule type="cellIs" priority="6" dxfId="254" operator="greaterThan" stopIfTrue="1">
      <formula>$C$34*0.1</formula>
    </cfRule>
  </conditionalFormatting>
  <conditionalFormatting sqref="D32">
    <cfRule type="cellIs" priority="7" dxfId="254" operator="greaterThan" stopIfTrue="1">
      <formula>$D$34*0.1</formula>
    </cfRule>
  </conditionalFormatting>
  <conditionalFormatting sqref="E32">
    <cfRule type="cellIs" priority="8" dxfId="254" operator="greaterThan" stopIfTrue="1">
      <formula>$E$34*0.1</formula>
    </cfRule>
  </conditionalFormatting>
  <conditionalFormatting sqref="C47">
    <cfRule type="cellIs" priority="9" dxfId="254" operator="greaterThan" stopIfTrue="1">
      <formula>$C$49*0.1</formula>
    </cfRule>
  </conditionalFormatting>
  <conditionalFormatting sqref="D47">
    <cfRule type="cellIs" priority="10" dxfId="254" operator="greaterThan" stopIfTrue="1">
      <formula>$D$49*0.1</formula>
    </cfRule>
  </conditionalFormatting>
  <conditionalFormatting sqref="E47">
    <cfRule type="cellIs" priority="11" dxfId="254" operator="greaterThan" stopIfTrue="1">
      <formula>$E$49*0.1</formula>
    </cfRule>
  </conditionalFormatting>
  <conditionalFormatting sqref="C56">
    <cfRule type="cellIs" priority="12" dxfId="254" operator="greaterThan" stopIfTrue="1">
      <formula>$C$58*0.1</formula>
    </cfRule>
  </conditionalFormatting>
  <conditionalFormatting sqref="D56">
    <cfRule type="cellIs" priority="13" dxfId="254" operator="greaterThan" stopIfTrue="1">
      <formula>$D$58*0.1</formula>
    </cfRule>
  </conditionalFormatting>
  <conditionalFormatting sqref="E56">
    <cfRule type="cellIs" priority="14" dxfId="254" operator="greaterThan" stopIfTrue="1">
      <formula>$E$58*0.1</formula>
    </cfRule>
  </conditionalFormatting>
  <conditionalFormatting sqref="D58">
    <cfRule type="cellIs" priority="15" dxfId="0" operator="greaterThan" stopIfTrue="1">
      <formula>$D$60</formula>
    </cfRule>
  </conditionalFormatting>
  <conditionalFormatting sqref="C58">
    <cfRule type="cellIs" priority="16" dxfId="0" operator="greaterThan" stopIfTrue="1">
      <formula>$C$60</formula>
    </cfRule>
  </conditionalFormatting>
  <conditionalFormatting sqref="C59 E59 C35 E35">
    <cfRule type="cellIs" priority="17" dxfId="0" operator="lessThan" stopIfTrue="1">
      <formula>0</formula>
    </cfRule>
  </conditionalFormatting>
  <conditionalFormatting sqref="D34">
    <cfRule type="cellIs" priority="18" dxfId="0" operator="greaterThan" stopIfTrue="1">
      <formula>$D$36</formula>
    </cfRule>
  </conditionalFormatting>
  <conditionalFormatting sqref="C34">
    <cfRule type="cellIs" priority="19" dxfId="0" operator="greaterThan" stopIfTrue="1">
      <formula>$C$36</formula>
    </cfRule>
  </conditionalFormatting>
  <conditionalFormatting sqref="D59 D35">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4" sqref="B4"/>
    </sheetView>
  </sheetViews>
  <sheetFormatPr defaultColWidth="8.8984375" defaultRowHeight="15"/>
  <cols>
    <col min="1" max="1" width="2.3984375" style="33" customWidth="1"/>
    <col min="2" max="2" width="31.09765625" style="33" customWidth="1"/>
    <col min="3" max="4" width="15.69921875" style="33" customWidth="1"/>
    <col min="5" max="5" width="16.19921875" style="33" customWidth="1"/>
    <col min="6" max="16384" width="8.8984375" style="33" customWidth="1"/>
  </cols>
  <sheetData>
    <row r="1" spans="2:5" ht="15">
      <c r="B1" s="187" t="str">
        <f>(inputPrYr!D2)</f>
        <v>City of Ellsworth</v>
      </c>
      <c r="C1" s="35"/>
      <c r="D1" s="35"/>
      <c r="E1" s="241">
        <f>inputPrYr!C5</f>
        <v>2012</v>
      </c>
    </row>
    <row r="2" spans="2:5" ht="15">
      <c r="B2" s="35"/>
      <c r="C2" s="35"/>
      <c r="D2" s="35"/>
      <c r="E2" s="159"/>
    </row>
    <row r="3" spans="2:5" ht="15">
      <c r="B3" s="242" t="s">
        <v>120</v>
      </c>
      <c r="C3" s="283"/>
      <c r="D3" s="283"/>
      <c r="E3" s="283"/>
    </row>
    <row r="4" spans="2:5" ht="15">
      <c r="B4" s="40" t="s">
        <v>53</v>
      </c>
      <c r="C4" s="467" t="s">
        <v>73</v>
      </c>
      <c r="D4" s="466" t="s">
        <v>197</v>
      </c>
      <c r="E4" s="466" t="s">
        <v>198</v>
      </c>
    </row>
    <row r="5" spans="2:5" ht="15">
      <c r="B5" s="424" t="str">
        <f>inputPrYr!B34</f>
        <v>Transportation District</v>
      </c>
      <c r="C5" s="244">
        <f>E1-2</f>
        <v>2010</v>
      </c>
      <c r="D5" s="244">
        <f>E1-1</f>
        <v>2011</v>
      </c>
      <c r="E5" s="244">
        <f>E1</f>
        <v>2012</v>
      </c>
    </row>
    <row r="6" spans="2:5" ht="15">
      <c r="B6" s="245" t="s">
        <v>174</v>
      </c>
      <c r="C6" s="55">
        <v>35912</v>
      </c>
      <c r="D6" s="221">
        <f>C29</f>
        <v>0</v>
      </c>
      <c r="E6" s="221">
        <f>D29</f>
        <v>0</v>
      </c>
    </row>
    <row r="7" spans="2:5" ht="15">
      <c r="B7" s="249" t="s">
        <v>176</v>
      </c>
      <c r="C7" s="75"/>
      <c r="D7" s="75"/>
      <c r="E7" s="75"/>
    </row>
    <row r="8" spans="2:5" ht="15">
      <c r="B8" s="266" t="s">
        <v>602</v>
      </c>
      <c r="C8" s="55">
        <v>92314</v>
      </c>
      <c r="D8" s="55">
        <v>120000</v>
      </c>
      <c r="E8" s="55">
        <v>120000</v>
      </c>
    </row>
    <row r="9" spans="2:5" ht="15">
      <c r="B9" s="266"/>
      <c r="C9" s="55"/>
      <c r="D9" s="55"/>
      <c r="E9" s="55"/>
    </row>
    <row r="10" spans="2:5" ht="15">
      <c r="B10" s="266"/>
      <c r="C10" s="55"/>
      <c r="D10" s="55"/>
      <c r="E10" s="55"/>
    </row>
    <row r="11" spans="2:5" ht="15">
      <c r="B11" s="266"/>
      <c r="C11" s="55"/>
      <c r="D11" s="55"/>
      <c r="E11" s="55"/>
    </row>
    <row r="12" spans="2:5" ht="15">
      <c r="B12" s="254" t="s">
        <v>59</v>
      </c>
      <c r="C12" s="55">
        <v>117</v>
      </c>
      <c r="D12" s="55"/>
      <c r="E12" s="55"/>
    </row>
    <row r="13" spans="2:5" ht="15">
      <c r="B13" s="149" t="s">
        <v>12</v>
      </c>
      <c r="C13" s="55"/>
      <c r="D13" s="251"/>
      <c r="E13" s="251"/>
    </row>
    <row r="14" spans="2:5" ht="15">
      <c r="B14" s="245" t="s">
        <v>505</v>
      </c>
      <c r="C14" s="292">
        <f>IF(C15*0.1&lt;C13,"Exceed 10% Rule","")</f>
      </c>
      <c r="D14" s="256">
        <f>IF(D15*0.1&lt;D13,"Exceed 10% Rule","")</f>
      </c>
      <c r="E14" s="256">
        <f>IF(E15*0.1&lt;E13,"Exceed 10% Rule","")</f>
      </c>
    </row>
    <row r="15" spans="2:5" ht="15">
      <c r="B15" s="257" t="s">
        <v>60</v>
      </c>
      <c r="C15" s="260">
        <f>SUM(C8:C13)</f>
        <v>92431</v>
      </c>
      <c r="D15" s="260">
        <f>SUM(D8:D13)</f>
        <v>120000</v>
      </c>
      <c r="E15" s="260">
        <f>SUM(E8:E13)</f>
        <v>120000</v>
      </c>
    </row>
    <row r="16" spans="2:5" ht="15">
      <c r="B16" s="257" t="s">
        <v>61</v>
      </c>
      <c r="C16" s="260">
        <f>C6+C15</f>
        <v>128343</v>
      </c>
      <c r="D16" s="260">
        <f>D6+D15</f>
        <v>120000</v>
      </c>
      <c r="E16" s="260">
        <f>E6+E15</f>
        <v>120000</v>
      </c>
    </row>
    <row r="17" spans="2:5" ht="15">
      <c r="B17" s="140" t="s">
        <v>63</v>
      </c>
      <c r="C17" s="221"/>
      <c r="D17" s="221"/>
      <c r="E17" s="221"/>
    </row>
    <row r="18" spans="2:5" ht="15">
      <c r="B18" s="266" t="s">
        <v>603</v>
      </c>
      <c r="C18" s="55">
        <v>128343</v>
      </c>
      <c r="D18" s="55">
        <v>120000</v>
      </c>
      <c r="E18" s="55">
        <v>120000</v>
      </c>
    </row>
    <row r="19" spans="2:5" ht="15">
      <c r="B19" s="266"/>
      <c r="C19" s="55"/>
      <c r="D19" s="55"/>
      <c r="E19" s="55"/>
    </row>
    <row r="20" spans="2:5" ht="15">
      <c r="B20" s="266"/>
      <c r="C20" s="55"/>
      <c r="D20" s="55"/>
      <c r="E20" s="55"/>
    </row>
    <row r="21" spans="2:5" ht="15">
      <c r="B21" s="266"/>
      <c r="C21" s="55"/>
      <c r="D21" s="55"/>
      <c r="E21" s="55"/>
    </row>
    <row r="22" spans="2:5" ht="15">
      <c r="B22" s="266"/>
      <c r="C22" s="55"/>
      <c r="D22" s="55"/>
      <c r="E22" s="55"/>
    </row>
    <row r="23" spans="2:5" ht="15">
      <c r="B23" s="266"/>
      <c r="C23" s="55"/>
      <c r="D23" s="55"/>
      <c r="E23" s="55"/>
    </row>
    <row r="24" spans="2:5" ht="15">
      <c r="B24" s="266"/>
      <c r="C24" s="55"/>
      <c r="D24" s="55"/>
      <c r="E24" s="55"/>
    </row>
    <row r="25" spans="2:5" ht="15">
      <c r="B25" s="266"/>
      <c r="C25" s="55"/>
      <c r="D25" s="55"/>
      <c r="E25" s="55"/>
    </row>
    <row r="26" spans="2:5" ht="15">
      <c r="B26" s="267" t="s">
        <v>12</v>
      </c>
      <c r="C26" s="55"/>
      <c r="D26" s="251"/>
      <c r="E26" s="251"/>
    </row>
    <row r="27" spans="2:5" ht="15">
      <c r="B27" s="267" t="s">
        <v>506</v>
      </c>
      <c r="C27" s="292">
        <f>IF(C28*0.1&lt;C26,"Exceed 10% Rule","")</f>
      </c>
      <c r="D27" s="256">
        <f>IF(D28*0.1&lt;D26,"Exceed 10% Rule","")</f>
      </c>
      <c r="E27" s="256">
        <f>IF(E28*0.1&lt;E26,"Exceed 10% Rule","")</f>
      </c>
    </row>
    <row r="28" spans="2:5" ht="15">
      <c r="B28" s="257" t="s">
        <v>67</v>
      </c>
      <c r="C28" s="260">
        <f>SUM(C18:C26)</f>
        <v>128343</v>
      </c>
      <c r="D28" s="260">
        <f>SUM(D18:D26)</f>
        <v>120000</v>
      </c>
      <c r="E28" s="260">
        <f>SUM(E18:E26)</f>
        <v>120000</v>
      </c>
    </row>
    <row r="29" spans="2:5" ht="15">
      <c r="B29" s="140" t="s">
        <v>175</v>
      </c>
      <c r="C29" s="70">
        <f>C16-C28</f>
        <v>0</v>
      </c>
      <c r="D29" s="70">
        <f>D16-D28</f>
        <v>0</v>
      </c>
      <c r="E29" s="70">
        <f>E16-E28</f>
        <v>0</v>
      </c>
    </row>
    <row r="30" spans="2:5" ht="15">
      <c r="B30" s="126" t="str">
        <f>CONCATENATE("",E1-2,"/",E1-1," Budget Authority Amount:")</f>
        <v>2010/2011 Budget Authority Amount:</v>
      </c>
      <c r="C30" s="234">
        <f>inputOth!B65</f>
        <v>140946</v>
      </c>
      <c r="D30" s="234">
        <f>inputPrYr!D34</f>
        <v>120487</v>
      </c>
      <c r="E30" s="343">
        <f>IF(E29&lt;0,"See Tab E","")</f>
      </c>
    </row>
    <row r="31" spans="2:5" ht="15">
      <c r="B31" s="126"/>
      <c r="C31" s="270">
        <f>IF(C28&gt;C30,"See Tab A","")</f>
      </c>
      <c r="D31" s="270">
        <f>IF(D28&gt;D30,"See Tab C","")</f>
      </c>
      <c r="E31" s="85"/>
    </row>
    <row r="32" spans="2:5" ht="15">
      <c r="B32" s="126"/>
      <c r="C32" s="270">
        <f>IF(C29&lt;0,"See Tab B","")</f>
      </c>
      <c r="D32" s="270">
        <f>IF(D29&lt;0,"See Tab D","")</f>
      </c>
      <c r="E32" s="85"/>
    </row>
    <row r="33" spans="2:5" ht="15">
      <c r="B33" s="35"/>
      <c r="C33" s="85"/>
      <c r="D33" s="85"/>
      <c r="E33" s="85"/>
    </row>
    <row r="34" spans="2:5" ht="15">
      <c r="B34" s="40" t="s">
        <v>53</v>
      </c>
      <c r="C34" s="287"/>
      <c r="D34" s="287"/>
      <c r="E34" s="287"/>
    </row>
    <row r="35" spans="2:5" ht="15">
      <c r="B35" s="35"/>
      <c r="C35" s="467" t="s">
        <v>73</v>
      </c>
      <c r="D35" s="466" t="s">
        <v>197</v>
      </c>
      <c r="E35" s="466" t="s">
        <v>198</v>
      </c>
    </row>
    <row r="36" spans="2:5" ht="15">
      <c r="B36" s="424" t="str">
        <f>inputPrYr!B35</f>
        <v>W/S Emergency Depreciation</v>
      </c>
      <c r="C36" s="244">
        <f>C5</f>
        <v>2010</v>
      </c>
      <c r="D36" s="244">
        <f>D5</f>
        <v>2011</v>
      </c>
      <c r="E36" s="244">
        <f>E5</f>
        <v>2012</v>
      </c>
    </row>
    <row r="37" spans="2:5" ht="15">
      <c r="B37" s="245" t="s">
        <v>174</v>
      </c>
      <c r="C37" s="55">
        <v>94505</v>
      </c>
      <c r="D37" s="221">
        <f>C60</f>
        <v>99815</v>
      </c>
      <c r="E37" s="221">
        <f>D60</f>
        <v>113440</v>
      </c>
    </row>
    <row r="38" spans="2:5" ht="15">
      <c r="B38" s="249" t="s">
        <v>176</v>
      </c>
      <c r="C38" s="75"/>
      <c r="D38" s="75"/>
      <c r="E38" s="75"/>
    </row>
    <row r="39" spans="2:5" ht="15">
      <c r="B39" s="266" t="s">
        <v>587</v>
      </c>
      <c r="C39" s="55">
        <v>5000</v>
      </c>
      <c r="D39" s="55">
        <v>15000</v>
      </c>
      <c r="E39" s="55">
        <v>5000</v>
      </c>
    </row>
    <row r="40" spans="2:5" ht="15">
      <c r="B40" s="266"/>
      <c r="C40" s="55"/>
      <c r="D40" s="55"/>
      <c r="E40" s="55"/>
    </row>
    <row r="41" spans="2:5" ht="15">
      <c r="B41" s="266"/>
      <c r="C41" s="55"/>
      <c r="D41" s="55"/>
      <c r="E41" s="55"/>
    </row>
    <row r="42" spans="2:5" ht="15">
      <c r="B42" s="266"/>
      <c r="C42" s="55"/>
      <c r="D42" s="55"/>
      <c r="E42" s="55"/>
    </row>
    <row r="43" spans="2:5" ht="15">
      <c r="B43" s="254" t="s">
        <v>59</v>
      </c>
      <c r="C43" s="55">
        <v>885</v>
      </c>
      <c r="D43" s="55">
        <v>625</v>
      </c>
      <c r="E43" s="55">
        <v>700</v>
      </c>
    </row>
    <row r="44" spans="2:5" ht="15">
      <c r="B44" s="149" t="s">
        <v>12</v>
      </c>
      <c r="C44" s="55"/>
      <c r="D44" s="251"/>
      <c r="E44" s="251"/>
    </row>
    <row r="45" spans="2:5" ht="15">
      <c r="B45" s="245" t="s">
        <v>505</v>
      </c>
      <c r="C45" s="292">
        <f>IF(C46*0.1&lt;C44,"Exceed 10% Rule","")</f>
      </c>
      <c r="D45" s="256">
        <f>IF(D46*0.1&lt;D44,"Exceed 10% Rule","")</f>
      </c>
      <c r="E45" s="256">
        <f>IF(E46*0.1&lt;E44,"Exceed 10% Rule","")</f>
      </c>
    </row>
    <row r="46" spans="2:5" ht="15">
      <c r="B46" s="257" t="s">
        <v>60</v>
      </c>
      <c r="C46" s="260">
        <f>SUM(C39:C44)</f>
        <v>5885</v>
      </c>
      <c r="D46" s="260">
        <f>SUM(D39:D44)</f>
        <v>15625</v>
      </c>
      <c r="E46" s="260">
        <f>SUM(E39:E44)</f>
        <v>5700</v>
      </c>
    </row>
    <row r="47" spans="2:5" ht="15">
      <c r="B47" s="257" t="s">
        <v>61</v>
      </c>
      <c r="C47" s="260">
        <f>C37+C46</f>
        <v>100390</v>
      </c>
      <c r="D47" s="260">
        <f>D37+D46</f>
        <v>115440</v>
      </c>
      <c r="E47" s="260">
        <f>E37+E46</f>
        <v>119140</v>
      </c>
    </row>
    <row r="48" spans="2:5" ht="15">
      <c r="B48" s="140" t="s">
        <v>63</v>
      </c>
      <c r="C48" s="221"/>
      <c r="D48" s="221"/>
      <c r="E48" s="221"/>
    </row>
    <row r="49" spans="2:5" ht="15">
      <c r="B49" s="266" t="s">
        <v>66</v>
      </c>
      <c r="C49" s="55">
        <v>575</v>
      </c>
      <c r="D49" s="55">
        <v>2000</v>
      </c>
      <c r="E49" s="55">
        <v>119140</v>
      </c>
    </row>
    <row r="50" spans="2:5" ht="15">
      <c r="B50" s="266"/>
      <c r="C50" s="55"/>
      <c r="D50" s="55"/>
      <c r="E50" s="55"/>
    </row>
    <row r="51" spans="2:5" ht="15">
      <c r="B51" s="266"/>
      <c r="C51" s="55"/>
      <c r="D51" s="55"/>
      <c r="E51" s="55"/>
    </row>
    <row r="52" spans="2:5" ht="15">
      <c r="B52" s="266"/>
      <c r="C52" s="55"/>
      <c r="D52" s="55"/>
      <c r="E52" s="55"/>
    </row>
    <row r="53" spans="2:5" ht="15">
      <c r="B53" s="266"/>
      <c r="C53" s="55"/>
      <c r="D53" s="55"/>
      <c r="E53" s="55"/>
    </row>
    <row r="54" spans="2:5" ht="15">
      <c r="B54" s="266"/>
      <c r="C54" s="55"/>
      <c r="D54" s="55"/>
      <c r="E54" s="55"/>
    </row>
    <row r="55" spans="2:5" ht="15">
      <c r="B55" s="266"/>
      <c r="C55" s="55"/>
      <c r="D55" s="55"/>
      <c r="E55" s="55"/>
    </row>
    <row r="56" spans="2:5" ht="15">
      <c r="B56" s="266"/>
      <c r="C56" s="55"/>
      <c r="D56" s="55"/>
      <c r="E56" s="55"/>
    </row>
    <row r="57" spans="2:5" ht="15">
      <c r="B57" s="267" t="s">
        <v>12</v>
      </c>
      <c r="C57" s="55"/>
      <c r="D57" s="251"/>
      <c r="E57" s="251"/>
    </row>
    <row r="58" spans="2:5" ht="15">
      <c r="B58" s="267" t="s">
        <v>506</v>
      </c>
      <c r="C58" s="292">
        <f>IF(C59*0.1&lt;C57,"Exceed 10% Rule","")</f>
      </c>
      <c r="D58" s="256">
        <f>IF(D59*0.1&lt;D57,"Exceed 10% Rule","")</f>
      </c>
      <c r="E58" s="256">
        <f>IF(E59*0.1&lt;E57,"Exceed 10% Rule","")</f>
      </c>
    </row>
    <row r="59" spans="2:5" ht="15">
      <c r="B59" s="257" t="s">
        <v>67</v>
      </c>
      <c r="C59" s="260">
        <f>SUM(C49:C57)</f>
        <v>575</v>
      </c>
      <c r="D59" s="260">
        <f>SUM(D49:D57)</f>
        <v>2000</v>
      </c>
      <c r="E59" s="260">
        <f>SUM(E49:E57)</f>
        <v>119140</v>
      </c>
    </row>
    <row r="60" spans="2:5" ht="15">
      <c r="B60" s="140" t="s">
        <v>175</v>
      </c>
      <c r="C60" s="70">
        <f>C47-C59</f>
        <v>99815</v>
      </c>
      <c r="D60" s="70">
        <f>D47-D59</f>
        <v>113440</v>
      </c>
      <c r="E60" s="70">
        <f>E47-E59</f>
        <v>0</v>
      </c>
    </row>
    <row r="61" spans="2:5" ht="15">
      <c r="B61" s="126" t="str">
        <f>CONCATENATE("",E1-2,"/",E1-1," Budget Authority Amount:")</f>
        <v>2010/2011 Budget Authority Amount:</v>
      </c>
      <c r="C61" s="234">
        <f>inputOth!B66</f>
        <v>105954</v>
      </c>
      <c r="D61" s="234">
        <f>inputPrYr!D35</f>
        <v>115130</v>
      </c>
      <c r="E61" s="343">
        <f>IF(E60&lt;0,"See Tab E","")</f>
      </c>
    </row>
    <row r="62" spans="2:5" ht="15">
      <c r="B62" s="126"/>
      <c r="C62" s="270">
        <f>IF(C59&gt;C61,"See Tab A","")</f>
      </c>
      <c r="D62" s="270">
        <f>IF(D59&gt;D61,"See Tab C","")</f>
      </c>
      <c r="E62" s="35"/>
    </row>
    <row r="63" spans="2:5" ht="15">
      <c r="B63" s="126"/>
      <c r="C63" s="270">
        <f>IF(C60&lt;0,"See Tab B","")</f>
      </c>
      <c r="D63" s="270">
        <f>IF(D60&lt;0,"See Tab D","")</f>
      </c>
      <c r="E63" s="35"/>
    </row>
    <row r="64" spans="2:5" ht="15">
      <c r="B64" s="35"/>
      <c r="C64" s="35"/>
      <c r="D64" s="35"/>
      <c r="E64" s="35"/>
    </row>
    <row r="65" spans="2:5" ht="15">
      <c r="B65" s="370" t="s">
        <v>70</v>
      </c>
      <c r="C65" s="274">
        <v>13</v>
      </c>
      <c r="D65" s="35"/>
      <c r="E65" s="35"/>
    </row>
  </sheetData>
  <sheetProtection sheet="1"/>
  <conditionalFormatting sqref="C13">
    <cfRule type="cellIs" priority="3" dxfId="254" operator="greaterThan" stopIfTrue="1">
      <formula>$C$15*0.1</formula>
    </cfRule>
  </conditionalFormatting>
  <conditionalFormatting sqref="D13">
    <cfRule type="cellIs" priority="4" dxfId="254" operator="greaterThan" stopIfTrue="1">
      <formula>$D$15*0.1</formula>
    </cfRule>
  </conditionalFormatting>
  <conditionalFormatting sqref="E13">
    <cfRule type="cellIs" priority="5" dxfId="254" operator="greaterThan" stopIfTrue="1">
      <formula>$E$15*0.1</formula>
    </cfRule>
  </conditionalFormatting>
  <conditionalFormatting sqref="C26">
    <cfRule type="cellIs" priority="6" dxfId="254" operator="greaterThan" stopIfTrue="1">
      <formula>$C$28*0.1</formula>
    </cfRule>
  </conditionalFormatting>
  <conditionalFormatting sqref="D26">
    <cfRule type="cellIs" priority="7" dxfId="254" operator="greaterThan" stopIfTrue="1">
      <formula>$D$28*0.1</formula>
    </cfRule>
  </conditionalFormatting>
  <conditionalFormatting sqref="E26">
    <cfRule type="cellIs" priority="8" dxfId="254" operator="greaterThan" stopIfTrue="1">
      <formula>$E$28*0.1</formula>
    </cfRule>
  </conditionalFormatting>
  <conditionalFormatting sqref="C44">
    <cfRule type="cellIs" priority="9" dxfId="254" operator="greaterThan" stopIfTrue="1">
      <formula>$C$46*0.1</formula>
    </cfRule>
  </conditionalFormatting>
  <conditionalFormatting sqref="D44">
    <cfRule type="cellIs" priority="10" dxfId="254" operator="greaterThan" stopIfTrue="1">
      <formula>$D$46*0.1</formula>
    </cfRule>
  </conditionalFormatting>
  <conditionalFormatting sqref="E44">
    <cfRule type="cellIs" priority="11" dxfId="254" operator="greaterThan" stopIfTrue="1">
      <formula>$E$46*0.1</formula>
    </cfRule>
  </conditionalFormatting>
  <conditionalFormatting sqref="C57">
    <cfRule type="cellIs" priority="12" dxfId="254" operator="greaterThan" stopIfTrue="1">
      <formula>$C$59*0.1</formula>
    </cfRule>
  </conditionalFormatting>
  <conditionalFormatting sqref="D57">
    <cfRule type="cellIs" priority="13" dxfId="254" operator="greaterThan" stopIfTrue="1">
      <formula>$D$59*0.1</formula>
    </cfRule>
  </conditionalFormatting>
  <conditionalFormatting sqref="E57">
    <cfRule type="cellIs" priority="14" dxfId="254" operator="greaterThan" stopIfTrue="1">
      <formula>$E$59*0.1</formula>
    </cfRule>
  </conditionalFormatting>
  <conditionalFormatting sqref="D59">
    <cfRule type="cellIs" priority="15" dxfId="0" operator="greaterThan" stopIfTrue="1">
      <formula>$D$61</formula>
    </cfRule>
  </conditionalFormatting>
  <conditionalFormatting sqref="C59">
    <cfRule type="cellIs" priority="16" dxfId="0" operator="greaterThan" stopIfTrue="1">
      <formula>$C$61</formula>
    </cfRule>
  </conditionalFormatting>
  <conditionalFormatting sqref="C60 E60 C29 E29">
    <cfRule type="cellIs" priority="17" dxfId="0" operator="lessThan" stopIfTrue="1">
      <formula>0</formula>
    </cfRule>
  </conditionalFormatting>
  <conditionalFormatting sqref="D28">
    <cfRule type="cellIs" priority="18" dxfId="0" operator="greaterThan" stopIfTrue="1">
      <formula>$D$30</formula>
    </cfRule>
  </conditionalFormatting>
  <conditionalFormatting sqref="C28">
    <cfRule type="cellIs" priority="19" dxfId="0" operator="greaterThan" stopIfTrue="1">
      <formula>$C$30</formula>
    </cfRule>
  </conditionalFormatting>
  <conditionalFormatting sqref="D60">
    <cfRule type="cellIs" priority="2" dxfId="1" operator="lessThan" stopIfTrue="1">
      <formula>0</formula>
    </cfRule>
  </conditionalFormatting>
  <conditionalFormatting sqref="D29">
    <cfRule type="cellIs" priority="1" dxfId="1"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3" sqref="B3"/>
    </sheetView>
  </sheetViews>
  <sheetFormatPr defaultColWidth="8.8984375" defaultRowHeight="15"/>
  <cols>
    <col min="1" max="1" width="2.3984375" style="33" customWidth="1"/>
    <col min="2" max="2" width="31.09765625" style="33" customWidth="1"/>
    <col min="3" max="4" width="15.69921875" style="33" customWidth="1"/>
    <col min="5" max="5" width="16.09765625" style="33" customWidth="1"/>
    <col min="6" max="16384" width="8.8984375" style="33" customWidth="1"/>
  </cols>
  <sheetData>
    <row r="1" spans="2:5" ht="15">
      <c r="B1" s="187" t="str">
        <f>(inputPrYr!D2)</f>
        <v>City of Ellsworth</v>
      </c>
      <c r="C1" s="35"/>
      <c r="D1" s="35"/>
      <c r="E1" s="241">
        <f>inputPrYr!C5</f>
        <v>2012</v>
      </c>
    </row>
    <row r="2" spans="2:5" ht="15">
      <c r="B2" s="35"/>
      <c r="C2" s="35"/>
      <c r="D2" s="35"/>
      <c r="E2" s="159"/>
    </row>
    <row r="3" spans="2:5" ht="15">
      <c r="B3" s="242" t="s">
        <v>120</v>
      </c>
      <c r="C3" s="283"/>
      <c r="D3" s="283"/>
      <c r="E3" s="283"/>
    </row>
    <row r="4" spans="2:5" ht="15">
      <c r="B4" s="40" t="s">
        <v>53</v>
      </c>
      <c r="C4" s="467" t="s">
        <v>73</v>
      </c>
      <c r="D4" s="466" t="s">
        <v>197</v>
      </c>
      <c r="E4" s="466" t="s">
        <v>198</v>
      </c>
    </row>
    <row r="5" spans="2:5" ht="15">
      <c r="B5" s="424" t="str">
        <f>inputPrYr!B36</f>
        <v>2007 TDD Project Fund</v>
      </c>
      <c r="C5" s="244">
        <f>E1-2</f>
        <v>2010</v>
      </c>
      <c r="D5" s="244">
        <f>E1-1</f>
        <v>2011</v>
      </c>
      <c r="E5" s="244">
        <f>E1</f>
        <v>2012</v>
      </c>
    </row>
    <row r="6" spans="2:5" ht="15">
      <c r="B6" s="245" t="s">
        <v>174</v>
      </c>
      <c r="C6" s="55">
        <v>79362</v>
      </c>
      <c r="D6" s="221">
        <f>C29</f>
        <v>0</v>
      </c>
      <c r="E6" s="221">
        <f>D29</f>
        <v>0</v>
      </c>
    </row>
    <row r="7" spans="2:5" ht="15">
      <c r="B7" s="249" t="s">
        <v>176</v>
      </c>
      <c r="C7" s="75"/>
      <c r="D7" s="75"/>
      <c r="E7" s="75"/>
    </row>
    <row r="8" spans="2:5" ht="15">
      <c r="B8" s="266"/>
      <c r="C8" s="55"/>
      <c r="D8" s="55"/>
      <c r="E8" s="55"/>
    </row>
    <row r="9" spans="2:5" ht="15">
      <c r="B9" s="266"/>
      <c r="C9" s="55"/>
      <c r="D9" s="55"/>
      <c r="E9" s="55"/>
    </row>
    <row r="10" spans="2:5" ht="15">
      <c r="B10" s="266"/>
      <c r="C10" s="55"/>
      <c r="D10" s="55"/>
      <c r="E10" s="55"/>
    </row>
    <row r="11" spans="2:5" ht="15">
      <c r="B11" s="266"/>
      <c r="C11" s="55"/>
      <c r="D11" s="55"/>
      <c r="E11" s="55"/>
    </row>
    <row r="12" spans="2:5" ht="15">
      <c r="B12" s="254" t="s">
        <v>59</v>
      </c>
      <c r="C12" s="55">
        <v>416</v>
      </c>
      <c r="D12" s="55"/>
      <c r="E12" s="55"/>
    </row>
    <row r="13" spans="2:5" ht="15">
      <c r="B13" s="149" t="s">
        <v>12</v>
      </c>
      <c r="C13" s="205"/>
      <c r="D13" s="205"/>
      <c r="E13" s="205"/>
    </row>
    <row r="14" spans="2:5" ht="15">
      <c r="B14" s="245" t="s">
        <v>505</v>
      </c>
      <c r="C14" s="292">
        <f>IF(C15*0.1&lt;C13,"Exceed 10% Rule","")</f>
      </c>
      <c r="D14" s="256">
        <f>IF(D15*0.1&lt;D13,"Exceed 10% Rule","")</f>
      </c>
      <c r="E14" s="256">
        <f>IF(E15*0.1&lt;E13,"Exceed 10% Rule","")</f>
      </c>
    </row>
    <row r="15" spans="2:5" ht="15">
      <c r="B15" s="257" t="s">
        <v>60</v>
      </c>
      <c r="C15" s="260">
        <f>SUM(C8:C13)</f>
        <v>416</v>
      </c>
      <c r="D15" s="260">
        <f>SUM(D8:D13)</f>
        <v>0</v>
      </c>
      <c r="E15" s="260">
        <f>SUM(E8:E13)</f>
        <v>0</v>
      </c>
    </row>
    <row r="16" spans="2:5" ht="15">
      <c r="B16" s="257" t="s">
        <v>61</v>
      </c>
      <c r="C16" s="260">
        <f>C6+C15</f>
        <v>79778</v>
      </c>
      <c r="D16" s="260">
        <f>D6+D15</f>
        <v>0</v>
      </c>
      <c r="E16" s="260">
        <f>E6+E15</f>
        <v>0</v>
      </c>
    </row>
    <row r="17" spans="2:5" ht="15">
      <c r="B17" s="140" t="s">
        <v>63</v>
      </c>
      <c r="C17" s="221"/>
      <c r="D17" s="221"/>
      <c r="E17" s="221"/>
    </row>
    <row r="18" spans="2:5" ht="15">
      <c r="B18" s="266" t="s">
        <v>633</v>
      </c>
      <c r="C18" s="55">
        <v>79778</v>
      </c>
      <c r="D18" s="55"/>
      <c r="E18" s="55"/>
    </row>
    <row r="19" spans="2:5" ht="15">
      <c r="B19" s="266"/>
      <c r="C19" s="55"/>
      <c r="D19" s="55"/>
      <c r="E19" s="55"/>
    </row>
    <row r="20" spans="2:5" ht="15">
      <c r="B20" s="266"/>
      <c r="C20" s="55"/>
      <c r="D20" s="55"/>
      <c r="E20" s="55"/>
    </row>
    <row r="21" spans="2:5" ht="15">
      <c r="B21" s="266"/>
      <c r="C21" s="55"/>
      <c r="D21" s="55"/>
      <c r="E21" s="55"/>
    </row>
    <row r="22" spans="2:5" ht="15">
      <c r="B22" s="266"/>
      <c r="C22" s="55"/>
      <c r="D22" s="55"/>
      <c r="E22" s="55"/>
    </row>
    <row r="23" spans="2:5" ht="15">
      <c r="B23" s="266"/>
      <c r="C23" s="55"/>
      <c r="D23" s="55"/>
      <c r="E23" s="55"/>
    </row>
    <row r="24" spans="2:5" ht="15">
      <c r="B24" s="266"/>
      <c r="C24" s="55"/>
      <c r="D24" s="55"/>
      <c r="E24" s="55"/>
    </row>
    <row r="25" spans="2:5" ht="15">
      <c r="B25" s="266"/>
      <c r="C25" s="55"/>
      <c r="D25" s="55"/>
      <c r="E25" s="55"/>
    </row>
    <row r="26" spans="2:5" ht="15">
      <c r="B26" s="267" t="s">
        <v>12</v>
      </c>
      <c r="C26" s="55"/>
      <c r="D26" s="251"/>
      <c r="E26" s="251"/>
    </row>
    <row r="27" spans="2:5" ht="15">
      <c r="B27" s="267" t="s">
        <v>506</v>
      </c>
      <c r="C27" s="292">
        <f>IF(C28*0.1&lt;C26,"Exceed 10% Rule","")</f>
      </c>
      <c r="D27" s="256">
        <f>IF(D28*0.1&lt;D26,"Exceed 10% Rule","")</f>
      </c>
      <c r="E27" s="256">
        <f>IF(E28*0.1&lt;E26,"Exceed 10% Rule","")</f>
      </c>
    </row>
    <row r="28" spans="2:5" ht="15">
      <c r="B28" s="257" t="s">
        <v>67</v>
      </c>
      <c r="C28" s="260">
        <f>SUM(C18:C26)</f>
        <v>79778</v>
      </c>
      <c r="D28" s="260">
        <f>SUM(D18:D26)</f>
        <v>0</v>
      </c>
      <c r="E28" s="260">
        <f>SUM(E18:E26)</f>
        <v>0</v>
      </c>
    </row>
    <row r="29" spans="2:5" ht="15">
      <c r="B29" s="140" t="s">
        <v>175</v>
      </c>
      <c r="C29" s="70">
        <f>C16-C28</f>
        <v>0</v>
      </c>
      <c r="D29" s="70">
        <f>D16-D28</f>
        <v>0</v>
      </c>
      <c r="E29" s="70">
        <f>E16-E28</f>
        <v>0</v>
      </c>
    </row>
    <row r="30" spans="2:5" ht="15">
      <c r="B30" s="126" t="str">
        <f>CONCATENATE("",E1-2,"/",E1-1," Budget Authority Amount:")</f>
        <v>2010/2011 Budget Authority Amount:</v>
      </c>
      <c r="C30" s="234">
        <f>inputOth!B67</f>
        <v>79778</v>
      </c>
      <c r="D30" s="234">
        <f>inputPrYr!D36</f>
        <v>79778</v>
      </c>
      <c r="E30" s="343">
        <f>IF(E29&lt;0,"See Tab E","")</f>
      </c>
    </row>
    <row r="31" spans="2:5" ht="15">
      <c r="B31" s="126"/>
      <c r="C31" s="270">
        <f>IF(C28&gt;C30,"See Tab A","")</f>
      </c>
      <c r="D31" s="270">
        <f>IF(D28&gt;D30,"See Tab C","")</f>
      </c>
      <c r="E31" s="85"/>
    </row>
    <row r="32" spans="2:5" ht="15">
      <c r="B32" s="126"/>
      <c r="C32" s="270">
        <f>IF(C29&lt;0,"See Tab B","")</f>
      </c>
      <c r="D32" s="270">
        <f>IF(D29&lt;0,"See Tab D","")</f>
      </c>
      <c r="E32" s="85"/>
    </row>
    <row r="33" spans="2:5" ht="15">
      <c r="B33" s="35"/>
      <c r="C33" s="85"/>
      <c r="D33" s="85"/>
      <c r="E33" s="85"/>
    </row>
    <row r="34" spans="2:5" ht="15">
      <c r="B34" s="40" t="s">
        <v>53</v>
      </c>
      <c r="C34" s="287"/>
      <c r="D34" s="287"/>
      <c r="E34" s="287"/>
    </row>
    <row r="35" spans="2:5" ht="15">
      <c r="B35" s="35"/>
      <c r="C35" s="467" t="s">
        <v>73</v>
      </c>
      <c r="D35" s="466" t="s">
        <v>197</v>
      </c>
      <c r="E35" s="466" t="s">
        <v>198</v>
      </c>
    </row>
    <row r="36" spans="2:5" ht="15">
      <c r="B36" s="424" t="str">
        <f>inputPrYr!B37</f>
        <v>2007 TDD Debt Service Reserve</v>
      </c>
      <c r="C36" s="244">
        <f>C5</f>
        <v>2010</v>
      </c>
      <c r="D36" s="244">
        <f>D5</f>
        <v>2011</v>
      </c>
      <c r="E36" s="244">
        <f>E5</f>
        <v>2012</v>
      </c>
    </row>
    <row r="37" spans="2:5" ht="15">
      <c r="B37" s="245" t="s">
        <v>174</v>
      </c>
      <c r="C37" s="55">
        <v>115922</v>
      </c>
      <c r="D37" s="221">
        <f>C60</f>
        <v>202851</v>
      </c>
      <c r="E37" s="221">
        <f>D60</f>
        <v>204251</v>
      </c>
    </row>
    <row r="38" spans="2:5" ht="15">
      <c r="B38" s="249" t="s">
        <v>176</v>
      </c>
      <c r="C38" s="75"/>
      <c r="D38" s="75"/>
      <c r="E38" s="75"/>
    </row>
    <row r="39" spans="2:5" ht="15">
      <c r="B39" s="266" t="s">
        <v>634</v>
      </c>
      <c r="C39" s="55">
        <v>79778</v>
      </c>
      <c r="D39" s="55"/>
      <c r="E39" s="55"/>
    </row>
    <row r="40" spans="2:5" ht="15">
      <c r="B40" s="266" t="s">
        <v>635</v>
      </c>
      <c r="C40" s="55">
        <v>5975</v>
      </c>
      <c r="D40" s="55"/>
      <c r="E40" s="55"/>
    </row>
    <row r="41" spans="2:5" ht="15">
      <c r="B41" s="266"/>
      <c r="C41" s="55"/>
      <c r="D41" s="55"/>
      <c r="E41" s="55"/>
    </row>
    <row r="42" spans="2:5" ht="15">
      <c r="B42" s="266"/>
      <c r="C42" s="55"/>
      <c r="D42" s="55"/>
      <c r="E42" s="55"/>
    </row>
    <row r="43" spans="2:5" ht="15">
      <c r="B43" s="254" t="s">
        <v>59</v>
      </c>
      <c r="C43" s="55">
        <v>1176</v>
      </c>
      <c r="D43" s="55">
        <v>1400</v>
      </c>
      <c r="E43" s="55">
        <v>1250</v>
      </c>
    </row>
    <row r="44" spans="2:5" ht="15">
      <c r="B44" s="149" t="s">
        <v>12</v>
      </c>
      <c r="C44" s="55"/>
      <c r="D44" s="251"/>
      <c r="E44" s="251"/>
    </row>
    <row r="45" spans="2:5" ht="15">
      <c r="B45" s="245" t="s">
        <v>505</v>
      </c>
      <c r="C45" s="292">
        <f>IF(C46*0.1&lt;C44,"Exceed 10% Rule","")</f>
      </c>
      <c r="D45" s="256">
        <f>IF(D46*0.1&lt;D44,"Exceed 10% Rule","")</f>
      </c>
      <c r="E45" s="256">
        <f>IF(E46*0.1&lt;E44,"Exceed 10% Rule","")</f>
      </c>
    </row>
    <row r="46" spans="2:5" ht="15">
      <c r="B46" s="257" t="s">
        <v>60</v>
      </c>
      <c r="C46" s="260">
        <f>SUM(C39:C44)</f>
        <v>86929</v>
      </c>
      <c r="D46" s="260">
        <f>SUM(D39:D44)</f>
        <v>1400</v>
      </c>
      <c r="E46" s="260">
        <f>SUM(E39:E44)</f>
        <v>1250</v>
      </c>
    </row>
    <row r="47" spans="2:5" ht="15">
      <c r="B47" s="257" t="s">
        <v>61</v>
      </c>
      <c r="C47" s="260">
        <f>C37+C46</f>
        <v>202851</v>
      </c>
      <c r="D47" s="260">
        <f>D37+D46</f>
        <v>204251</v>
      </c>
      <c r="E47" s="260">
        <f>E37+E46</f>
        <v>205501</v>
      </c>
    </row>
    <row r="48" spans="2:5" ht="15">
      <c r="B48" s="140" t="s">
        <v>63</v>
      </c>
      <c r="C48" s="221"/>
      <c r="D48" s="221"/>
      <c r="E48" s="221"/>
    </row>
    <row r="49" spans="2:5" ht="15">
      <c r="B49" s="266" t="s">
        <v>66</v>
      </c>
      <c r="C49" s="55">
        <v>0</v>
      </c>
      <c r="D49" s="55">
        <v>0</v>
      </c>
      <c r="E49" s="55">
        <v>205501</v>
      </c>
    </row>
    <row r="50" spans="2:5" ht="15">
      <c r="B50" s="266" t="s">
        <v>636</v>
      </c>
      <c r="C50" s="55">
        <v>0</v>
      </c>
      <c r="D50" s="55">
        <v>0</v>
      </c>
      <c r="E50" s="55"/>
    </row>
    <row r="51" spans="2:5" ht="15">
      <c r="B51" s="266" t="s">
        <v>585</v>
      </c>
      <c r="C51" s="55">
        <v>0</v>
      </c>
      <c r="D51" s="55">
        <v>0</v>
      </c>
      <c r="E51" s="55"/>
    </row>
    <row r="52" spans="2:5" ht="15">
      <c r="B52" s="266" t="s">
        <v>632</v>
      </c>
      <c r="C52" s="55">
        <v>0</v>
      </c>
      <c r="D52" s="55">
        <v>0</v>
      </c>
      <c r="E52" s="55"/>
    </row>
    <row r="53" spans="2:5" ht="15">
      <c r="B53" s="266"/>
      <c r="C53" s="55"/>
      <c r="D53" s="55"/>
      <c r="E53" s="55"/>
    </row>
    <row r="54" spans="2:5" ht="15">
      <c r="B54" s="266"/>
      <c r="C54" s="55"/>
      <c r="D54" s="55"/>
      <c r="E54" s="55"/>
    </row>
    <row r="55" spans="2:5" ht="15">
      <c r="B55" s="266"/>
      <c r="C55" s="55"/>
      <c r="D55" s="55"/>
      <c r="E55" s="55"/>
    </row>
    <row r="56" spans="2:5" ht="15">
      <c r="B56" s="266"/>
      <c r="C56" s="55"/>
      <c r="D56" s="55"/>
      <c r="E56" s="55"/>
    </row>
    <row r="57" spans="2:5" ht="15">
      <c r="B57" s="267" t="s">
        <v>12</v>
      </c>
      <c r="C57" s="55">
        <v>0</v>
      </c>
      <c r="D57" s="251">
        <v>0</v>
      </c>
      <c r="E57" s="251"/>
    </row>
    <row r="58" spans="2:5" ht="15">
      <c r="B58" s="267" t="s">
        <v>506</v>
      </c>
      <c r="C58" s="292">
        <f>IF(C59*0.1&lt;C57,"Exceed 10% Rule","")</f>
      </c>
      <c r="D58" s="256">
        <f>IF(D59*0.1&lt;D57,"Exceed 10% Rule","")</f>
      </c>
      <c r="E58" s="256">
        <f>IF(E59*0.1&lt;E57,"Exceed 10% Rule","")</f>
      </c>
    </row>
    <row r="59" spans="2:5" ht="15">
      <c r="B59" s="257" t="s">
        <v>67</v>
      </c>
      <c r="C59" s="260">
        <f>SUM(C49:C57)</f>
        <v>0</v>
      </c>
      <c r="D59" s="260">
        <f>SUM(D49:D57)</f>
        <v>0</v>
      </c>
      <c r="E59" s="260">
        <f>SUM(E49:E57)</f>
        <v>205501</v>
      </c>
    </row>
    <row r="60" spans="2:5" ht="15">
      <c r="B60" s="140" t="s">
        <v>175</v>
      </c>
      <c r="C60" s="70">
        <f>C47-C59</f>
        <v>202851</v>
      </c>
      <c r="D60" s="70">
        <f>D47-D59</f>
        <v>204251</v>
      </c>
      <c r="E60" s="70">
        <f>E47-E59</f>
        <v>0</v>
      </c>
    </row>
    <row r="61" spans="2:5" ht="15">
      <c r="B61" s="126" t="str">
        <f>CONCATENATE("",E1-2,"/",E1-1," Budget Authority Amount:")</f>
        <v>2010/2011 Budget Authority Amount:</v>
      </c>
      <c r="C61" s="234">
        <f>inputOth!B68</f>
        <v>117237</v>
      </c>
      <c r="D61" s="234">
        <f>inputPrYr!D37</f>
        <v>117237</v>
      </c>
      <c r="E61" s="343">
        <f>IF(E60&lt;0,"See Tab E","")</f>
      </c>
    </row>
    <row r="62" spans="2:5" ht="15">
      <c r="B62" s="126"/>
      <c r="C62" s="270">
        <f>IF(C59&gt;C61,"See Tab A","")</f>
      </c>
      <c r="D62" s="270">
        <f>IF(D59&gt;D61,"See Tab C","")</f>
      </c>
      <c r="E62" s="35"/>
    </row>
    <row r="63" spans="2:5" ht="15">
      <c r="B63" s="126"/>
      <c r="C63" s="270">
        <f>IF(C60&lt;0,"See Tab B","")</f>
      </c>
      <c r="D63" s="270">
        <f>IF(D60&lt;0,"See Tab D","")</f>
      </c>
      <c r="E63" s="35"/>
    </row>
    <row r="64" spans="2:5" ht="15">
      <c r="B64" s="35"/>
      <c r="C64" s="35"/>
      <c r="D64" s="35"/>
      <c r="E64" s="35"/>
    </row>
    <row r="65" spans="2:5" ht="15">
      <c r="B65" s="370" t="s">
        <v>70</v>
      </c>
      <c r="C65" s="274">
        <v>14</v>
      </c>
      <c r="D65" s="35"/>
      <c r="E65" s="35"/>
    </row>
  </sheetData>
  <sheetProtection sheet="1"/>
  <conditionalFormatting sqref="C13">
    <cfRule type="cellIs" priority="4" dxfId="254" operator="greaterThan" stopIfTrue="1">
      <formula>$C$15*0.1</formula>
    </cfRule>
  </conditionalFormatting>
  <conditionalFormatting sqref="D13">
    <cfRule type="cellIs" priority="5" dxfId="254" operator="greaterThan" stopIfTrue="1">
      <formula>$D$15*0.1</formula>
    </cfRule>
  </conditionalFormatting>
  <conditionalFormatting sqref="E13">
    <cfRule type="cellIs" priority="6" dxfId="254" operator="greaterThan" stopIfTrue="1">
      <formula>$E$15*0.1</formula>
    </cfRule>
  </conditionalFormatting>
  <conditionalFormatting sqref="C26">
    <cfRule type="cellIs" priority="7" dxfId="254" operator="greaterThan" stopIfTrue="1">
      <formula>$C$28*0.1</formula>
    </cfRule>
  </conditionalFormatting>
  <conditionalFormatting sqref="D26">
    <cfRule type="cellIs" priority="8" dxfId="254" operator="greaterThan" stopIfTrue="1">
      <formula>$D$28*0.1</formula>
    </cfRule>
  </conditionalFormatting>
  <conditionalFormatting sqref="E26">
    <cfRule type="cellIs" priority="9" dxfId="254" operator="greaterThan" stopIfTrue="1">
      <formula>$E$28*0.1</formula>
    </cfRule>
  </conditionalFormatting>
  <conditionalFormatting sqref="C44">
    <cfRule type="cellIs" priority="10" dxfId="254" operator="greaterThan" stopIfTrue="1">
      <formula>$C$46*0.1</formula>
    </cfRule>
  </conditionalFormatting>
  <conditionalFormatting sqref="D44">
    <cfRule type="cellIs" priority="11" dxfId="254" operator="greaterThan" stopIfTrue="1">
      <formula>$D$46*0.1</formula>
    </cfRule>
  </conditionalFormatting>
  <conditionalFormatting sqref="E44">
    <cfRule type="cellIs" priority="12" dxfId="254" operator="greaterThan" stopIfTrue="1">
      <formula>$E$46*0.1</formula>
    </cfRule>
  </conditionalFormatting>
  <conditionalFormatting sqref="C57">
    <cfRule type="cellIs" priority="13" dxfId="254" operator="greaterThan" stopIfTrue="1">
      <formula>$C$59*0.1</formula>
    </cfRule>
  </conditionalFormatting>
  <conditionalFormatting sqref="D57">
    <cfRule type="cellIs" priority="14" dxfId="254" operator="greaterThan" stopIfTrue="1">
      <formula>$D$59*0.1</formula>
    </cfRule>
  </conditionalFormatting>
  <conditionalFormatting sqref="E57">
    <cfRule type="cellIs" priority="15" dxfId="254" operator="greaterThan" stopIfTrue="1">
      <formula>$E$59*0.1</formula>
    </cfRule>
  </conditionalFormatting>
  <conditionalFormatting sqref="D59">
    <cfRule type="cellIs" priority="16" dxfId="0" operator="greaterThan" stopIfTrue="1">
      <formula>$D$61</formula>
    </cfRule>
  </conditionalFormatting>
  <conditionalFormatting sqref="C59">
    <cfRule type="cellIs" priority="17" dxfId="0" operator="greaterThan" stopIfTrue="1">
      <formula>$C$61</formula>
    </cfRule>
  </conditionalFormatting>
  <conditionalFormatting sqref="C60 E60 C29 E29">
    <cfRule type="cellIs" priority="18" dxfId="0" operator="lessThan" stopIfTrue="1">
      <formula>0</formula>
    </cfRule>
  </conditionalFormatting>
  <conditionalFormatting sqref="C28">
    <cfRule type="cellIs" priority="20" dxfId="0" operator="greaterThan" stopIfTrue="1">
      <formula>$C$30</formula>
    </cfRule>
  </conditionalFormatting>
  <conditionalFormatting sqref="D60">
    <cfRule type="cellIs" priority="3" dxfId="1" operator="lessThan" stopIfTrue="1">
      <formula>0</formula>
    </cfRule>
  </conditionalFormatting>
  <conditionalFormatting sqref="D29">
    <cfRule type="cellIs" priority="1" dxfId="1"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3" sqref="B3"/>
    </sheetView>
  </sheetViews>
  <sheetFormatPr defaultColWidth="8.8984375" defaultRowHeight="15"/>
  <cols>
    <col min="1" max="1" width="2.3984375" style="32" customWidth="1"/>
    <col min="2" max="2" width="31.09765625" style="32" customWidth="1"/>
    <col min="3" max="4" width="15.69921875" style="32" customWidth="1"/>
    <col min="5" max="5" width="16.09765625" style="32" customWidth="1"/>
    <col min="6" max="16384" width="8.8984375" style="32" customWidth="1"/>
  </cols>
  <sheetData>
    <row r="1" spans="2:5" ht="15">
      <c r="B1" s="187" t="str">
        <f>(inputPrYr!D2)</f>
        <v>City of Ellsworth</v>
      </c>
      <c r="C1" s="35"/>
      <c r="D1" s="35"/>
      <c r="E1" s="241">
        <f>inputPrYr!C5</f>
        <v>2012</v>
      </c>
    </row>
    <row r="2" spans="2:5" ht="15">
      <c r="B2" s="35"/>
      <c r="C2" s="35"/>
      <c r="D2" s="35"/>
      <c r="E2" s="159"/>
    </row>
    <row r="3" spans="2:5" ht="15">
      <c r="B3" s="242" t="s">
        <v>120</v>
      </c>
      <c r="C3" s="283"/>
      <c r="D3" s="283"/>
      <c r="E3" s="283"/>
    </row>
    <row r="4" spans="2:5" ht="15">
      <c r="B4" s="40" t="s">
        <v>53</v>
      </c>
      <c r="C4" s="467" t="s">
        <v>73</v>
      </c>
      <c r="D4" s="466" t="s">
        <v>197</v>
      </c>
      <c r="E4" s="466" t="s">
        <v>198</v>
      </c>
    </row>
    <row r="5" spans="2:5" ht="15">
      <c r="B5" s="424" t="str">
        <f>inputPrYr!B38</f>
        <v>2007 TDD Cost of Issuance</v>
      </c>
      <c r="C5" s="244">
        <f>E1-2</f>
        <v>2010</v>
      </c>
      <c r="D5" s="244">
        <f>E1-1</f>
        <v>2011</v>
      </c>
      <c r="E5" s="244">
        <f>E1</f>
        <v>2012</v>
      </c>
    </row>
    <row r="6" spans="2:5" ht="15">
      <c r="B6" s="245" t="s">
        <v>174</v>
      </c>
      <c r="C6" s="55">
        <v>5944</v>
      </c>
      <c r="D6" s="221">
        <f>C29</f>
        <v>0</v>
      </c>
      <c r="E6" s="221">
        <f>D29</f>
        <v>0</v>
      </c>
    </row>
    <row r="7" spans="2:5" s="33" customFormat="1" ht="15">
      <c r="B7" s="249" t="s">
        <v>176</v>
      </c>
      <c r="C7" s="75"/>
      <c r="D7" s="75"/>
      <c r="E7" s="75"/>
    </row>
    <row r="8" spans="2:5" ht="15">
      <c r="B8" s="266"/>
      <c r="C8" s="55"/>
      <c r="D8" s="55"/>
      <c r="E8" s="55"/>
    </row>
    <row r="9" spans="2:5" ht="15">
      <c r="B9" s="266"/>
      <c r="C9" s="55"/>
      <c r="D9" s="55"/>
      <c r="E9" s="55"/>
    </row>
    <row r="10" spans="2:5" ht="15">
      <c r="B10" s="266"/>
      <c r="C10" s="55"/>
      <c r="D10" s="55"/>
      <c r="E10" s="55"/>
    </row>
    <row r="11" spans="2:5" ht="15">
      <c r="B11" s="266"/>
      <c r="C11" s="55"/>
      <c r="D11" s="55"/>
      <c r="E11" s="55"/>
    </row>
    <row r="12" spans="2:5" ht="15">
      <c r="B12" s="254" t="s">
        <v>59</v>
      </c>
      <c r="C12" s="55">
        <v>31</v>
      </c>
      <c r="D12" s="55">
        <v>0</v>
      </c>
      <c r="E12" s="55">
        <v>0</v>
      </c>
    </row>
    <row r="13" spans="2:5" ht="15">
      <c r="B13" s="149" t="s">
        <v>12</v>
      </c>
      <c r="C13" s="55"/>
      <c r="D13" s="251"/>
      <c r="E13" s="251"/>
    </row>
    <row r="14" spans="2:5" ht="15">
      <c r="B14" s="245" t="s">
        <v>505</v>
      </c>
      <c r="C14" s="292">
        <f>IF(C15*0.1&lt;C13,"Exceed 10% Rule","")</f>
      </c>
      <c r="D14" s="256">
        <f>IF(D15*0.1&lt;D13,"Exceed 10% Rule","")</f>
      </c>
      <c r="E14" s="256">
        <f>IF(E15*0.1&lt;E13,"Exceed 10% Rule","")</f>
      </c>
    </row>
    <row r="15" spans="2:5" ht="15">
      <c r="B15" s="257" t="s">
        <v>60</v>
      </c>
      <c r="C15" s="260">
        <f>SUM(C8:C13)</f>
        <v>31</v>
      </c>
      <c r="D15" s="260">
        <f>SUM(D8:D13)</f>
        <v>0</v>
      </c>
      <c r="E15" s="260">
        <f>SUM(E8:E13)</f>
        <v>0</v>
      </c>
    </row>
    <row r="16" spans="2:5" ht="15">
      <c r="B16" s="257" t="s">
        <v>61</v>
      </c>
      <c r="C16" s="260">
        <f>C6+C15</f>
        <v>5975</v>
      </c>
      <c r="D16" s="260">
        <f>D6+D15</f>
        <v>0</v>
      </c>
      <c r="E16" s="260">
        <f>E6+E15</f>
        <v>0</v>
      </c>
    </row>
    <row r="17" spans="2:5" ht="15">
      <c r="B17" s="140" t="s">
        <v>63</v>
      </c>
      <c r="C17" s="221"/>
      <c r="D17" s="221"/>
      <c r="E17" s="221"/>
    </row>
    <row r="18" spans="2:5" ht="15">
      <c r="B18" s="266" t="s">
        <v>638</v>
      </c>
      <c r="C18" s="55">
        <v>5975</v>
      </c>
      <c r="D18" s="55">
        <v>0</v>
      </c>
      <c r="E18" s="55">
        <v>0</v>
      </c>
    </row>
    <row r="19" spans="2:5" ht="15">
      <c r="B19" s="266"/>
      <c r="C19" s="55"/>
      <c r="D19" s="55"/>
      <c r="E19" s="55"/>
    </row>
    <row r="20" spans="2:5" ht="15">
      <c r="B20" s="266"/>
      <c r="C20" s="55"/>
      <c r="D20" s="55"/>
      <c r="E20" s="55"/>
    </row>
    <row r="21" spans="2:5" ht="15">
      <c r="B21" s="266"/>
      <c r="C21" s="55"/>
      <c r="D21" s="55"/>
      <c r="E21" s="55"/>
    </row>
    <row r="22" spans="2:5" ht="15">
      <c r="B22" s="266"/>
      <c r="C22" s="55"/>
      <c r="D22" s="55"/>
      <c r="E22" s="55"/>
    </row>
    <row r="23" spans="2:5" ht="15">
      <c r="B23" s="266"/>
      <c r="C23" s="55"/>
      <c r="D23" s="55"/>
      <c r="E23" s="55"/>
    </row>
    <row r="24" spans="2:5" ht="15">
      <c r="B24" s="266"/>
      <c r="C24" s="55"/>
      <c r="D24" s="55"/>
      <c r="E24" s="55"/>
    </row>
    <row r="25" spans="2:5" ht="15">
      <c r="B25" s="266"/>
      <c r="C25" s="55"/>
      <c r="D25" s="55"/>
      <c r="E25" s="55"/>
    </row>
    <row r="26" spans="2:5" ht="15">
      <c r="B26" s="267" t="s">
        <v>12</v>
      </c>
      <c r="C26" s="55"/>
      <c r="D26" s="251"/>
      <c r="E26" s="251"/>
    </row>
    <row r="27" spans="2:5" ht="15">
      <c r="B27" s="267" t="s">
        <v>506</v>
      </c>
      <c r="C27" s="292">
        <f>IF(C28*0.1&lt;C26,"Exceed 10% Rule","")</f>
      </c>
      <c r="D27" s="256">
        <f>IF(D28*0.1&lt;D26,"Exceed 10% Rule","")</f>
      </c>
      <c r="E27" s="256">
        <f>IF(E28*0.1&lt;E26,"Exceed 10% Rule","")</f>
      </c>
    </row>
    <row r="28" spans="2:5" ht="15">
      <c r="B28" s="257" t="s">
        <v>67</v>
      </c>
      <c r="C28" s="260">
        <f>SUM(C18:C26)</f>
        <v>5975</v>
      </c>
      <c r="D28" s="260">
        <f>SUM(D18:D26)</f>
        <v>0</v>
      </c>
      <c r="E28" s="260">
        <f>SUM(E18:E26)</f>
        <v>0</v>
      </c>
    </row>
    <row r="29" spans="2:5" ht="15">
      <c r="B29" s="140" t="s">
        <v>175</v>
      </c>
      <c r="C29" s="70">
        <f>C16-C28</f>
        <v>0</v>
      </c>
      <c r="D29" s="70">
        <f>D16-D28</f>
        <v>0</v>
      </c>
      <c r="E29" s="70">
        <f>E16-E28</f>
        <v>0</v>
      </c>
    </row>
    <row r="30" spans="2:5" ht="15">
      <c r="B30" s="126" t="str">
        <f>CONCATENATE("",E1-2,"/",E1-1," Budget Authority Amount:")</f>
        <v>2010/2011 Budget Authority Amount:</v>
      </c>
      <c r="C30" s="234">
        <f>inputOth!B69</f>
        <v>5975</v>
      </c>
      <c r="D30" s="234">
        <f>inputPrYr!D38</f>
        <v>5975</v>
      </c>
      <c r="E30" s="343">
        <f>IF(E29&lt;0,"See Tab E","")</f>
      </c>
    </row>
    <row r="31" spans="2:5" ht="15">
      <c r="B31" s="126"/>
      <c r="C31" s="270">
        <f>IF(C28&gt;C30,"See Tab A","")</f>
      </c>
      <c r="D31" s="270">
        <f>IF(D28&gt;D30,"See Tab C","")</f>
      </c>
      <c r="E31" s="85"/>
    </row>
    <row r="32" spans="2:5" ht="15">
      <c r="B32" s="126"/>
      <c r="C32" s="270">
        <f>IF(C29&lt;0,"See Tab B","")</f>
      </c>
      <c r="D32" s="270">
        <f>IF(D29&lt;0,"See Tab D","")</f>
      </c>
      <c r="E32" s="85"/>
    </row>
    <row r="33" spans="2:5" ht="15">
      <c r="B33" s="35"/>
      <c r="C33" s="85"/>
      <c r="D33" s="85"/>
      <c r="E33" s="85"/>
    </row>
    <row r="34" spans="2:5" ht="15">
      <c r="B34" s="40" t="s">
        <v>53</v>
      </c>
      <c r="C34" s="287"/>
      <c r="D34" s="287"/>
      <c r="E34" s="287"/>
    </row>
    <row r="35" spans="2:5" ht="15">
      <c r="B35" s="35"/>
      <c r="C35" s="467" t="s">
        <v>73</v>
      </c>
      <c r="D35" s="466" t="s">
        <v>197</v>
      </c>
      <c r="E35" s="466" t="s">
        <v>198</v>
      </c>
    </row>
    <row r="36" spans="2:5" ht="15">
      <c r="B36" s="424" t="str">
        <f>inputPrYr!B39</f>
        <v>2007 TDD Prinicpal &amp; Interest</v>
      </c>
      <c r="C36" s="244">
        <f>C5</f>
        <v>2010</v>
      </c>
      <c r="D36" s="244">
        <f>D5</f>
        <v>2011</v>
      </c>
      <c r="E36" s="244">
        <f>E5</f>
        <v>2012</v>
      </c>
    </row>
    <row r="37" spans="2:5" ht="15">
      <c r="B37" s="245" t="s">
        <v>174</v>
      </c>
      <c r="C37" s="55">
        <v>81661</v>
      </c>
      <c r="D37" s="221">
        <f>C60</f>
        <v>118723</v>
      </c>
      <c r="E37" s="221">
        <f>D60</f>
        <v>151955</v>
      </c>
    </row>
    <row r="38" spans="2:5" s="33" customFormat="1" ht="15">
      <c r="B38" s="249" t="s">
        <v>176</v>
      </c>
      <c r="C38" s="75"/>
      <c r="D38" s="75"/>
      <c r="E38" s="75"/>
    </row>
    <row r="39" spans="2:5" ht="15">
      <c r="B39" s="266" t="s">
        <v>639</v>
      </c>
      <c r="C39" s="55">
        <v>114608</v>
      </c>
      <c r="D39" s="55">
        <v>110000</v>
      </c>
      <c r="E39" s="55">
        <v>110000</v>
      </c>
    </row>
    <row r="40" spans="2:5" ht="15">
      <c r="B40" s="266"/>
      <c r="C40" s="55"/>
      <c r="D40" s="55"/>
      <c r="E40" s="55"/>
    </row>
    <row r="41" spans="2:5" ht="15">
      <c r="B41" s="266"/>
      <c r="C41" s="55"/>
      <c r="D41" s="55"/>
      <c r="E41" s="55"/>
    </row>
    <row r="42" spans="2:5" ht="15">
      <c r="B42" s="266"/>
      <c r="C42" s="55"/>
      <c r="D42" s="55"/>
      <c r="E42" s="55"/>
    </row>
    <row r="43" spans="2:5" ht="15">
      <c r="B43" s="254" t="s">
        <v>59</v>
      </c>
      <c r="C43" s="55">
        <v>747</v>
      </c>
      <c r="D43" s="55">
        <v>650</v>
      </c>
      <c r="E43" s="55">
        <v>600</v>
      </c>
    </row>
    <row r="44" spans="2:5" ht="15">
      <c r="B44" s="149" t="s">
        <v>12</v>
      </c>
      <c r="C44" s="55"/>
      <c r="D44" s="251"/>
      <c r="E44" s="251"/>
    </row>
    <row r="45" spans="2:5" ht="15">
      <c r="B45" s="245" t="s">
        <v>505</v>
      </c>
      <c r="C45" s="292">
        <f>IF(C46*0.1&lt;C44,"Exceed 10% Rule","")</f>
      </c>
      <c r="D45" s="256">
        <f>IF(D46*0.1&lt;D44,"Exceed 10% Rule","")</f>
      </c>
      <c r="E45" s="256">
        <f>IF(E46*0.1&lt;E44,"Exceed 10% Rule","")</f>
      </c>
    </row>
    <row r="46" spans="2:5" ht="15">
      <c r="B46" s="257" t="s">
        <v>60</v>
      </c>
      <c r="C46" s="260">
        <f>SUM(C39:C44)</f>
        <v>115355</v>
      </c>
      <c r="D46" s="260">
        <f>SUM(D39:D44)</f>
        <v>110650</v>
      </c>
      <c r="E46" s="260">
        <f>SUM(E39:E44)</f>
        <v>110600</v>
      </c>
    </row>
    <row r="47" spans="2:5" ht="15">
      <c r="B47" s="257" t="s">
        <v>61</v>
      </c>
      <c r="C47" s="260">
        <f>C37+C46</f>
        <v>197016</v>
      </c>
      <c r="D47" s="260">
        <f>D37+D46</f>
        <v>229373</v>
      </c>
      <c r="E47" s="260">
        <f>E37+E46</f>
        <v>262555</v>
      </c>
    </row>
    <row r="48" spans="2:5" ht="15">
      <c r="B48" s="140" t="s">
        <v>63</v>
      </c>
      <c r="C48" s="221"/>
      <c r="D48" s="221"/>
      <c r="E48" s="221"/>
    </row>
    <row r="49" spans="2:5" ht="15">
      <c r="B49" s="266" t="s">
        <v>640</v>
      </c>
      <c r="C49" s="55">
        <v>0</v>
      </c>
      <c r="D49" s="55">
        <v>0</v>
      </c>
      <c r="E49" s="55">
        <v>187555</v>
      </c>
    </row>
    <row r="50" spans="2:5" ht="15">
      <c r="B50" s="266" t="s">
        <v>636</v>
      </c>
      <c r="C50" s="55">
        <v>20000</v>
      </c>
      <c r="D50" s="55">
        <v>20000</v>
      </c>
      <c r="E50" s="55">
        <v>20000</v>
      </c>
    </row>
    <row r="51" spans="2:5" ht="15">
      <c r="B51" s="266" t="s">
        <v>641</v>
      </c>
      <c r="C51" s="55">
        <v>58293</v>
      </c>
      <c r="D51" s="55">
        <v>57418</v>
      </c>
      <c r="E51" s="55">
        <v>55000</v>
      </c>
    </row>
    <row r="52" spans="2:5" ht="15">
      <c r="B52" s="266"/>
      <c r="C52" s="55"/>
      <c r="D52" s="55"/>
      <c r="E52" s="55"/>
    </row>
    <row r="53" spans="2:5" ht="15">
      <c r="B53" s="266"/>
      <c r="C53" s="55"/>
      <c r="D53" s="55"/>
      <c r="E53" s="55"/>
    </row>
    <row r="54" spans="2:5" ht="15">
      <c r="B54" s="266"/>
      <c r="C54" s="55"/>
      <c r="D54" s="55"/>
      <c r="E54" s="55"/>
    </row>
    <row r="55" spans="2:5" ht="15">
      <c r="B55" s="266"/>
      <c r="C55" s="55"/>
      <c r="D55" s="55"/>
      <c r="E55" s="55"/>
    </row>
    <row r="56" spans="2:5" ht="15">
      <c r="B56" s="266"/>
      <c r="C56" s="55"/>
      <c r="D56" s="55"/>
      <c r="E56" s="55"/>
    </row>
    <row r="57" spans="2:5" ht="15">
      <c r="B57" s="267" t="s">
        <v>12</v>
      </c>
      <c r="C57" s="55"/>
      <c r="D57" s="251"/>
      <c r="E57" s="251"/>
    </row>
    <row r="58" spans="2:5" ht="15">
      <c r="B58" s="267" t="s">
        <v>506</v>
      </c>
      <c r="C58" s="292">
        <f>IF(C59*0.1&lt;C57,"Exceed 10% Rule","")</f>
      </c>
      <c r="D58" s="256">
        <f>IF(D59*0.1&lt;D57,"Exceed 10% Rule","")</f>
      </c>
      <c r="E58" s="256">
        <f>IF(E59*0.1&lt;E57,"Exceed 10% Rule","")</f>
      </c>
    </row>
    <row r="59" spans="2:5" ht="15">
      <c r="B59" s="257" t="s">
        <v>67</v>
      </c>
      <c r="C59" s="260">
        <f>SUM(C49:C57)</f>
        <v>78293</v>
      </c>
      <c r="D59" s="260">
        <f>SUM(D49:D57)</f>
        <v>77418</v>
      </c>
      <c r="E59" s="260">
        <f>SUM(E49:E57)</f>
        <v>262555</v>
      </c>
    </row>
    <row r="60" spans="2:5" ht="15">
      <c r="B60" s="140" t="s">
        <v>175</v>
      </c>
      <c r="C60" s="70">
        <f>C47-C59</f>
        <v>118723</v>
      </c>
      <c r="D60" s="70">
        <f>D47-D59</f>
        <v>151955</v>
      </c>
      <c r="E60" s="70">
        <f>E47-E59</f>
        <v>0</v>
      </c>
    </row>
    <row r="61" spans="2:5" ht="15">
      <c r="B61" s="126" t="str">
        <f>CONCATENATE("",E1-2,"/",E1-1," Budget Authority Amount:")</f>
        <v>2010/2011 Budget Authority Amount:</v>
      </c>
      <c r="C61" s="234">
        <f>inputOth!B70</f>
        <v>172361</v>
      </c>
      <c r="D61" s="234">
        <f>inputPrYr!D39</f>
        <v>172361</v>
      </c>
      <c r="E61" s="343">
        <f>IF(E60&lt;0,"See Tab E","")</f>
      </c>
    </row>
    <row r="62" spans="2:5" ht="15">
      <c r="B62" s="126"/>
      <c r="C62" s="270">
        <f>IF(C59&gt;C61,"See Tab A","")</f>
      </c>
      <c r="D62" s="270">
        <f>IF(D59&gt;D61,"See Tab C","")</f>
      </c>
      <c r="E62" s="35"/>
    </row>
    <row r="63" spans="2:5" ht="15">
      <c r="B63" s="126"/>
      <c r="C63" s="270">
        <f>IF(C60&lt;0,"See Tab B","")</f>
      </c>
      <c r="D63" s="270">
        <f>IF(D60&lt;0,"See Tab D","")</f>
      </c>
      <c r="E63" s="35"/>
    </row>
    <row r="64" spans="2:5" ht="15">
      <c r="B64" s="35"/>
      <c r="C64" s="35"/>
      <c r="D64" s="35"/>
      <c r="E64" s="35"/>
    </row>
    <row r="65" spans="2:5" ht="15">
      <c r="B65" s="370" t="s">
        <v>70</v>
      </c>
      <c r="C65" s="274">
        <v>15</v>
      </c>
      <c r="D65" s="35"/>
      <c r="E65" s="35"/>
    </row>
  </sheetData>
  <sheetProtection sheet="1"/>
  <conditionalFormatting sqref="C13">
    <cfRule type="cellIs" priority="3" dxfId="254" operator="greaterThan" stopIfTrue="1">
      <formula>$C$15*0.1</formula>
    </cfRule>
  </conditionalFormatting>
  <conditionalFormatting sqref="D13">
    <cfRule type="cellIs" priority="4" dxfId="254" operator="greaterThan" stopIfTrue="1">
      <formula>$D$15*0.1</formula>
    </cfRule>
  </conditionalFormatting>
  <conditionalFormatting sqref="E13">
    <cfRule type="cellIs" priority="5" dxfId="254" operator="greaterThan" stopIfTrue="1">
      <formula>$E$15*0.1</formula>
    </cfRule>
  </conditionalFormatting>
  <conditionalFormatting sqref="C26">
    <cfRule type="cellIs" priority="6" dxfId="254" operator="greaterThan" stopIfTrue="1">
      <formula>$C$28*0.1</formula>
    </cfRule>
  </conditionalFormatting>
  <conditionalFormatting sqref="D26">
    <cfRule type="cellIs" priority="7" dxfId="254" operator="greaterThan" stopIfTrue="1">
      <formula>$D$28*0.1</formula>
    </cfRule>
  </conditionalFormatting>
  <conditionalFormatting sqref="E26">
    <cfRule type="cellIs" priority="8" dxfId="254" operator="greaterThan" stopIfTrue="1">
      <formula>$E$28*0.1</formula>
    </cfRule>
  </conditionalFormatting>
  <conditionalFormatting sqref="C44">
    <cfRule type="cellIs" priority="9" dxfId="254" operator="greaterThan" stopIfTrue="1">
      <formula>$C$46*0.1</formula>
    </cfRule>
  </conditionalFormatting>
  <conditionalFormatting sqref="D44">
    <cfRule type="cellIs" priority="10" dxfId="254" operator="greaterThan" stopIfTrue="1">
      <formula>$D$46*0.1</formula>
    </cfRule>
  </conditionalFormatting>
  <conditionalFormatting sqref="E44">
    <cfRule type="cellIs" priority="11" dxfId="254" operator="greaterThan" stopIfTrue="1">
      <formula>$E$46*0.1</formula>
    </cfRule>
  </conditionalFormatting>
  <conditionalFormatting sqref="C57">
    <cfRule type="cellIs" priority="12" dxfId="254" operator="greaterThan" stopIfTrue="1">
      <formula>$C$59*0.1</formula>
    </cfRule>
  </conditionalFormatting>
  <conditionalFormatting sqref="D57">
    <cfRule type="cellIs" priority="13" dxfId="254" operator="greaterThan" stopIfTrue="1">
      <formula>$D$59*0.1</formula>
    </cfRule>
  </conditionalFormatting>
  <conditionalFormatting sqref="E57">
    <cfRule type="cellIs" priority="14" dxfId="254" operator="greaterThan" stopIfTrue="1">
      <formula>$E$59*0.1</formula>
    </cfRule>
  </conditionalFormatting>
  <conditionalFormatting sqref="C59:D59">
    <cfRule type="cellIs" priority="15" dxfId="0" operator="greaterThan" stopIfTrue="1">
      <formula>$D$61</formula>
    </cfRule>
  </conditionalFormatting>
  <conditionalFormatting sqref="C60 E60 C29 E29">
    <cfRule type="cellIs" priority="16" dxfId="0" operator="lessThan" stopIfTrue="1">
      <formula>0</formula>
    </cfRule>
  </conditionalFormatting>
  <conditionalFormatting sqref="D28">
    <cfRule type="cellIs" priority="17" dxfId="0" operator="greaterThan" stopIfTrue="1">
      <formula>$D$30</formula>
    </cfRule>
  </conditionalFormatting>
  <conditionalFormatting sqref="C28">
    <cfRule type="cellIs" priority="18" dxfId="0" operator="greaterThan" stopIfTrue="1">
      <formula>$C$30</formula>
    </cfRule>
  </conditionalFormatting>
  <conditionalFormatting sqref="D60">
    <cfRule type="cellIs" priority="2" dxfId="1" operator="lessThan" stopIfTrue="1">
      <formula>0</formula>
    </cfRule>
  </conditionalFormatting>
  <conditionalFormatting sqref="D29">
    <cfRule type="cellIs" priority="1" dxfId="1"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82"/>
  <sheetViews>
    <sheetView zoomScalePageLayoutView="0" workbookViewId="0" topLeftCell="A73">
      <selection activeCell="E17" sqref="E17"/>
    </sheetView>
  </sheetViews>
  <sheetFormatPr defaultColWidth="8.8984375" defaultRowHeight="15"/>
  <cols>
    <col min="1" max="1" width="22" style="94" customWidth="1"/>
    <col min="2" max="2" width="20.69921875" style="94" customWidth="1"/>
    <col min="3" max="3" width="9.69921875" style="94" customWidth="1"/>
    <col min="4" max="4" width="15.09765625" style="94" customWidth="1"/>
    <col min="5" max="5" width="15.69921875" style="94" customWidth="1"/>
    <col min="6" max="16384" width="8.8984375" style="94" customWidth="1"/>
  </cols>
  <sheetData>
    <row r="1" spans="1:5" ht="15">
      <c r="A1" s="164" t="str">
        <f>inputPrYr!$D$2</f>
        <v>City of Ellsworth</v>
      </c>
      <c r="B1" s="56"/>
      <c r="C1" s="56"/>
      <c r="D1" s="56"/>
      <c r="E1" s="163">
        <f>inputPrYr!C5</f>
        <v>2012</v>
      </c>
    </row>
    <row r="2" spans="1:5" ht="15">
      <c r="A2" s="56"/>
      <c r="B2" s="56"/>
      <c r="C2" s="56"/>
      <c r="D2" s="56"/>
      <c r="E2" s="56"/>
    </row>
    <row r="3" spans="1:5" ht="15">
      <c r="A3" s="484" t="s">
        <v>247</v>
      </c>
      <c r="B3" s="485"/>
      <c r="C3" s="485"/>
      <c r="D3" s="485"/>
      <c r="E3" s="485"/>
    </row>
    <row r="4" spans="1:5" ht="15">
      <c r="A4" s="56"/>
      <c r="B4" s="56"/>
      <c r="C4" s="56"/>
      <c r="D4" s="56"/>
      <c r="E4" s="56"/>
    </row>
    <row r="5" spans="1:5" ht="15">
      <c r="A5" s="56"/>
      <c r="B5" s="56"/>
      <c r="C5" s="56"/>
      <c r="D5" s="56"/>
      <c r="E5" s="56"/>
    </row>
    <row r="6" spans="1:5" ht="15">
      <c r="A6" s="47" t="str">
        <f>CONCATENATE("From the County Clerks ",E1," Budget Information:")</f>
        <v>From the County Clerks 2012 Budget Information:</v>
      </c>
      <c r="B6" s="48"/>
      <c r="C6" s="35"/>
      <c r="D6" s="35"/>
      <c r="E6" s="85"/>
    </row>
    <row r="7" spans="1:5" ht="15">
      <c r="A7" s="95" t="str">
        <f>CONCATENATE("Total Assessed Valuation for ",E1-1,"")</f>
        <v>Total Assessed Valuation for 2011</v>
      </c>
      <c r="B7" s="60"/>
      <c r="C7" s="60"/>
      <c r="D7" s="60"/>
      <c r="E7" s="55">
        <v>11730314</v>
      </c>
    </row>
    <row r="8" spans="1:5" ht="15">
      <c r="A8" s="95" t="str">
        <f>CONCATENATE("New Improvements for ",E1-1,"")</f>
        <v>New Improvements for 2011</v>
      </c>
      <c r="B8" s="60"/>
      <c r="C8" s="60"/>
      <c r="D8" s="60"/>
      <c r="E8" s="96">
        <v>22568</v>
      </c>
    </row>
    <row r="9" spans="1:5" ht="15">
      <c r="A9" s="95" t="str">
        <f>CONCATENATE("Personal Property excluding oil, gas, mobile homes - ",E1-1,"")</f>
        <v>Personal Property excluding oil, gas, mobile homes - 2011</v>
      </c>
      <c r="B9" s="60"/>
      <c r="C9" s="60"/>
      <c r="D9" s="60"/>
      <c r="E9" s="96">
        <v>587174</v>
      </c>
    </row>
    <row r="10" spans="1:5" ht="15">
      <c r="A10" s="97" t="s">
        <v>199</v>
      </c>
      <c r="B10" s="60"/>
      <c r="C10" s="60"/>
      <c r="D10" s="60"/>
      <c r="E10" s="75"/>
    </row>
    <row r="11" spans="1:5" ht="15">
      <c r="A11" s="95" t="s">
        <v>167</v>
      </c>
      <c r="B11" s="60"/>
      <c r="C11" s="60"/>
      <c r="D11" s="60"/>
      <c r="E11" s="96">
        <v>0</v>
      </c>
    </row>
    <row r="12" spans="1:5" ht="15">
      <c r="A12" s="95" t="s">
        <v>168</v>
      </c>
      <c r="B12" s="60"/>
      <c r="C12" s="60"/>
      <c r="D12" s="60"/>
      <c r="E12" s="96">
        <v>0</v>
      </c>
    </row>
    <row r="13" spans="1:5" ht="15">
      <c r="A13" s="95" t="s">
        <v>169</v>
      </c>
      <c r="B13" s="60"/>
      <c r="C13" s="60"/>
      <c r="D13" s="60"/>
      <c r="E13" s="96">
        <v>0</v>
      </c>
    </row>
    <row r="14" spans="1:5" ht="15">
      <c r="A14" s="95" t="str">
        <f>CONCATENATE("Property that has changed in use for ",E1-1,"")</f>
        <v>Property that has changed in use for 2011</v>
      </c>
      <c r="B14" s="60"/>
      <c r="C14" s="60"/>
      <c r="D14" s="60"/>
      <c r="E14" s="96">
        <v>3079</v>
      </c>
    </row>
    <row r="15" spans="1:5" ht="15">
      <c r="A15" s="95" t="str">
        <f>CONCATENATE("Personal Property  excluding oil, gas, mobile homes- ",E1-2,"")</f>
        <v>Personal Property  excluding oil, gas, mobile homes- 2010</v>
      </c>
      <c r="B15" s="60"/>
      <c r="C15" s="60"/>
      <c r="D15" s="60"/>
      <c r="E15" s="96">
        <v>677530</v>
      </c>
    </row>
    <row r="16" spans="1:5" ht="15">
      <c r="A16" s="95" t="str">
        <f>CONCATENATE("Gross earnings (intangible) tax estimate for ",E1,"")</f>
        <v>Gross earnings (intangible) tax estimate for 2012</v>
      </c>
      <c r="B16" s="60"/>
      <c r="C16" s="60"/>
      <c r="D16" s="81"/>
      <c r="E16" s="55">
        <v>0</v>
      </c>
    </row>
    <row r="17" spans="1:5" ht="15">
      <c r="A17" s="95" t="s">
        <v>200</v>
      </c>
      <c r="B17" s="60"/>
      <c r="C17" s="60"/>
      <c r="D17" s="60"/>
      <c r="E17" s="91">
        <v>55271</v>
      </c>
    </row>
    <row r="18" spans="1:5" ht="15">
      <c r="A18" s="63"/>
      <c r="B18" s="64"/>
      <c r="C18" s="64"/>
      <c r="D18" s="64"/>
      <c r="E18" s="72"/>
    </row>
    <row r="19" spans="1:5" ht="15">
      <c r="A19" s="63" t="str">
        <f>CONCATENATE("Actual Tax Rates for the ",E1-1," Budget:")</f>
        <v>Actual Tax Rates for the 2011 Budget:</v>
      </c>
      <c r="B19" s="64"/>
      <c r="C19" s="64"/>
      <c r="D19" s="64"/>
      <c r="E19" s="72"/>
    </row>
    <row r="20" spans="1:5" ht="15">
      <c r="A20" s="490" t="s">
        <v>39</v>
      </c>
      <c r="B20" s="491"/>
      <c r="C20" s="56"/>
      <c r="D20" s="98" t="s">
        <v>92</v>
      </c>
      <c r="E20" s="72"/>
    </row>
    <row r="21" spans="1:5" ht="15">
      <c r="A21" s="58" t="s">
        <v>23</v>
      </c>
      <c r="B21" s="59"/>
      <c r="C21" s="64"/>
      <c r="D21" s="99">
        <v>53.643</v>
      </c>
      <c r="E21" s="72"/>
    </row>
    <row r="22" spans="1:5" ht="15">
      <c r="A22" s="95" t="s">
        <v>17</v>
      </c>
      <c r="B22" s="60"/>
      <c r="C22" s="64"/>
      <c r="D22" s="100">
        <v>13.569</v>
      </c>
      <c r="E22" s="72"/>
    </row>
    <row r="23" spans="1:5" ht="15">
      <c r="A23" s="95" t="str">
        <f>IF(inputPrYr!B20&gt;" ",(inputPrYr!B20)," ")</f>
        <v>Library</v>
      </c>
      <c r="B23" s="60"/>
      <c r="C23" s="64"/>
      <c r="D23" s="100">
        <v>7.35</v>
      </c>
      <c r="E23" s="72"/>
    </row>
    <row r="24" spans="1:5" ht="15">
      <c r="A24" s="95" t="str">
        <f>IF(inputPrYr!B21&gt;" ",(inputPrYr!B21)," ")</f>
        <v>Fire/Police</v>
      </c>
      <c r="B24" s="60"/>
      <c r="C24" s="64"/>
      <c r="D24" s="100">
        <v>0.304</v>
      </c>
      <c r="E24" s="72"/>
    </row>
    <row r="25" spans="1:5" ht="15">
      <c r="A25" s="95" t="str">
        <f>IF(inputPrYr!B22&gt;" ",(inputPrYr!B22)," ")</f>
        <v> </v>
      </c>
      <c r="B25" s="60"/>
      <c r="C25" s="64"/>
      <c r="D25" s="100"/>
      <c r="E25" s="72"/>
    </row>
    <row r="26" spans="1:5" ht="15">
      <c r="A26" s="95" t="str">
        <f>IF(inputPrYr!B23&gt;" ",(inputPrYr!B23)," ")</f>
        <v> </v>
      </c>
      <c r="B26" s="101"/>
      <c r="C26" s="64"/>
      <c r="D26" s="102"/>
      <c r="E26" s="72"/>
    </row>
    <row r="27" spans="1:5" ht="15">
      <c r="A27" s="95" t="str">
        <f>IF(inputPrYr!B24&gt;" ",(inputPrYr!B24)," ")</f>
        <v> </v>
      </c>
      <c r="B27" s="101"/>
      <c r="C27" s="64"/>
      <c r="D27" s="102"/>
      <c r="E27" s="72"/>
    </row>
    <row r="28" spans="1:5" ht="15">
      <c r="A28" s="103"/>
      <c r="B28" s="53" t="s">
        <v>25</v>
      </c>
      <c r="C28" s="104"/>
      <c r="D28" s="105">
        <f>SUM(D21:D27)</f>
        <v>74.866</v>
      </c>
      <c r="E28" s="103"/>
    </row>
    <row r="29" spans="1:5" ht="15">
      <c r="A29" s="103"/>
      <c r="B29" s="103"/>
      <c r="C29" s="103"/>
      <c r="D29" s="103"/>
      <c r="E29" s="103"/>
    </row>
    <row r="30" spans="1:5" ht="15">
      <c r="A30" s="59" t="str">
        <f>CONCATENATE("Final Assessed Valuation from the November 1, ",E1-2," Abstract")</f>
        <v>Final Assessed Valuation from the November 1, 2010 Abstract</v>
      </c>
      <c r="B30" s="106"/>
      <c r="C30" s="106"/>
      <c r="D30" s="106"/>
      <c r="E30" s="91">
        <v>11544964</v>
      </c>
    </row>
    <row r="31" spans="1:5" ht="15">
      <c r="A31" s="103"/>
      <c r="B31" s="103"/>
      <c r="C31" s="103"/>
      <c r="D31" s="103"/>
      <c r="E31" s="103"/>
    </row>
    <row r="32" spans="1:5" ht="15">
      <c r="A32" s="107" t="str">
        <f>CONCATENATE("From the County Treasurer's Budget Information - ",E1," Budget Year Estimates:")</f>
        <v>From the County Treasurer's Budget Information - 2012 Budget Year Estimates:</v>
      </c>
      <c r="B32" s="46"/>
      <c r="C32" s="46"/>
      <c r="D32" s="108"/>
      <c r="E32" s="85"/>
    </row>
    <row r="33" spans="1:5" ht="15">
      <c r="A33" s="58" t="s">
        <v>26</v>
      </c>
      <c r="B33" s="59"/>
      <c r="C33" s="59"/>
      <c r="D33" s="109"/>
      <c r="E33" s="55">
        <v>138654</v>
      </c>
    </row>
    <row r="34" spans="1:5" ht="15">
      <c r="A34" s="95" t="s">
        <v>27</v>
      </c>
      <c r="B34" s="60"/>
      <c r="C34" s="60"/>
      <c r="D34" s="110"/>
      <c r="E34" s="55">
        <v>2408</v>
      </c>
    </row>
    <row r="35" spans="1:5" ht="15">
      <c r="A35" s="95" t="s">
        <v>201</v>
      </c>
      <c r="B35" s="60"/>
      <c r="C35" s="60"/>
      <c r="D35" s="110"/>
      <c r="E35" s="55">
        <v>1231</v>
      </c>
    </row>
    <row r="36" spans="1:5" ht="15">
      <c r="A36" s="95" t="s">
        <v>202</v>
      </c>
      <c r="B36" s="60"/>
      <c r="C36" s="60"/>
      <c r="D36" s="110"/>
      <c r="E36" s="55">
        <v>0</v>
      </c>
    </row>
    <row r="37" spans="1:5" ht="15">
      <c r="A37" s="95" t="s">
        <v>203</v>
      </c>
      <c r="B37" s="60"/>
      <c r="C37" s="60"/>
      <c r="D37" s="110"/>
      <c r="E37" s="55">
        <v>0</v>
      </c>
    </row>
    <row r="38" spans="1:5" ht="15">
      <c r="A38" s="58" t="s">
        <v>204</v>
      </c>
      <c r="B38" s="59"/>
      <c r="C38" s="59"/>
      <c r="D38" s="109"/>
      <c r="E38" s="55">
        <v>0</v>
      </c>
    </row>
    <row r="39" spans="1:5" ht="15">
      <c r="A39" s="35" t="s">
        <v>205</v>
      </c>
      <c r="B39" s="35"/>
      <c r="C39" s="35"/>
      <c r="D39" s="35"/>
      <c r="E39" s="35"/>
    </row>
    <row r="40" spans="1:5" ht="15">
      <c r="A40" s="34" t="s">
        <v>47</v>
      </c>
      <c r="B40" s="44"/>
      <c r="C40" s="44"/>
      <c r="D40" s="35"/>
      <c r="E40" s="35"/>
    </row>
    <row r="41" spans="1:5" ht="15">
      <c r="A41" s="63" t="str">
        <f>CONCATENATE("Actual Delinquency for ",E1-3," Tax - (round to three decimal places)")</f>
        <v>Actual Delinquency for 2009 Tax - (round to three decimal places)</v>
      </c>
      <c r="B41" s="64"/>
      <c r="C41" s="35"/>
      <c r="D41" s="35"/>
      <c r="E41" s="453">
        <v>1.5</v>
      </c>
    </row>
    <row r="42" spans="1:5" ht="15">
      <c r="A42" s="58" t="s">
        <v>206</v>
      </c>
      <c r="B42" s="58"/>
      <c r="C42" s="59"/>
      <c r="D42" s="59"/>
      <c r="E42" s="349">
        <v>0</v>
      </c>
    </row>
    <row r="43" spans="1:5" ht="15">
      <c r="A43" s="35"/>
      <c r="B43" s="35"/>
      <c r="C43" s="35"/>
      <c r="D43" s="35"/>
      <c r="E43" s="35"/>
    </row>
    <row r="44" spans="1:5" ht="15">
      <c r="A44" s="111" t="s">
        <v>1</v>
      </c>
      <c r="B44" s="112"/>
      <c r="C44" s="113"/>
      <c r="D44" s="113"/>
      <c r="E44" s="113"/>
    </row>
    <row r="45" spans="1:5" ht="15">
      <c r="A45" s="114" t="str">
        <f>CONCATENATE("",E1," State Distribution for Kansas Gas Tax")</f>
        <v>2012 State Distribution for Kansas Gas Tax</v>
      </c>
      <c r="B45" s="115"/>
      <c r="C45" s="115"/>
      <c r="D45" s="116"/>
      <c r="E45" s="91">
        <v>77900</v>
      </c>
    </row>
    <row r="46" spans="1:5" ht="15">
      <c r="A46" s="117" t="str">
        <f>CONCATENATE("",E1," County Transfers for Gas**")</f>
        <v>2012 County Transfers for Gas**</v>
      </c>
      <c r="B46" s="118"/>
      <c r="C46" s="118"/>
      <c r="D46" s="119"/>
      <c r="E46" s="91"/>
    </row>
    <row r="47" spans="1:5" ht="15">
      <c r="A47" s="117" t="str">
        <f>CONCATENATE("Adjusted ",E1-1," State Distribution for Kansas Gas Tax")</f>
        <v>Adjusted 2011 State Distribution for Kansas Gas Tax</v>
      </c>
      <c r="B47" s="118"/>
      <c r="C47" s="118"/>
      <c r="D47" s="119"/>
      <c r="E47" s="91">
        <v>75860</v>
      </c>
    </row>
    <row r="48" spans="1:5" ht="15">
      <c r="A48" s="117" t="str">
        <f>CONCATENATE("Adjusted ",E1-1," County Transfers for Gas**")</f>
        <v>Adjusted 2011 County Transfers for Gas**</v>
      </c>
      <c r="B48" s="118"/>
      <c r="C48" s="118"/>
      <c r="D48" s="119"/>
      <c r="E48" s="91"/>
    </row>
    <row r="49" spans="1:5" ht="15">
      <c r="A49" s="492" t="s">
        <v>245</v>
      </c>
      <c r="B49" s="493"/>
      <c r="C49" s="493"/>
      <c r="D49" s="493"/>
      <c r="E49" s="493"/>
    </row>
    <row r="50" spans="1:5" ht="15">
      <c r="A50" s="120" t="s">
        <v>246</v>
      </c>
      <c r="B50" s="120"/>
      <c r="C50" s="120"/>
      <c r="D50" s="120"/>
      <c r="E50" s="120"/>
    </row>
    <row r="51" spans="1:5" ht="15">
      <c r="A51" s="56"/>
      <c r="B51" s="56"/>
      <c r="C51" s="56"/>
      <c r="D51" s="56"/>
      <c r="E51" s="56"/>
    </row>
    <row r="52" spans="1:5" ht="15">
      <c r="A52" s="494" t="str">
        <f>CONCATENATE("From the ",E1-2," Budget Certificate Page")</f>
        <v>From the 2010 Budget Certificate Page</v>
      </c>
      <c r="B52" s="495"/>
      <c r="C52" s="56"/>
      <c r="D52" s="56"/>
      <c r="E52" s="56"/>
    </row>
    <row r="53" spans="1:5" ht="15">
      <c r="A53" s="121"/>
      <c r="B53" s="121" t="str">
        <f>CONCATENATE("",E1-2," Expenditure Amounts")</f>
        <v>2010 Expenditure Amounts</v>
      </c>
      <c r="C53" s="488" t="str">
        <f>CONCATENATE("Note: If the ",E1-2," budget was amended, then the")</f>
        <v>Note: If the 2010 budget was amended, then the</v>
      </c>
      <c r="D53" s="489"/>
      <c r="E53" s="489"/>
    </row>
    <row r="54" spans="1:5" ht="15">
      <c r="A54" s="122" t="s">
        <v>7</v>
      </c>
      <c r="B54" s="122" t="s">
        <v>8</v>
      </c>
      <c r="C54" s="123" t="s">
        <v>9</v>
      </c>
      <c r="D54" s="124"/>
      <c r="E54" s="124"/>
    </row>
    <row r="55" spans="1:5" ht="15">
      <c r="A55" s="125" t="str">
        <f>inputPrYr!B17</f>
        <v>General</v>
      </c>
      <c r="B55" s="91">
        <v>2100806</v>
      </c>
      <c r="C55" s="123" t="s">
        <v>10</v>
      </c>
      <c r="D55" s="124"/>
      <c r="E55" s="124"/>
    </row>
    <row r="56" spans="1:5" ht="15">
      <c r="A56" s="125" t="str">
        <f>inputPrYr!B18</f>
        <v>Debt Service</v>
      </c>
      <c r="B56" s="91">
        <v>410000</v>
      </c>
      <c r="C56" s="123"/>
      <c r="D56" s="124"/>
      <c r="E56" s="124"/>
    </row>
    <row r="57" spans="1:5" ht="15">
      <c r="A57" s="125" t="str">
        <f>inputPrYr!B20</f>
        <v>Library</v>
      </c>
      <c r="B57" s="91">
        <v>102322</v>
      </c>
      <c r="C57" s="56"/>
      <c r="D57" s="56"/>
      <c r="E57" s="56"/>
    </row>
    <row r="58" spans="1:5" ht="15">
      <c r="A58" s="125" t="str">
        <f>inputPrYr!B21</f>
        <v>Fire/Police</v>
      </c>
      <c r="B58" s="91">
        <v>17500</v>
      </c>
      <c r="C58" s="56"/>
      <c r="D58" s="56"/>
      <c r="E58" s="56"/>
    </row>
    <row r="59" spans="1:5" ht="15">
      <c r="A59" s="125" t="str">
        <f>inputPrYr!B28</f>
        <v>Special Highway</v>
      </c>
      <c r="B59" s="91">
        <v>116665</v>
      </c>
      <c r="C59" s="56"/>
      <c r="D59" s="56"/>
      <c r="E59" s="56"/>
    </row>
    <row r="60" spans="1:5" ht="15">
      <c r="A60" s="125" t="str">
        <f>inputPrYr!B29</f>
        <v>Special Parks &amp; Recreation</v>
      </c>
      <c r="B60" s="91">
        <v>7608</v>
      </c>
      <c r="C60" s="56"/>
      <c r="D60" s="56"/>
      <c r="E60" s="56"/>
    </row>
    <row r="61" spans="1:5" ht="15">
      <c r="A61" s="125" t="str">
        <f>inputPrYr!B30</f>
        <v>Solid Waste</v>
      </c>
      <c r="B61" s="91">
        <v>154000</v>
      </c>
      <c r="C61" s="56"/>
      <c r="D61" s="56"/>
      <c r="E61" s="56"/>
    </row>
    <row r="62" spans="1:5" ht="15">
      <c r="A62" s="125" t="str">
        <f>inputPrYr!B31</f>
        <v>Capital Improvement</v>
      </c>
      <c r="B62" s="91">
        <v>589011</v>
      </c>
      <c r="C62" s="56"/>
      <c r="D62" s="56"/>
      <c r="E62" s="56"/>
    </row>
    <row r="63" spans="1:5" ht="15">
      <c r="A63" s="125" t="str">
        <f>inputPrYr!B32</f>
        <v>Municipal Equipment Reserve</v>
      </c>
      <c r="B63" s="91">
        <v>393268</v>
      </c>
      <c r="C63" s="56"/>
      <c r="D63" s="56"/>
      <c r="E63" s="56"/>
    </row>
    <row r="64" spans="1:5" ht="15">
      <c r="A64" s="125" t="str">
        <f>inputPrYr!B33</f>
        <v>Tourism &amp; Convention</v>
      </c>
      <c r="B64" s="91">
        <v>16676</v>
      </c>
      <c r="C64" s="56"/>
      <c r="D64" s="56"/>
      <c r="E64" s="56"/>
    </row>
    <row r="65" spans="1:5" ht="15">
      <c r="A65" s="125" t="str">
        <f>inputPrYr!B34</f>
        <v>Transportation District</v>
      </c>
      <c r="B65" s="91">
        <v>140946</v>
      </c>
      <c r="C65" s="56"/>
      <c r="D65" s="56"/>
      <c r="E65" s="56"/>
    </row>
    <row r="66" spans="1:5" ht="15">
      <c r="A66" s="125" t="str">
        <f>inputPrYr!B35</f>
        <v>W/S Emergency Depreciation</v>
      </c>
      <c r="B66" s="91">
        <v>105954</v>
      </c>
      <c r="C66" s="56"/>
      <c r="D66" s="56"/>
      <c r="E66" s="56"/>
    </row>
    <row r="67" spans="1:5" ht="15">
      <c r="A67" s="125" t="str">
        <f>inputPrYr!B36</f>
        <v>2007 TDD Project Fund</v>
      </c>
      <c r="B67" s="91">
        <v>79778</v>
      </c>
      <c r="C67" s="56"/>
      <c r="D67" s="56"/>
      <c r="E67" s="56"/>
    </row>
    <row r="68" spans="1:5" ht="15">
      <c r="A68" s="125" t="str">
        <f>inputPrYr!B37</f>
        <v>2007 TDD Debt Service Reserve</v>
      </c>
      <c r="B68" s="91">
        <v>117237</v>
      </c>
      <c r="C68" s="56"/>
      <c r="D68" s="56"/>
      <c r="E68" s="56"/>
    </row>
    <row r="69" spans="1:5" ht="15">
      <c r="A69" s="125" t="str">
        <f>inputPrYr!B38</f>
        <v>2007 TDD Cost of Issuance</v>
      </c>
      <c r="B69" s="91">
        <v>5975</v>
      </c>
      <c r="C69" s="56"/>
      <c r="D69" s="56"/>
      <c r="E69" s="56"/>
    </row>
    <row r="70" spans="1:5" ht="15">
      <c r="A70" s="125" t="str">
        <f>inputPrYr!B39</f>
        <v>2007 TDD Prinicpal &amp; Interest</v>
      </c>
      <c r="B70" s="91">
        <v>172361</v>
      </c>
      <c r="C70" s="56"/>
      <c r="D70" s="56"/>
      <c r="E70" s="56"/>
    </row>
    <row r="71" spans="1:5" ht="15">
      <c r="A71" s="125" t="str">
        <f>inputPrYr!B40</f>
        <v>2011 Redemption</v>
      </c>
      <c r="B71" s="91">
        <v>0</v>
      </c>
      <c r="C71" s="56"/>
      <c r="D71" s="56"/>
      <c r="E71" s="56"/>
    </row>
    <row r="72" spans="1:5" ht="15">
      <c r="A72" s="125" t="str">
        <f>inputPrYr!B41</f>
        <v>2011 Cost of Issuance</v>
      </c>
      <c r="B72" s="91">
        <v>0</v>
      </c>
      <c r="C72" s="56"/>
      <c r="D72" s="56"/>
      <c r="E72" s="56"/>
    </row>
    <row r="73" spans="1:5" ht="15">
      <c r="A73" s="125" t="str">
        <f>inputPrYr!B42</f>
        <v>2011 Bond Compliance</v>
      </c>
      <c r="B73" s="91">
        <v>0</v>
      </c>
      <c r="C73" s="56"/>
      <c r="D73" s="56"/>
      <c r="E73" s="56"/>
    </row>
    <row r="74" spans="1:5" ht="15">
      <c r="A74" s="125" t="str">
        <f>inputPrYr!B43</f>
        <v>Water/Sewer Improvement</v>
      </c>
      <c r="B74" s="91">
        <v>604289</v>
      </c>
      <c r="C74" s="56"/>
      <c r="D74" s="56"/>
      <c r="E74" s="56"/>
    </row>
    <row r="75" spans="1:5" ht="15">
      <c r="A75" s="125" t="str">
        <f>inputPrYr!B44</f>
        <v>W/W Treatment Plant Imp</v>
      </c>
      <c r="B75" s="91">
        <v>475000</v>
      </c>
      <c r="C75" s="56"/>
      <c r="D75" s="56"/>
      <c r="E75" s="56"/>
    </row>
    <row r="76" spans="1:5" ht="15">
      <c r="A76" s="125" t="str">
        <f>inputPrYr!B45</f>
        <v>2009 Temp Note Debt Service</v>
      </c>
      <c r="B76" s="91">
        <v>29083</v>
      </c>
      <c r="C76" s="56"/>
      <c r="D76" s="56"/>
      <c r="E76" s="56"/>
    </row>
    <row r="77" spans="1:5" ht="15">
      <c r="A77" s="125" t="str">
        <f>inputPrYr!B46</f>
        <v>2009 Temp Note Cost of Issuance</v>
      </c>
      <c r="B77" s="91">
        <v>913</v>
      </c>
      <c r="C77" s="56"/>
      <c r="D77" s="56"/>
      <c r="E77" s="56"/>
    </row>
    <row r="78" spans="1:5" ht="15">
      <c r="A78" s="125" t="str">
        <f>inputPrYr!B47</f>
        <v>2009 Temp Note Improvement</v>
      </c>
      <c r="B78" s="91">
        <v>758573</v>
      </c>
      <c r="C78" s="56"/>
      <c r="D78" s="56"/>
      <c r="E78" s="56"/>
    </row>
    <row r="79" spans="1:5" ht="15">
      <c r="A79" s="125" t="str">
        <f>inputPrYr!B50</f>
        <v>Water/Sewer</v>
      </c>
      <c r="B79" s="91">
        <v>1182850</v>
      </c>
      <c r="C79" s="56"/>
      <c r="D79" s="56"/>
      <c r="E79" s="56"/>
    </row>
    <row r="80" spans="1:5" ht="15">
      <c r="A80" s="125" t="str">
        <f>inputPrYr!B51</f>
        <v>Recreation &amp; Pool</v>
      </c>
      <c r="B80" s="91">
        <v>217925</v>
      </c>
      <c r="C80" s="56"/>
      <c r="D80" s="56"/>
      <c r="E80" s="56"/>
    </row>
    <row r="81" spans="1:5" ht="15">
      <c r="A81" s="125">
        <f>inputPrYr!B52</f>
        <v>0</v>
      </c>
      <c r="B81" s="91"/>
      <c r="C81" s="56"/>
      <c r="D81" s="56"/>
      <c r="E81" s="56"/>
    </row>
    <row r="82" spans="1:5" ht="15">
      <c r="A82" s="125">
        <f>inputPrYr!B53</f>
        <v>0</v>
      </c>
      <c r="B82" s="91"/>
      <c r="C82" s="56"/>
      <c r="D82" s="56"/>
      <c r="E82" s="56"/>
    </row>
  </sheetData>
  <sheetProtection/>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51"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E11" sqref="E11"/>
    </sheetView>
  </sheetViews>
  <sheetFormatPr defaultColWidth="8.8984375" defaultRowHeight="15"/>
  <cols>
    <col min="1" max="1" width="2.3984375" style="32" customWidth="1"/>
    <col min="2" max="2" width="31.09765625" style="32" customWidth="1"/>
    <col min="3" max="4" width="15.69921875" style="32" customWidth="1"/>
    <col min="5" max="5" width="16.09765625" style="32" customWidth="1"/>
    <col min="6" max="16384" width="8.8984375" style="32" customWidth="1"/>
  </cols>
  <sheetData>
    <row r="1" spans="2:5" ht="15">
      <c r="B1" s="187" t="str">
        <f>(inputPrYr!D2)</f>
        <v>City of Ellsworth</v>
      </c>
      <c r="C1" s="35"/>
      <c r="D1" s="35"/>
      <c r="E1" s="241">
        <f>inputPrYr!C5</f>
        <v>2012</v>
      </c>
    </row>
    <row r="2" spans="2:5" ht="15">
      <c r="B2" s="35"/>
      <c r="C2" s="35"/>
      <c r="D2" s="35"/>
      <c r="E2" s="159"/>
    </row>
    <row r="3" spans="2:5" ht="15">
      <c r="B3" s="242" t="s">
        <v>120</v>
      </c>
      <c r="C3" s="283"/>
      <c r="D3" s="283"/>
      <c r="E3" s="283"/>
    </row>
    <row r="4" spans="2:5" ht="15">
      <c r="B4" s="40" t="s">
        <v>53</v>
      </c>
      <c r="C4" s="467" t="s">
        <v>73</v>
      </c>
      <c r="D4" s="466" t="s">
        <v>197</v>
      </c>
      <c r="E4" s="466" t="s">
        <v>198</v>
      </c>
    </row>
    <row r="5" spans="2:5" ht="15">
      <c r="B5" s="424" t="str">
        <f>inputPrYr!B40</f>
        <v>2011 Redemption</v>
      </c>
      <c r="C5" s="244">
        <f>E1-2</f>
        <v>2010</v>
      </c>
      <c r="D5" s="244">
        <f>E1-1</f>
        <v>2011</v>
      </c>
      <c r="E5" s="244">
        <f>E1</f>
        <v>2012</v>
      </c>
    </row>
    <row r="6" spans="2:5" ht="15">
      <c r="B6" s="245" t="s">
        <v>174</v>
      </c>
      <c r="C6" s="55">
        <v>0</v>
      </c>
      <c r="D6" s="221">
        <f>C29</f>
        <v>0</v>
      </c>
      <c r="E6" s="221">
        <f>D29</f>
        <v>0</v>
      </c>
    </row>
    <row r="7" spans="2:5" s="33" customFormat="1" ht="15">
      <c r="B7" s="249" t="s">
        <v>176</v>
      </c>
      <c r="C7" s="75"/>
      <c r="D7" s="75"/>
      <c r="E7" s="75"/>
    </row>
    <row r="8" spans="2:5" ht="15">
      <c r="B8" s="266" t="s">
        <v>637</v>
      </c>
      <c r="C8" s="55">
        <v>0</v>
      </c>
      <c r="D8" s="55">
        <v>1409377</v>
      </c>
      <c r="E8" s="55"/>
    </row>
    <row r="9" spans="2:5" ht="15">
      <c r="B9" s="266"/>
      <c r="C9" s="55"/>
      <c r="D9" s="55"/>
      <c r="E9" s="55"/>
    </row>
    <row r="10" spans="2:5" ht="15">
      <c r="B10" s="266"/>
      <c r="C10" s="55"/>
      <c r="D10" s="55"/>
      <c r="E10" s="55"/>
    </row>
    <row r="11" spans="2:5" ht="15">
      <c r="B11" s="266"/>
      <c r="C11" s="55"/>
      <c r="D11" s="55"/>
      <c r="E11" s="55"/>
    </row>
    <row r="12" spans="2:5" ht="15">
      <c r="B12" s="254" t="s">
        <v>59</v>
      </c>
      <c r="C12" s="55">
        <v>0</v>
      </c>
      <c r="D12" s="55"/>
      <c r="E12" s="55"/>
    </row>
    <row r="13" spans="2:5" ht="15">
      <c r="B13" s="149" t="s">
        <v>12</v>
      </c>
      <c r="C13" s="55"/>
      <c r="D13" s="251"/>
      <c r="E13" s="251"/>
    </row>
    <row r="14" spans="2:5" ht="15">
      <c r="B14" s="245" t="s">
        <v>505</v>
      </c>
      <c r="C14" s="292">
        <f>IF(C15*0.1&lt;C13,"Exceed 10% Rule","")</f>
      </c>
      <c r="D14" s="256">
        <f>IF(D15*0.1&lt;D13,"Exceed 10% Rule","")</f>
      </c>
      <c r="E14" s="256">
        <f>IF(E15*0.1&lt;E13,"Exceed 10% Rule","")</f>
      </c>
    </row>
    <row r="15" spans="2:5" ht="15">
      <c r="B15" s="257" t="s">
        <v>60</v>
      </c>
      <c r="C15" s="260">
        <f>SUM(C8:C13)</f>
        <v>0</v>
      </c>
      <c r="D15" s="260">
        <f>SUM(D8:D13)</f>
        <v>1409377</v>
      </c>
      <c r="E15" s="260">
        <f>SUM(E8:E13)</f>
        <v>0</v>
      </c>
    </row>
    <row r="16" spans="2:5" ht="15">
      <c r="B16" s="257" t="s">
        <v>61</v>
      </c>
      <c r="C16" s="260">
        <f>C6+C15</f>
        <v>0</v>
      </c>
      <c r="D16" s="260">
        <f>D6+D15</f>
        <v>1409377</v>
      </c>
      <c r="E16" s="260">
        <f>E6+E15</f>
        <v>0</v>
      </c>
    </row>
    <row r="17" spans="2:5" ht="15">
      <c r="B17" s="140" t="s">
        <v>63</v>
      </c>
      <c r="C17" s="221"/>
      <c r="D17" s="221"/>
      <c r="E17" s="221"/>
    </row>
    <row r="18" spans="2:5" ht="15">
      <c r="B18" s="266" t="s">
        <v>640</v>
      </c>
      <c r="C18" s="55">
        <v>0</v>
      </c>
      <c r="D18" s="55">
        <v>1409377</v>
      </c>
      <c r="E18" s="55"/>
    </row>
    <row r="19" spans="2:5" ht="15">
      <c r="B19" s="266"/>
      <c r="C19" s="55"/>
      <c r="D19" s="55"/>
      <c r="E19" s="55"/>
    </row>
    <row r="20" spans="2:5" ht="15">
      <c r="B20" s="266"/>
      <c r="C20" s="55"/>
      <c r="D20" s="55"/>
      <c r="E20" s="55"/>
    </row>
    <row r="21" spans="2:5" ht="15">
      <c r="B21" s="266"/>
      <c r="C21" s="55"/>
      <c r="D21" s="55"/>
      <c r="E21" s="55"/>
    </row>
    <row r="22" spans="2:5" ht="15">
      <c r="B22" s="266"/>
      <c r="C22" s="55"/>
      <c r="D22" s="55"/>
      <c r="E22" s="55"/>
    </row>
    <row r="23" spans="2:5" ht="15">
      <c r="B23" s="266"/>
      <c r="C23" s="55"/>
      <c r="D23" s="55"/>
      <c r="E23" s="55"/>
    </row>
    <row r="24" spans="2:5" ht="15">
      <c r="B24" s="266"/>
      <c r="C24" s="55"/>
      <c r="D24" s="55"/>
      <c r="E24" s="55"/>
    </row>
    <row r="25" spans="2:5" ht="15">
      <c r="B25" s="266"/>
      <c r="C25" s="55"/>
      <c r="D25" s="55"/>
      <c r="E25" s="55"/>
    </row>
    <row r="26" spans="2:5" ht="15">
      <c r="B26" s="267" t="s">
        <v>12</v>
      </c>
      <c r="C26" s="55">
        <v>0</v>
      </c>
      <c r="D26" s="251"/>
      <c r="E26" s="251"/>
    </row>
    <row r="27" spans="2:5" ht="15">
      <c r="B27" s="267" t="s">
        <v>506</v>
      </c>
      <c r="C27" s="292">
        <f>IF(C28*0.1&lt;C26,"Exceed 10% Rule","")</f>
      </c>
      <c r="D27" s="256">
        <f>IF(D28*0.1&lt;D26,"Exceed 10% Rule","")</f>
      </c>
      <c r="E27" s="256">
        <f>IF(E28*0.1&lt;E26,"Exceed 10% Rule","")</f>
      </c>
    </row>
    <row r="28" spans="2:5" ht="15">
      <c r="B28" s="257" t="s">
        <v>67</v>
      </c>
      <c r="C28" s="260">
        <f>SUM(C18:C26)</f>
        <v>0</v>
      </c>
      <c r="D28" s="260">
        <f>SUM(D18:D26)</f>
        <v>1409377</v>
      </c>
      <c r="E28" s="260">
        <f>SUM(E18:E26)</f>
        <v>0</v>
      </c>
    </row>
    <row r="29" spans="2:5" ht="15">
      <c r="B29" s="140" t="s">
        <v>175</v>
      </c>
      <c r="C29" s="70">
        <f>C16-C28</f>
        <v>0</v>
      </c>
      <c r="D29" s="70">
        <f>D16-D28</f>
        <v>0</v>
      </c>
      <c r="E29" s="70">
        <f>E16-E28</f>
        <v>0</v>
      </c>
    </row>
    <row r="30" spans="2:5" ht="15">
      <c r="B30" s="126" t="str">
        <f>CONCATENATE("",E1-2,"/",E1-1," Budget Authority Amount:")</f>
        <v>2010/2011 Budget Authority Amount:</v>
      </c>
      <c r="C30" s="234">
        <f>inputOth!B71</f>
        <v>0</v>
      </c>
      <c r="D30" s="234">
        <f>inputPrYr!D40</f>
        <v>0</v>
      </c>
      <c r="E30" s="343">
        <f>IF(E29&lt;0,"See Tab E","")</f>
      </c>
    </row>
    <row r="31" spans="2:5" ht="15">
      <c r="B31" s="126"/>
      <c r="C31" s="270">
        <f>IF(C28&gt;C30,"See Tab A","")</f>
      </c>
      <c r="D31" s="270" t="str">
        <f>IF(D28&gt;D30,"See Tab C","")</f>
        <v>See Tab C</v>
      </c>
      <c r="E31" s="85"/>
    </row>
    <row r="32" spans="2:5" ht="15">
      <c r="B32" s="126"/>
      <c r="C32" s="270">
        <f>IF(C29&lt;0,"See Tab B","")</f>
      </c>
      <c r="D32" s="270">
        <f>IF(D29&lt;0,"See Tab D","")</f>
      </c>
      <c r="E32" s="85"/>
    </row>
    <row r="33" spans="2:5" ht="15">
      <c r="B33" s="35"/>
      <c r="C33" s="85"/>
      <c r="D33" s="85"/>
      <c r="E33" s="85"/>
    </row>
    <row r="34" spans="2:5" ht="15">
      <c r="B34" s="40" t="s">
        <v>53</v>
      </c>
      <c r="C34" s="287"/>
      <c r="D34" s="287"/>
      <c r="E34" s="287"/>
    </row>
    <row r="35" spans="2:5" ht="15">
      <c r="B35" s="35"/>
      <c r="C35" s="467" t="s">
        <v>73</v>
      </c>
      <c r="D35" s="466" t="s">
        <v>197</v>
      </c>
      <c r="E35" s="466" t="s">
        <v>198</v>
      </c>
    </row>
    <row r="36" spans="2:5" ht="15">
      <c r="B36" s="424" t="str">
        <f>inputPrYr!B41</f>
        <v>2011 Cost of Issuance</v>
      </c>
      <c r="C36" s="244">
        <f>C5</f>
        <v>2010</v>
      </c>
      <c r="D36" s="244">
        <f>D5</f>
        <v>2011</v>
      </c>
      <c r="E36" s="244">
        <f>E5</f>
        <v>2012</v>
      </c>
    </row>
    <row r="37" spans="2:5" ht="15">
      <c r="B37" s="245" t="s">
        <v>174</v>
      </c>
      <c r="C37" s="55">
        <v>0</v>
      </c>
      <c r="D37" s="221">
        <f>C60</f>
        <v>0</v>
      </c>
      <c r="E37" s="221">
        <f>D60</f>
        <v>0</v>
      </c>
    </row>
    <row r="38" spans="2:5" s="33" customFormat="1" ht="15">
      <c r="B38" s="249" t="s">
        <v>176</v>
      </c>
      <c r="C38" s="75"/>
      <c r="D38" s="75"/>
      <c r="E38" s="75"/>
    </row>
    <row r="39" spans="2:5" ht="15">
      <c r="B39" s="266" t="s">
        <v>637</v>
      </c>
      <c r="C39" s="55">
        <v>0</v>
      </c>
      <c r="D39" s="55">
        <v>24274</v>
      </c>
      <c r="E39" s="55">
        <v>0</v>
      </c>
    </row>
    <row r="40" spans="2:5" ht="15">
      <c r="B40" s="266"/>
      <c r="C40" s="55"/>
      <c r="D40" s="55"/>
      <c r="E40" s="55"/>
    </row>
    <row r="41" spans="2:5" ht="15">
      <c r="B41" s="266"/>
      <c r="C41" s="55"/>
      <c r="D41" s="55"/>
      <c r="E41" s="55"/>
    </row>
    <row r="42" spans="2:5" ht="15">
      <c r="B42" s="266"/>
      <c r="C42" s="55"/>
      <c r="D42" s="55"/>
      <c r="E42" s="55"/>
    </row>
    <row r="43" spans="2:5" ht="15">
      <c r="B43" s="254" t="s">
        <v>59</v>
      </c>
      <c r="C43" s="55">
        <v>0</v>
      </c>
      <c r="D43" s="55">
        <v>9</v>
      </c>
      <c r="E43" s="55"/>
    </row>
    <row r="44" spans="2:5" ht="15">
      <c r="B44" s="149" t="s">
        <v>12</v>
      </c>
      <c r="C44" s="55"/>
      <c r="D44" s="251"/>
      <c r="E44" s="251"/>
    </row>
    <row r="45" spans="2:5" ht="15">
      <c r="B45" s="245" t="s">
        <v>505</v>
      </c>
      <c r="C45" s="292">
        <f>IF(C46*0.1&lt;C44,"Exceed 10% Rule","")</f>
      </c>
      <c r="D45" s="256">
        <f>IF(D46*0.1&lt;D44,"Exceed 10% Rule","")</f>
      </c>
      <c r="E45" s="256">
        <f>IF(E46*0.1&lt;E44,"Exceed 10% Rule","")</f>
      </c>
    </row>
    <row r="46" spans="2:5" ht="15">
      <c r="B46" s="257" t="s">
        <v>60</v>
      </c>
      <c r="C46" s="260">
        <f>SUM(C39:C44)</f>
        <v>0</v>
      </c>
      <c r="D46" s="260">
        <f>SUM(D39:D44)</f>
        <v>24283</v>
      </c>
      <c r="E46" s="260">
        <f>SUM(E39:E44)</f>
        <v>0</v>
      </c>
    </row>
    <row r="47" spans="2:5" ht="15">
      <c r="B47" s="257" t="s">
        <v>61</v>
      </c>
      <c r="C47" s="260">
        <f>C37+C46</f>
        <v>0</v>
      </c>
      <c r="D47" s="260">
        <f>D37+D46</f>
        <v>24283</v>
      </c>
      <c r="E47" s="260">
        <f>E37+E46</f>
        <v>0</v>
      </c>
    </row>
    <row r="48" spans="2:5" ht="15">
      <c r="B48" s="140" t="s">
        <v>63</v>
      </c>
      <c r="C48" s="221"/>
      <c r="D48" s="221"/>
      <c r="E48" s="221"/>
    </row>
    <row r="49" spans="2:5" ht="15">
      <c r="B49" s="266" t="s">
        <v>642</v>
      </c>
      <c r="C49" s="55">
        <v>0</v>
      </c>
      <c r="D49" s="55">
        <v>0</v>
      </c>
      <c r="E49" s="55">
        <v>0</v>
      </c>
    </row>
    <row r="50" spans="2:5" ht="15">
      <c r="B50" s="266" t="s">
        <v>643</v>
      </c>
      <c r="C50" s="55">
        <v>0</v>
      </c>
      <c r="D50" s="55">
        <v>14878</v>
      </c>
      <c r="E50" s="55">
        <v>0</v>
      </c>
    </row>
    <row r="51" spans="2:5" ht="15">
      <c r="B51" s="266" t="s">
        <v>644</v>
      </c>
      <c r="C51" s="55">
        <v>0</v>
      </c>
      <c r="D51" s="55">
        <v>7700</v>
      </c>
      <c r="E51" s="55">
        <v>0</v>
      </c>
    </row>
    <row r="52" spans="2:5" ht="15">
      <c r="B52" s="266" t="s">
        <v>645</v>
      </c>
      <c r="C52" s="55">
        <v>0</v>
      </c>
      <c r="D52" s="55">
        <v>1705</v>
      </c>
      <c r="E52" s="55">
        <v>0</v>
      </c>
    </row>
    <row r="53" spans="2:5" ht="15">
      <c r="B53" s="266"/>
      <c r="C53" s="55"/>
      <c r="D53" s="55"/>
      <c r="E53" s="55"/>
    </row>
    <row r="54" spans="2:5" ht="15">
      <c r="B54" s="266"/>
      <c r="C54" s="55"/>
      <c r="D54" s="55"/>
      <c r="E54" s="55"/>
    </row>
    <row r="55" spans="2:5" ht="15">
      <c r="B55" s="266"/>
      <c r="C55" s="55"/>
      <c r="D55" s="55"/>
      <c r="E55" s="55"/>
    </row>
    <row r="56" spans="2:5" ht="15">
      <c r="B56" s="266"/>
      <c r="C56" s="55"/>
      <c r="D56" s="55"/>
      <c r="E56" s="55"/>
    </row>
    <row r="57" spans="2:5" ht="15">
      <c r="B57" s="267" t="s">
        <v>12</v>
      </c>
      <c r="C57" s="55"/>
      <c r="D57" s="251"/>
      <c r="E57" s="251"/>
    </row>
    <row r="58" spans="2:5" ht="15">
      <c r="B58" s="267" t="s">
        <v>506</v>
      </c>
      <c r="C58" s="292">
        <f>IF(C59*0.1&lt;C57,"Exceed 10% Rule","")</f>
      </c>
      <c r="D58" s="256">
        <f>IF(D59*0.1&lt;D57,"Exceed 10% Rule","")</f>
      </c>
      <c r="E58" s="256">
        <f>IF(E59*0.1&lt;E57,"Exceed 10% Rule","")</f>
      </c>
    </row>
    <row r="59" spans="2:5" ht="15">
      <c r="B59" s="257" t="s">
        <v>67</v>
      </c>
      <c r="C59" s="260">
        <f>SUM(C49:C57)</f>
        <v>0</v>
      </c>
      <c r="D59" s="260">
        <f>SUM(D49:D57)</f>
        <v>24283</v>
      </c>
      <c r="E59" s="260">
        <f>SUM(E49:E57)</f>
        <v>0</v>
      </c>
    </row>
    <row r="60" spans="2:5" ht="15">
      <c r="B60" s="140" t="s">
        <v>175</v>
      </c>
      <c r="C60" s="70">
        <f>C47-C59</f>
        <v>0</v>
      </c>
      <c r="D60" s="70">
        <f>D47-D59</f>
        <v>0</v>
      </c>
      <c r="E60" s="70">
        <f>E47-E59</f>
        <v>0</v>
      </c>
    </row>
    <row r="61" spans="2:5" ht="15">
      <c r="B61" s="126" t="str">
        <f>CONCATENATE("",E1-2,"/",E1-1," Budget Authority Amount:")</f>
        <v>2010/2011 Budget Authority Amount:</v>
      </c>
      <c r="C61" s="234">
        <f>inputOth!B72</f>
        <v>0</v>
      </c>
      <c r="D61" s="234">
        <f>inputPrYr!D41</f>
        <v>0</v>
      </c>
      <c r="E61" s="343">
        <f>IF(E60&lt;0,"See Tab E","")</f>
      </c>
    </row>
    <row r="62" spans="2:5" ht="15">
      <c r="B62" s="126"/>
      <c r="C62" s="270">
        <f>IF(C59&gt;C61,"See Tab A","")</f>
      </c>
      <c r="D62" s="270" t="str">
        <f>IF(D59&gt;D61,"See Tab C","")</f>
        <v>See Tab C</v>
      </c>
      <c r="E62" s="35"/>
    </row>
    <row r="63" spans="2:5" ht="15">
      <c r="B63" s="126"/>
      <c r="C63" s="270">
        <f>IF(C60&lt;0,"See Tab B","")</f>
      </c>
      <c r="D63" s="270">
        <f>IF(D60&lt;0,"See Tab D","")</f>
      </c>
      <c r="E63" s="35"/>
    </row>
    <row r="64" spans="2:5" ht="15">
      <c r="B64" s="35"/>
      <c r="C64" s="35"/>
      <c r="D64" s="35"/>
      <c r="E64" s="35"/>
    </row>
    <row r="65" spans="2:5" ht="15">
      <c r="B65" s="370" t="s">
        <v>70</v>
      </c>
      <c r="C65" s="274">
        <v>16</v>
      </c>
      <c r="D65" s="35"/>
      <c r="E65" s="35"/>
    </row>
  </sheetData>
  <sheetProtection sheet="1"/>
  <conditionalFormatting sqref="C13">
    <cfRule type="cellIs" priority="18" dxfId="254" operator="greaterThan" stopIfTrue="1">
      <formula>$C$15*0.1</formula>
    </cfRule>
  </conditionalFormatting>
  <conditionalFormatting sqref="D13">
    <cfRule type="cellIs" priority="17" dxfId="254" operator="greaterThan" stopIfTrue="1">
      <formula>$D$15*0.1</formula>
    </cfRule>
  </conditionalFormatting>
  <conditionalFormatting sqref="E13">
    <cfRule type="cellIs" priority="16" dxfId="254" operator="greaterThan" stopIfTrue="1">
      <formula>$E$15*0.1</formula>
    </cfRule>
  </conditionalFormatting>
  <conditionalFormatting sqref="C26">
    <cfRule type="cellIs" priority="15" dxfId="254" operator="greaterThan" stopIfTrue="1">
      <formula>$C$28*0.1</formula>
    </cfRule>
  </conditionalFormatting>
  <conditionalFormatting sqref="D26">
    <cfRule type="cellIs" priority="14" dxfId="254" operator="greaterThan" stopIfTrue="1">
      <formula>$D$28*0.1</formula>
    </cfRule>
  </conditionalFormatting>
  <conditionalFormatting sqref="E26">
    <cfRule type="cellIs" priority="13" dxfId="254" operator="greaterThan" stopIfTrue="1">
      <formula>$E$28*0.1</formula>
    </cfRule>
  </conditionalFormatting>
  <conditionalFormatting sqref="C44">
    <cfRule type="cellIs" priority="12" dxfId="254" operator="greaterThan" stopIfTrue="1">
      <formula>$C$46*0.1</formula>
    </cfRule>
  </conditionalFormatting>
  <conditionalFormatting sqref="D44">
    <cfRule type="cellIs" priority="11" dxfId="254" operator="greaterThan" stopIfTrue="1">
      <formula>$D$46*0.1</formula>
    </cfRule>
  </conditionalFormatting>
  <conditionalFormatting sqref="E44">
    <cfRule type="cellIs" priority="10" dxfId="254" operator="greaterThan" stopIfTrue="1">
      <formula>$E$46*0.1</formula>
    </cfRule>
  </conditionalFormatting>
  <conditionalFormatting sqref="C57">
    <cfRule type="cellIs" priority="9" dxfId="254" operator="greaterThan" stopIfTrue="1">
      <formula>$C$59*0.1</formula>
    </cfRule>
  </conditionalFormatting>
  <conditionalFormatting sqref="D57">
    <cfRule type="cellIs" priority="8" dxfId="254" operator="greaterThan" stopIfTrue="1">
      <formula>$D$59*0.1</formula>
    </cfRule>
  </conditionalFormatting>
  <conditionalFormatting sqref="E57">
    <cfRule type="cellIs" priority="7" dxfId="254" operator="greaterThan" stopIfTrue="1">
      <formula>$E$59*0.1</formula>
    </cfRule>
  </conditionalFormatting>
  <conditionalFormatting sqref="C59:D59">
    <cfRule type="cellIs" priority="6" dxfId="0" operator="greaterThan" stopIfTrue="1">
      <formula>$D$61</formula>
    </cfRule>
  </conditionalFormatting>
  <conditionalFormatting sqref="C60 E60 C29 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8">
    <cfRule type="cellIs" priority="3" dxfId="0" operator="greaterThan" stopIfTrue="1">
      <formula>$C$30</formula>
    </cfRule>
  </conditionalFormatting>
  <conditionalFormatting sqref="D60">
    <cfRule type="cellIs" priority="2" dxfId="1" operator="lessThan" stopIfTrue="1">
      <formula>0</formula>
    </cfRule>
  </conditionalFormatting>
  <conditionalFormatting sqref="D29">
    <cfRule type="cellIs" priority="1" dxfId="1"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28" sqref="D28"/>
    </sheetView>
  </sheetViews>
  <sheetFormatPr defaultColWidth="8.8984375" defaultRowHeight="15"/>
  <cols>
    <col min="1" max="1" width="2.3984375" style="32" customWidth="1"/>
    <col min="2" max="2" width="31.09765625" style="32" customWidth="1"/>
    <col min="3" max="4" width="15.69921875" style="32" customWidth="1"/>
    <col min="5" max="5" width="16.09765625" style="32" customWidth="1"/>
    <col min="6" max="16384" width="8.8984375" style="32" customWidth="1"/>
  </cols>
  <sheetData>
    <row r="1" spans="2:5" ht="15">
      <c r="B1" s="187" t="str">
        <f>(inputPrYr!D2)</f>
        <v>City of Ellsworth</v>
      </c>
      <c r="C1" s="35"/>
      <c r="D1" s="35"/>
      <c r="E1" s="241">
        <f>inputPrYr!C5</f>
        <v>2012</v>
      </c>
    </row>
    <row r="2" spans="2:5" ht="15">
      <c r="B2" s="35"/>
      <c r="C2" s="35"/>
      <c r="D2" s="35"/>
      <c r="E2" s="159"/>
    </row>
    <row r="3" spans="2:5" ht="15">
      <c r="B3" s="242" t="s">
        <v>120</v>
      </c>
      <c r="C3" s="283"/>
      <c r="D3" s="283"/>
      <c r="E3" s="283"/>
    </row>
    <row r="4" spans="2:5" ht="15">
      <c r="B4" s="40" t="s">
        <v>53</v>
      </c>
      <c r="C4" s="467" t="s">
        <v>73</v>
      </c>
      <c r="D4" s="466" t="s">
        <v>197</v>
      </c>
      <c r="E4" s="466" t="s">
        <v>198</v>
      </c>
    </row>
    <row r="5" spans="2:5" ht="15">
      <c r="B5" s="424" t="str">
        <f>inputPrYr!B42</f>
        <v>2011 Bond Compliance</v>
      </c>
      <c r="C5" s="244">
        <f>E1-2</f>
        <v>2010</v>
      </c>
      <c r="D5" s="244">
        <f>E1-1</f>
        <v>2011</v>
      </c>
      <c r="E5" s="244">
        <f>E1</f>
        <v>2012</v>
      </c>
    </row>
    <row r="6" spans="2:5" ht="15">
      <c r="B6" s="245" t="s">
        <v>174</v>
      </c>
      <c r="C6" s="55">
        <v>0</v>
      </c>
      <c r="D6" s="221">
        <f>C29</f>
        <v>0</v>
      </c>
      <c r="E6" s="221">
        <f>D29</f>
        <v>3641</v>
      </c>
    </row>
    <row r="7" spans="2:5" s="33" customFormat="1" ht="15">
      <c r="B7" s="249" t="s">
        <v>176</v>
      </c>
      <c r="C7" s="75"/>
      <c r="D7" s="75"/>
      <c r="E7" s="75"/>
    </row>
    <row r="8" spans="2:5" ht="15">
      <c r="B8" s="266" t="s">
        <v>637</v>
      </c>
      <c r="C8" s="55">
        <v>0</v>
      </c>
      <c r="D8" s="55">
        <v>3641</v>
      </c>
      <c r="E8" s="55"/>
    </row>
    <row r="9" spans="2:5" ht="15">
      <c r="B9" s="266"/>
      <c r="C9" s="55"/>
      <c r="D9" s="55"/>
      <c r="E9" s="55"/>
    </row>
    <row r="10" spans="2:5" ht="15">
      <c r="B10" s="266"/>
      <c r="C10" s="55"/>
      <c r="D10" s="55"/>
      <c r="E10" s="55"/>
    </row>
    <row r="11" spans="2:5" ht="15">
      <c r="B11" s="266"/>
      <c r="C11" s="55"/>
      <c r="D11" s="55"/>
      <c r="E11" s="55"/>
    </row>
    <row r="12" spans="2:5" ht="15">
      <c r="B12" s="254" t="s">
        <v>59</v>
      </c>
      <c r="C12" s="55"/>
      <c r="D12" s="55"/>
      <c r="E12" s="55"/>
    </row>
    <row r="13" spans="2:5" ht="15">
      <c r="B13" s="149" t="s">
        <v>12</v>
      </c>
      <c r="C13" s="55"/>
      <c r="D13" s="251"/>
      <c r="E13" s="251"/>
    </row>
    <row r="14" spans="2:5" ht="15">
      <c r="B14" s="245" t="s">
        <v>505</v>
      </c>
      <c r="C14" s="292">
        <f>IF(C15*0.1&lt;C13,"Exceed 10% Rule","")</f>
      </c>
      <c r="D14" s="256">
        <f>IF(D15*0.1&lt;D13,"Exceed 10% Rule","")</f>
      </c>
      <c r="E14" s="256">
        <f>IF(E15*0.1&lt;E13,"Exceed 10% Rule","")</f>
      </c>
    </row>
    <row r="15" spans="2:5" ht="15">
      <c r="B15" s="257" t="s">
        <v>60</v>
      </c>
      <c r="C15" s="260">
        <f>SUM(C8:C13)</f>
        <v>0</v>
      </c>
      <c r="D15" s="260">
        <f>SUM(D8:D13)</f>
        <v>3641</v>
      </c>
      <c r="E15" s="260">
        <f>SUM(E8:E13)</f>
        <v>0</v>
      </c>
    </row>
    <row r="16" spans="2:5" ht="15">
      <c r="B16" s="257" t="s">
        <v>61</v>
      </c>
      <c r="C16" s="260">
        <f>C6+C15</f>
        <v>0</v>
      </c>
      <c r="D16" s="260">
        <f>D6+D15</f>
        <v>3641</v>
      </c>
      <c r="E16" s="260">
        <f>E6+E15</f>
        <v>3641</v>
      </c>
    </row>
    <row r="17" spans="2:5" ht="15">
      <c r="B17" s="140" t="s">
        <v>63</v>
      </c>
      <c r="C17" s="221"/>
      <c r="D17" s="221"/>
      <c r="E17" s="221"/>
    </row>
    <row r="18" spans="2:5" ht="15">
      <c r="B18" s="266" t="s">
        <v>646</v>
      </c>
      <c r="C18" s="55">
        <v>0</v>
      </c>
      <c r="D18" s="55">
        <v>0</v>
      </c>
      <c r="E18" s="55">
        <v>3641</v>
      </c>
    </row>
    <row r="19" spans="2:5" ht="15">
      <c r="B19" s="266"/>
      <c r="C19" s="55"/>
      <c r="D19" s="55"/>
      <c r="E19" s="55"/>
    </row>
    <row r="20" spans="2:5" ht="15">
      <c r="B20" s="266"/>
      <c r="C20" s="55"/>
      <c r="D20" s="55"/>
      <c r="E20" s="55"/>
    </row>
    <row r="21" spans="2:5" ht="15">
      <c r="B21" s="266"/>
      <c r="C21" s="55"/>
      <c r="D21" s="55"/>
      <c r="E21" s="55"/>
    </row>
    <row r="22" spans="2:5" ht="15">
      <c r="B22" s="266"/>
      <c r="C22" s="55"/>
      <c r="D22" s="55"/>
      <c r="E22" s="55"/>
    </row>
    <row r="23" spans="2:5" ht="15">
      <c r="B23" s="266"/>
      <c r="C23" s="55"/>
      <c r="D23" s="55"/>
      <c r="E23" s="55"/>
    </row>
    <row r="24" spans="2:5" ht="15">
      <c r="B24" s="266"/>
      <c r="C24" s="55"/>
      <c r="D24" s="55"/>
      <c r="E24" s="55"/>
    </row>
    <row r="25" spans="2:5" ht="15">
      <c r="B25" s="266"/>
      <c r="C25" s="55"/>
      <c r="D25" s="55"/>
      <c r="E25" s="55"/>
    </row>
    <row r="26" spans="2:5" ht="15">
      <c r="B26" s="267" t="s">
        <v>12</v>
      </c>
      <c r="C26" s="55"/>
      <c r="D26" s="251"/>
      <c r="E26" s="251"/>
    </row>
    <row r="27" spans="2:5" ht="15">
      <c r="B27" s="267" t="s">
        <v>508</v>
      </c>
      <c r="C27" s="292">
        <f>IF(C28*0.1&lt;C26,"Exceed 10% Rule","")</f>
      </c>
      <c r="D27" s="256">
        <f>IF(D28*0.1&lt;D26,"Exceed 10% Rule","")</f>
      </c>
      <c r="E27" s="256">
        <f>IF(E28*0.1&lt;E26,"Exceed 10% Rule","")</f>
      </c>
    </row>
    <row r="28" spans="2:5" ht="15">
      <c r="B28" s="257" t="s">
        <v>67</v>
      </c>
      <c r="C28" s="260">
        <f>SUM(C18:C26)</f>
        <v>0</v>
      </c>
      <c r="D28" s="260">
        <f>SUM(D18:D26)</f>
        <v>0</v>
      </c>
      <c r="E28" s="260">
        <f>SUM(E18:E26)</f>
        <v>3641</v>
      </c>
    </row>
    <row r="29" spans="2:5" ht="15">
      <c r="B29" s="140" t="s">
        <v>175</v>
      </c>
      <c r="C29" s="70">
        <f>C16-C28</f>
        <v>0</v>
      </c>
      <c r="D29" s="70">
        <f>D16-D28</f>
        <v>3641</v>
      </c>
      <c r="E29" s="70">
        <f>E16-E28</f>
        <v>0</v>
      </c>
    </row>
    <row r="30" spans="2:5" ht="15">
      <c r="B30" s="126" t="str">
        <f>CONCATENATE("",E1-2,"/",E1-1," Budget Authority Amount:")</f>
        <v>2010/2011 Budget Authority Amount:</v>
      </c>
      <c r="C30" s="234">
        <f>inputOth!B73</f>
        <v>0</v>
      </c>
      <c r="D30" s="234">
        <f>inputPrYr!D42</f>
        <v>0</v>
      </c>
      <c r="E30" s="343">
        <f>IF(E29&lt;0,"See Tab E","")</f>
      </c>
    </row>
    <row r="31" spans="2:5" ht="15">
      <c r="B31" s="126"/>
      <c r="C31" s="344">
        <f>IF(C28&gt;C30,"See Tab A","")</f>
      </c>
      <c r="D31" s="270">
        <f>IF(D28&gt;D30,"See Tab C","")</f>
      </c>
      <c r="E31" s="85"/>
    </row>
    <row r="32" spans="2:5" ht="15">
      <c r="B32" s="126"/>
      <c r="C32" s="344">
        <f>IF(C29&lt;0,"See Tab B","")</f>
      </c>
      <c r="D32" s="270">
        <f>IF(D29&lt;0,"See Tab D","")</f>
      </c>
      <c r="E32" s="85"/>
    </row>
    <row r="33" spans="2:5" ht="15">
      <c r="B33" s="35"/>
      <c r="C33" s="345"/>
      <c r="D33" s="85"/>
      <c r="E33" s="85"/>
    </row>
    <row r="34" spans="2:5" ht="15">
      <c r="B34" s="40" t="s">
        <v>53</v>
      </c>
      <c r="C34" s="346"/>
      <c r="D34" s="287"/>
      <c r="E34" s="287"/>
    </row>
    <row r="35" spans="2:5" ht="15">
      <c r="B35" s="35"/>
      <c r="C35" s="467" t="s">
        <v>73</v>
      </c>
      <c r="D35" s="466" t="s">
        <v>197</v>
      </c>
      <c r="E35" s="466" t="s">
        <v>198</v>
      </c>
    </row>
    <row r="36" spans="2:5" ht="15">
      <c r="B36" s="424" t="str">
        <f>inputPrYr!B43</f>
        <v>Water/Sewer Improvement</v>
      </c>
      <c r="C36" s="244">
        <f>C5</f>
        <v>2010</v>
      </c>
      <c r="D36" s="244">
        <f>D5</f>
        <v>2011</v>
      </c>
      <c r="E36" s="244">
        <f>E5</f>
        <v>2012</v>
      </c>
    </row>
    <row r="37" spans="2:5" ht="15">
      <c r="B37" s="245" t="s">
        <v>174</v>
      </c>
      <c r="C37" s="55">
        <v>238171</v>
      </c>
      <c r="D37" s="221">
        <f>C60</f>
        <v>362169</v>
      </c>
      <c r="E37" s="221">
        <f>D60</f>
        <v>326745</v>
      </c>
    </row>
    <row r="38" spans="2:5" s="33" customFormat="1" ht="15">
      <c r="B38" s="249" t="s">
        <v>176</v>
      </c>
      <c r="C38" s="75"/>
      <c r="D38" s="75"/>
      <c r="E38" s="75"/>
    </row>
    <row r="39" spans="2:5" ht="15">
      <c r="B39" s="266" t="s">
        <v>609</v>
      </c>
      <c r="C39" s="55">
        <v>307083</v>
      </c>
      <c r="D39" s="55">
        <v>230000</v>
      </c>
      <c r="E39" s="55">
        <v>50000</v>
      </c>
    </row>
    <row r="40" spans="2:5" ht="15">
      <c r="B40" s="266"/>
      <c r="C40" s="55"/>
      <c r="D40" s="55"/>
      <c r="E40" s="55"/>
    </row>
    <row r="41" spans="2:5" ht="15">
      <c r="B41" s="266"/>
      <c r="C41" s="55"/>
      <c r="D41" s="55"/>
      <c r="E41" s="55"/>
    </row>
    <row r="42" spans="2:5" ht="15">
      <c r="B42" s="266"/>
      <c r="C42" s="55"/>
      <c r="D42" s="55"/>
      <c r="E42" s="55"/>
    </row>
    <row r="43" spans="2:5" ht="15">
      <c r="B43" s="254" t="s">
        <v>59</v>
      </c>
      <c r="C43" s="55">
        <v>2977</v>
      </c>
      <c r="D43" s="55">
        <v>2250</v>
      </c>
      <c r="E43" s="55">
        <v>2100</v>
      </c>
    </row>
    <row r="44" spans="2:5" ht="15">
      <c r="B44" s="149" t="s">
        <v>12</v>
      </c>
      <c r="C44" s="55"/>
      <c r="D44" s="251"/>
      <c r="E44" s="251"/>
    </row>
    <row r="45" spans="2:5" ht="15">
      <c r="B45" s="245" t="s">
        <v>505</v>
      </c>
      <c r="C45" s="292">
        <f>IF(C46*0.1&lt;C44,"Exceed 10% Rule","")</f>
      </c>
      <c r="D45" s="256">
        <f>IF(D46*0.1&lt;D44,"Exceed 10% Rule","")</f>
      </c>
      <c r="E45" s="256">
        <f>IF(E46*0.1&lt;E44,"Exceed 10% Rule","")</f>
      </c>
    </row>
    <row r="46" spans="2:5" ht="15">
      <c r="B46" s="257" t="s">
        <v>60</v>
      </c>
      <c r="C46" s="260">
        <f>SUM(C39:C44)</f>
        <v>310060</v>
      </c>
      <c r="D46" s="260">
        <f>SUM(D39:D44)</f>
        <v>232250</v>
      </c>
      <c r="E46" s="260">
        <f>SUM(E39:E44)</f>
        <v>52100</v>
      </c>
    </row>
    <row r="47" spans="2:5" ht="15">
      <c r="B47" s="257" t="s">
        <v>61</v>
      </c>
      <c r="C47" s="260">
        <f>C37+C46</f>
        <v>548231</v>
      </c>
      <c r="D47" s="260">
        <f>D37+D46</f>
        <v>594419</v>
      </c>
      <c r="E47" s="260">
        <f>E37+E46</f>
        <v>378845</v>
      </c>
    </row>
    <row r="48" spans="2:5" ht="15">
      <c r="B48" s="140" t="s">
        <v>63</v>
      </c>
      <c r="C48" s="221"/>
      <c r="D48" s="221"/>
      <c r="E48" s="221"/>
    </row>
    <row r="49" spans="2:5" ht="15">
      <c r="B49" s="266" t="s">
        <v>647</v>
      </c>
      <c r="C49" s="55">
        <v>0</v>
      </c>
      <c r="D49" s="55">
        <v>0</v>
      </c>
      <c r="E49" s="55">
        <v>1537</v>
      </c>
    </row>
    <row r="50" spans="2:5" ht="15">
      <c r="B50" s="266" t="s">
        <v>640</v>
      </c>
      <c r="C50" s="55">
        <v>14254</v>
      </c>
      <c r="D50" s="55">
        <v>20000</v>
      </c>
      <c r="E50" s="55">
        <v>270000</v>
      </c>
    </row>
    <row r="51" spans="2:5" ht="15">
      <c r="B51" s="266" t="s">
        <v>648</v>
      </c>
      <c r="C51" s="55">
        <v>113744</v>
      </c>
      <c r="D51" s="55">
        <v>150103</v>
      </c>
      <c r="E51" s="55">
        <v>62289</v>
      </c>
    </row>
    <row r="52" spans="2:5" ht="15">
      <c r="B52" s="266" t="s">
        <v>649</v>
      </c>
      <c r="C52" s="55">
        <v>52927</v>
      </c>
      <c r="D52" s="55">
        <v>89084</v>
      </c>
      <c r="E52" s="55">
        <v>30315</v>
      </c>
    </row>
    <row r="53" spans="2:5" ht="15">
      <c r="B53" s="266" t="s">
        <v>650</v>
      </c>
      <c r="C53" s="55">
        <v>5137</v>
      </c>
      <c r="D53" s="55">
        <v>8487</v>
      </c>
      <c r="E53" s="55">
        <v>3339</v>
      </c>
    </row>
    <row r="54" spans="2:5" ht="15">
      <c r="B54" s="266"/>
      <c r="C54" s="55"/>
      <c r="D54" s="55"/>
      <c r="E54" s="55"/>
    </row>
    <row r="55" spans="2:5" ht="15">
      <c r="B55" s="266"/>
      <c r="C55" s="55"/>
      <c r="D55" s="55"/>
      <c r="E55" s="55"/>
    </row>
    <row r="56" spans="2:5" ht="15">
      <c r="B56" s="266"/>
      <c r="C56" s="55"/>
      <c r="D56" s="55"/>
      <c r="E56" s="55"/>
    </row>
    <row r="57" spans="2:5" ht="15">
      <c r="B57" s="267" t="s">
        <v>12</v>
      </c>
      <c r="C57" s="55"/>
      <c r="D57" s="251"/>
      <c r="E57" s="251">
        <v>11365</v>
      </c>
    </row>
    <row r="58" spans="2:5" ht="15">
      <c r="B58" s="267" t="s">
        <v>506</v>
      </c>
      <c r="C58" s="292">
        <f>IF(C59*0.1&lt;C57,"Exceed 10% Rule","")</f>
      </c>
      <c r="D58" s="256">
        <f>IF(D59*0.1&lt;D57,"Exceed 10% Rule","")</f>
      </c>
      <c r="E58" s="256">
        <f>IF(E59*0.1&lt;E57,"Exceed 10% Rule","")</f>
      </c>
    </row>
    <row r="59" spans="2:5" ht="15">
      <c r="B59" s="257" t="s">
        <v>67</v>
      </c>
      <c r="C59" s="260">
        <f>SUM(C49:C57)</f>
        <v>186062</v>
      </c>
      <c r="D59" s="260">
        <f>SUM(D49:D57)</f>
        <v>267674</v>
      </c>
      <c r="E59" s="260">
        <f>SUM(E49:E57)</f>
        <v>378845</v>
      </c>
    </row>
    <row r="60" spans="2:5" ht="15">
      <c r="B60" s="140" t="s">
        <v>175</v>
      </c>
      <c r="C60" s="70">
        <f>C47-C59</f>
        <v>362169</v>
      </c>
      <c r="D60" s="70">
        <f>D47-D59</f>
        <v>326745</v>
      </c>
      <c r="E60" s="70">
        <f>E47-E59</f>
        <v>0</v>
      </c>
    </row>
    <row r="61" spans="2:5" ht="15">
      <c r="B61" s="126" t="str">
        <f>CONCATENATE("",E1-2,"/",E1-1," Budget Authority Amount:")</f>
        <v>2010/2011 Budget Authority Amount:</v>
      </c>
      <c r="C61" s="234">
        <f>inputOth!B75</f>
        <v>475000</v>
      </c>
      <c r="D61" s="234">
        <f>inputPrYr!D43</f>
        <v>604289</v>
      </c>
      <c r="E61" s="343">
        <f>IF(E60&lt;0,"See Tab E","")</f>
      </c>
    </row>
    <row r="62" spans="2:5" ht="15">
      <c r="B62" s="126"/>
      <c r="C62" s="270">
        <f>IF(C59&gt;C61,"See Tab A","")</f>
      </c>
      <c r="D62" s="270">
        <f>IF(D59&gt;D61,"See Tab C","")</f>
      </c>
      <c r="E62" s="35"/>
    </row>
    <row r="63" spans="2:5" ht="15">
      <c r="B63" s="126"/>
      <c r="C63" s="270">
        <f>IF(C60&lt;0,"See Tab B","")</f>
      </c>
      <c r="D63" s="270">
        <f>IF(D60&lt;0,"See Tab D","")</f>
      </c>
      <c r="E63" s="35"/>
    </row>
    <row r="64" spans="2:5" ht="15">
      <c r="B64" s="35"/>
      <c r="C64" s="35"/>
      <c r="D64" s="35"/>
      <c r="E64" s="35"/>
    </row>
    <row r="65" spans="2:5" ht="15">
      <c r="B65" s="370" t="s">
        <v>70</v>
      </c>
      <c r="C65" s="274">
        <v>17</v>
      </c>
      <c r="D65" s="35"/>
      <c r="E65" s="35"/>
    </row>
  </sheetData>
  <sheetProtection/>
  <conditionalFormatting sqref="C13">
    <cfRule type="cellIs" priority="18" dxfId="254" operator="greaterThan" stopIfTrue="1">
      <formula>$C$15*0.1</formula>
    </cfRule>
  </conditionalFormatting>
  <conditionalFormatting sqref="D13">
    <cfRule type="cellIs" priority="17" dxfId="254" operator="greaterThan" stopIfTrue="1">
      <formula>$D$15*0.1</formula>
    </cfRule>
  </conditionalFormatting>
  <conditionalFormatting sqref="E13">
    <cfRule type="cellIs" priority="16" dxfId="254" operator="greaterThan" stopIfTrue="1">
      <formula>$E$15*0.1</formula>
    </cfRule>
  </conditionalFormatting>
  <conditionalFormatting sqref="C26">
    <cfRule type="cellIs" priority="15" dxfId="254" operator="greaterThan" stopIfTrue="1">
      <formula>$C$28*0.1</formula>
    </cfRule>
  </conditionalFormatting>
  <conditionalFormatting sqref="D26">
    <cfRule type="cellIs" priority="14" dxfId="254" operator="greaterThan" stopIfTrue="1">
      <formula>$D$28*0.1</formula>
    </cfRule>
  </conditionalFormatting>
  <conditionalFormatting sqref="E26">
    <cfRule type="cellIs" priority="13" dxfId="254" operator="greaterThan" stopIfTrue="1">
      <formula>$E$28*0.1</formula>
    </cfRule>
  </conditionalFormatting>
  <conditionalFormatting sqref="C44">
    <cfRule type="cellIs" priority="12" dxfId="254" operator="greaterThan" stopIfTrue="1">
      <formula>$C$46*0.1</formula>
    </cfRule>
  </conditionalFormatting>
  <conditionalFormatting sqref="D44">
    <cfRule type="cellIs" priority="11" dxfId="254" operator="greaterThan" stopIfTrue="1">
      <formula>$D$46*0.1</formula>
    </cfRule>
  </conditionalFormatting>
  <conditionalFormatting sqref="E44">
    <cfRule type="cellIs" priority="10" dxfId="254" operator="greaterThan" stopIfTrue="1">
      <formula>$E$46*0.1</formula>
    </cfRule>
  </conditionalFormatting>
  <conditionalFormatting sqref="C57">
    <cfRule type="cellIs" priority="9" dxfId="254" operator="greaterThan" stopIfTrue="1">
      <formula>$C$59*0.1</formula>
    </cfRule>
  </conditionalFormatting>
  <conditionalFormatting sqref="D57">
    <cfRule type="cellIs" priority="8" dxfId="254" operator="greaterThan" stopIfTrue="1">
      <formula>$D$59*0.1</formula>
    </cfRule>
  </conditionalFormatting>
  <conditionalFormatting sqref="E57">
    <cfRule type="cellIs" priority="7" dxfId="254" operator="greaterThan" stopIfTrue="1">
      <formula>$E$59*0.1</formula>
    </cfRule>
  </conditionalFormatting>
  <conditionalFormatting sqref="C59:D59">
    <cfRule type="cellIs" priority="6" dxfId="0" operator="greaterThan" stopIfTrue="1">
      <formula>$D$61</formula>
    </cfRule>
  </conditionalFormatting>
  <conditionalFormatting sqref="C60 E60 C29 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8">
    <cfRule type="cellIs" priority="3" dxfId="0" operator="greaterThan" stopIfTrue="1">
      <formula>$C$30</formula>
    </cfRule>
  </conditionalFormatting>
  <conditionalFormatting sqref="D60">
    <cfRule type="cellIs" priority="2" dxfId="1" operator="lessThan" stopIfTrue="1">
      <formula>0</formula>
    </cfRule>
  </conditionalFormatting>
  <conditionalFormatting sqref="D29">
    <cfRule type="cellIs" priority="1" dxfId="1"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7" sqref="B7"/>
    </sheetView>
  </sheetViews>
  <sheetFormatPr defaultColWidth="8.8984375" defaultRowHeight="15"/>
  <cols>
    <col min="1" max="1" width="2.3984375" style="32" customWidth="1"/>
    <col min="2" max="2" width="31.09765625" style="32" customWidth="1"/>
    <col min="3" max="4" width="15.69921875" style="32" customWidth="1"/>
    <col min="5" max="5" width="16.09765625" style="32" customWidth="1"/>
    <col min="6" max="16384" width="8.8984375" style="32" customWidth="1"/>
  </cols>
  <sheetData>
    <row r="1" spans="2:5" ht="15">
      <c r="B1" s="187" t="str">
        <f>(inputPrYr!D2)</f>
        <v>City of Ellsworth</v>
      </c>
      <c r="C1" s="35"/>
      <c r="D1" s="35"/>
      <c r="E1" s="241">
        <f>inputPrYr!C5</f>
        <v>2012</v>
      </c>
    </row>
    <row r="2" spans="2:5" ht="15">
      <c r="B2" s="35"/>
      <c r="C2" s="35"/>
      <c r="D2" s="35"/>
      <c r="E2" s="159"/>
    </row>
    <row r="3" spans="2:5" ht="15">
      <c r="B3" s="242" t="s">
        <v>120</v>
      </c>
      <c r="C3" s="283"/>
      <c r="D3" s="283"/>
      <c r="E3" s="283"/>
    </row>
    <row r="4" spans="2:5" ht="15">
      <c r="B4" s="40" t="s">
        <v>53</v>
      </c>
      <c r="C4" s="467" t="s">
        <v>73</v>
      </c>
      <c r="D4" s="466" t="s">
        <v>197</v>
      </c>
      <c r="E4" s="466" t="s">
        <v>198</v>
      </c>
    </row>
    <row r="5" spans="2:5" ht="15">
      <c r="B5" s="424" t="str">
        <f>inputPrYr!B44</f>
        <v>W/W Treatment Plant Imp</v>
      </c>
      <c r="C5" s="244">
        <f>E1-2</f>
        <v>2010</v>
      </c>
      <c r="D5" s="244">
        <f>E1-1</f>
        <v>2011</v>
      </c>
      <c r="E5" s="244">
        <f>E1</f>
        <v>2012</v>
      </c>
    </row>
    <row r="6" spans="2:5" ht="15">
      <c r="B6" s="245" t="s">
        <v>174</v>
      </c>
      <c r="C6" s="55"/>
      <c r="D6" s="221">
        <f>C29</f>
        <v>0</v>
      </c>
      <c r="E6" s="221">
        <f>D29</f>
        <v>0</v>
      </c>
    </row>
    <row r="7" spans="2:5" s="33" customFormat="1" ht="15">
      <c r="B7" s="249" t="s">
        <v>176</v>
      </c>
      <c r="C7" s="75"/>
      <c r="D7" s="75"/>
      <c r="E7" s="75"/>
    </row>
    <row r="8" spans="2:5" ht="15">
      <c r="B8" s="266" t="s">
        <v>651</v>
      </c>
      <c r="C8" s="55">
        <v>438715</v>
      </c>
      <c r="D8" s="55">
        <v>0</v>
      </c>
      <c r="E8" s="55">
        <v>0</v>
      </c>
    </row>
    <row r="9" spans="2:5" ht="15">
      <c r="B9" s="266"/>
      <c r="C9" s="55"/>
      <c r="D9" s="55"/>
      <c r="E9" s="55"/>
    </row>
    <row r="10" spans="2:5" ht="15">
      <c r="B10" s="266"/>
      <c r="C10" s="55"/>
      <c r="D10" s="55"/>
      <c r="E10" s="55"/>
    </row>
    <row r="11" spans="2:5" ht="15">
      <c r="B11" s="266"/>
      <c r="C11" s="55"/>
      <c r="D11" s="55"/>
      <c r="E11" s="55"/>
    </row>
    <row r="12" spans="2:5" ht="15">
      <c r="B12" s="254" t="s">
        <v>59</v>
      </c>
      <c r="C12" s="55">
        <v>0</v>
      </c>
      <c r="D12" s="55">
        <v>0</v>
      </c>
      <c r="E12" s="55">
        <v>0</v>
      </c>
    </row>
    <row r="13" spans="2:5" ht="15">
      <c r="B13" s="149" t="s">
        <v>12</v>
      </c>
      <c r="C13" s="55"/>
      <c r="D13" s="251"/>
      <c r="E13" s="251"/>
    </row>
    <row r="14" spans="2:5" ht="15">
      <c r="B14" s="245" t="s">
        <v>505</v>
      </c>
      <c r="C14" s="292">
        <f>IF(C15*0.1&lt;C13,"Exceed 10% Rule","")</f>
      </c>
      <c r="D14" s="256">
        <f>IF(D15*0.1&lt;D13,"Exceed 10% Rule","")</f>
      </c>
      <c r="E14" s="256">
        <f>IF(E15*0.1&lt;E13,"Exceed 10% Rule","")</f>
      </c>
    </row>
    <row r="15" spans="2:5" ht="15">
      <c r="B15" s="257" t="s">
        <v>60</v>
      </c>
      <c r="C15" s="260">
        <f>SUM(C8:C13)</f>
        <v>438715</v>
      </c>
      <c r="D15" s="260">
        <f>SUM(D8:D13)</f>
        <v>0</v>
      </c>
      <c r="E15" s="260">
        <f>SUM(E8:E13)</f>
        <v>0</v>
      </c>
    </row>
    <row r="16" spans="2:5" ht="15">
      <c r="B16" s="257" t="s">
        <v>61</v>
      </c>
      <c r="C16" s="260">
        <f>C6+C15</f>
        <v>438715</v>
      </c>
      <c r="D16" s="260">
        <f>D6+D15</f>
        <v>0</v>
      </c>
      <c r="E16" s="260">
        <f>E6+E15</f>
        <v>0</v>
      </c>
    </row>
    <row r="17" spans="2:5" ht="15">
      <c r="B17" s="140" t="s">
        <v>63</v>
      </c>
      <c r="C17" s="221"/>
      <c r="D17" s="221"/>
      <c r="E17" s="221"/>
    </row>
    <row r="18" spans="2:5" ht="15">
      <c r="B18" s="266" t="s">
        <v>652</v>
      </c>
      <c r="C18" s="55">
        <v>36000</v>
      </c>
      <c r="D18" s="55">
        <v>0</v>
      </c>
      <c r="E18" s="55">
        <v>0</v>
      </c>
    </row>
    <row r="19" spans="2:5" ht="15">
      <c r="B19" s="266" t="s">
        <v>66</v>
      </c>
      <c r="C19" s="55">
        <v>402715</v>
      </c>
      <c r="D19" s="55">
        <v>0</v>
      </c>
      <c r="E19" s="55">
        <v>0</v>
      </c>
    </row>
    <row r="20" spans="2:5" ht="15">
      <c r="B20" s="266"/>
      <c r="C20" s="55"/>
      <c r="D20" s="55"/>
      <c r="E20" s="55"/>
    </row>
    <row r="21" spans="2:5" ht="15">
      <c r="B21" s="266"/>
      <c r="C21" s="55"/>
      <c r="D21" s="55"/>
      <c r="E21" s="55"/>
    </row>
    <row r="22" spans="2:5" ht="15">
      <c r="B22" s="266"/>
      <c r="C22" s="55"/>
      <c r="D22" s="55"/>
      <c r="E22" s="55"/>
    </row>
    <row r="23" spans="2:5" ht="15">
      <c r="B23" s="266"/>
      <c r="C23" s="55"/>
      <c r="D23" s="55"/>
      <c r="E23" s="55"/>
    </row>
    <row r="24" spans="2:5" ht="15">
      <c r="B24" s="266"/>
      <c r="C24" s="55"/>
      <c r="D24" s="55"/>
      <c r="E24" s="55"/>
    </row>
    <row r="25" spans="2:5" ht="15">
      <c r="B25" s="266"/>
      <c r="C25" s="55"/>
      <c r="D25" s="55"/>
      <c r="E25" s="55"/>
    </row>
    <row r="26" spans="2:5" ht="15">
      <c r="B26" s="267" t="s">
        <v>12</v>
      </c>
      <c r="C26" s="55"/>
      <c r="D26" s="251"/>
      <c r="E26" s="251"/>
    </row>
    <row r="27" spans="2:5" ht="15">
      <c r="B27" s="267" t="s">
        <v>508</v>
      </c>
      <c r="C27" s="292">
        <f>IF(C28*0.1&lt;C26,"Exceed 10% Rule","")</f>
      </c>
      <c r="D27" s="256">
        <f>IF(D28*0.1&lt;D26,"Exceed 10% Rule","")</f>
      </c>
      <c r="E27" s="256">
        <f>IF(E28*0.1&lt;E26,"Exceed 10% Rule","")</f>
      </c>
    </row>
    <row r="28" spans="2:5" ht="15">
      <c r="B28" s="257" t="s">
        <v>67</v>
      </c>
      <c r="C28" s="260">
        <f>SUM(C18:C26)</f>
        <v>438715</v>
      </c>
      <c r="D28" s="260">
        <f>SUM(D18:D26)</f>
        <v>0</v>
      </c>
      <c r="E28" s="260">
        <f>SUM(E18:E26)</f>
        <v>0</v>
      </c>
    </row>
    <row r="29" spans="2:5" ht="15">
      <c r="B29" s="140" t="s">
        <v>175</v>
      </c>
      <c r="C29" s="70">
        <f>C16-C28</f>
        <v>0</v>
      </c>
      <c r="D29" s="70">
        <f>D16-D28</f>
        <v>0</v>
      </c>
      <c r="E29" s="70">
        <f>E16-E28</f>
        <v>0</v>
      </c>
    </row>
    <row r="30" spans="2:5" ht="15">
      <c r="B30" s="126" t="str">
        <f>CONCATENATE("",E1-2,"/",E1-1," Budget Authority Amount:")</f>
        <v>2010/2011 Budget Authority Amount:</v>
      </c>
      <c r="C30" s="234">
        <f>inputOth!B75</f>
        <v>475000</v>
      </c>
      <c r="D30" s="234">
        <f>inputPrYr!D43</f>
        <v>604289</v>
      </c>
      <c r="E30" s="343">
        <f>IF(E29&lt;0,"See Tab E","")</f>
      </c>
    </row>
    <row r="31" spans="2:5" ht="15">
      <c r="B31" s="126"/>
      <c r="C31" s="344">
        <f>IF(C28&gt;C30,"See Tab A","")</f>
      </c>
      <c r="D31" s="270">
        <f>IF(D28&gt;D30,"See Tab C","")</f>
      </c>
      <c r="E31" s="85"/>
    </row>
    <row r="32" spans="2:5" ht="15">
      <c r="B32" s="126"/>
      <c r="C32" s="344">
        <f>IF(C29&lt;0,"See Tab B","")</f>
      </c>
      <c r="D32" s="270">
        <f>IF(D29&lt;0,"See Tab D","")</f>
      </c>
      <c r="E32" s="85"/>
    </row>
    <row r="33" spans="2:5" ht="15">
      <c r="B33" s="35"/>
      <c r="C33" s="345"/>
      <c r="D33" s="85"/>
      <c r="E33" s="85"/>
    </row>
    <row r="34" spans="2:5" ht="15">
      <c r="B34" s="40" t="s">
        <v>53</v>
      </c>
      <c r="C34" s="346"/>
      <c r="D34" s="287"/>
      <c r="E34" s="287"/>
    </row>
    <row r="35" spans="2:5" ht="15">
      <c r="B35" s="35"/>
      <c r="C35" s="467" t="s">
        <v>73</v>
      </c>
      <c r="D35" s="466" t="s">
        <v>197</v>
      </c>
      <c r="E35" s="466" t="s">
        <v>198</v>
      </c>
    </row>
    <row r="36" spans="2:5" ht="15">
      <c r="B36" s="424" t="str">
        <f>inputPrYr!B45</f>
        <v>2009 Temp Note Debt Service</v>
      </c>
      <c r="C36" s="244">
        <f>C5</f>
        <v>2010</v>
      </c>
      <c r="D36" s="244">
        <f>D5</f>
        <v>2011</v>
      </c>
      <c r="E36" s="244">
        <f>E5</f>
        <v>2012</v>
      </c>
    </row>
    <row r="37" spans="2:5" ht="15">
      <c r="B37" s="245" t="s">
        <v>174</v>
      </c>
      <c r="C37" s="55">
        <v>28883</v>
      </c>
      <c r="D37" s="221">
        <f>C60</f>
        <v>15158</v>
      </c>
      <c r="E37" s="221">
        <f>D60</f>
        <v>0</v>
      </c>
    </row>
    <row r="38" spans="2:5" s="33" customFormat="1" ht="15">
      <c r="B38" s="249" t="s">
        <v>176</v>
      </c>
      <c r="C38" s="75"/>
      <c r="D38" s="75"/>
      <c r="E38" s="75"/>
    </row>
    <row r="39" spans="2:5" ht="15">
      <c r="B39" s="266" t="s">
        <v>551</v>
      </c>
      <c r="C39" s="55">
        <v>0</v>
      </c>
      <c r="D39" s="55">
        <v>609486</v>
      </c>
      <c r="E39" s="55"/>
    </row>
    <row r="40" spans="2:5" ht="15">
      <c r="B40" s="266"/>
      <c r="C40" s="55"/>
      <c r="D40" s="55"/>
      <c r="E40" s="55"/>
    </row>
    <row r="41" spans="2:5" ht="15">
      <c r="B41" s="266"/>
      <c r="C41" s="55"/>
      <c r="D41" s="55"/>
      <c r="E41" s="55"/>
    </row>
    <row r="42" spans="2:5" ht="15">
      <c r="B42" s="266"/>
      <c r="C42" s="55"/>
      <c r="D42" s="55"/>
      <c r="E42" s="55"/>
    </row>
    <row r="43" spans="2:5" ht="15">
      <c r="B43" s="254" t="s">
        <v>59</v>
      </c>
      <c r="C43" s="55">
        <v>108</v>
      </c>
      <c r="D43" s="55">
        <v>0</v>
      </c>
      <c r="E43" s="55"/>
    </row>
    <row r="44" spans="2:5" ht="15">
      <c r="B44" s="149" t="s">
        <v>12</v>
      </c>
      <c r="C44" s="55"/>
      <c r="D44" s="251"/>
      <c r="E44" s="251"/>
    </row>
    <row r="45" spans="2:5" ht="15">
      <c r="B45" s="245" t="s">
        <v>505</v>
      </c>
      <c r="C45" s="292">
        <f>IF(C46*0.1&lt;C44,"Exceed 10% Rule","")</f>
      </c>
      <c r="D45" s="256">
        <f>IF(D46*0.1&lt;D44,"Exceed 10% Rule","")</f>
      </c>
      <c r="E45" s="256">
        <f>IF(E46*0.1&lt;E44,"Exceed 10% Rule","")</f>
      </c>
    </row>
    <row r="46" spans="2:5" ht="15">
      <c r="B46" s="257" t="s">
        <v>60</v>
      </c>
      <c r="C46" s="260">
        <f>SUM(C39:C44)</f>
        <v>108</v>
      </c>
      <c r="D46" s="260">
        <f>SUM(D39:D44)</f>
        <v>609486</v>
      </c>
      <c r="E46" s="260">
        <f>SUM(E39:E44)</f>
        <v>0</v>
      </c>
    </row>
    <row r="47" spans="2:5" ht="15">
      <c r="B47" s="257" t="s">
        <v>61</v>
      </c>
      <c r="C47" s="260">
        <f>C37+C46</f>
        <v>28991</v>
      </c>
      <c r="D47" s="260">
        <f>D37+D46</f>
        <v>624644</v>
      </c>
      <c r="E47" s="260">
        <f>E37+E46</f>
        <v>0</v>
      </c>
    </row>
    <row r="48" spans="2:5" ht="15">
      <c r="B48" s="140" t="s">
        <v>63</v>
      </c>
      <c r="C48" s="221"/>
      <c r="D48" s="221"/>
      <c r="E48" s="221"/>
    </row>
    <row r="49" spans="2:5" ht="15">
      <c r="B49" s="266" t="s">
        <v>636</v>
      </c>
      <c r="C49" s="55"/>
      <c r="D49" s="55">
        <v>624454</v>
      </c>
      <c r="E49" s="55"/>
    </row>
    <row r="50" spans="2:5" ht="15">
      <c r="B50" s="266" t="s">
        <v>641</v>
      </c>
      <c r="C50" s="55">
        <v>13833</v>
      </c>
      <c r="D50" s="55">
        <v>190</v>
      </c>
      <c r="E50" s="55"/>
    </row>
    <row r="51" spans="2:5" ht="15">
      <c r="B51" s="266"/>
      <c r="C51" s="55"/>
      <c r="D51" s="55"/>
      <c r="E51" s="55"/>
    </row>
    <row r="52" spans="2:5" ht="15">
      <c r="B52" s="266"/>
      <c r="C52" s="55"/>
      <c r="D52" s="55"/>
      <c r="E52" s="55"/>
    </row>
    <row r="53" spans="2:5" ht="15">
      <c r="B53" s="266"/>
      <c r="C53" s="55"/>
      <c r="D53" s="55"/>
      <c r="E53" s="55"/>
    </row>
    <row r="54" spans="2:5" ht="15">
      <c r="B54" s="266"/>
      <c r="C54" s="55"/>
      <c r="D54" s="55"/>
      <c r="E54" s="55"/>
    </row>
    <row r="55" spans="2:5" ht="15">
      <c r="B55" s="266"/>
      <c r="C55" s="55"/>
      <c r="D55" s="55"/>
      <c r="E55" s="55"/>
    </row>
    <row r="56" spans="2:5" ht="15">
      <c r="B56" s="266"/>
      <c r="C56" s="55"/>
      <c r="D56" s="55"/>
      <c r="E56" s="55"/>
    </row>
    <row r="57" spans="2:5" ht="15">
      <c r="B57" s="267" t="s">
        <v>12</v>
      </c>
      <c r="C57" s="55"/>
      <c r="D57" s="251"/>
      <c r="E57" s="251"/>
    </row>
    <row r="58" spans="2:5" ht="15">
      <c r="B58" s="267" t="s">
        <v>506</v>
      </c>
      <c r="C58" s="292">
        <f>IF(C59*0.1&lt;C57,"Exceed 10% Rule","")</f>
      </c>
      <c r="D58" s="256">
        <f>IF(D59*0.1&lt;D57,"Exceed 10% Rule","")</f>
      </c>
      <c r="E58" s="256">
        <f>IF(E59*0.1&lt;E57,"Exceed 10% Rule","")</f>
      </c>
    </row>
    <row r="59" spans="2:5" ht="15">
      <c r="B59" s="257" t="s">
        <v>67</v>
      </c>
      <c r="C59" s="260">
        <f>SUM(C49:C57)</f>
        <v>13833</v>
      </c>
      <c r="D59" s="260">
        <f>SUM(D49:D57)</f>
        <v>624644</v>
      </c>
      <c r="E59" s="260">
        <f>SUM(E49:E57)</f>
        <v>0</v>
      </c>
    </row>
    <row r="60" spans="2:5" ht="15">
      <c r="B60" s="140" t="s">
        <v>175</v>
      </c>
      <c r="C60" s="70">
        <f>C47-C59</f>
        <v>15158</v>
      </c>
      <c r="D60" s="70">
        <f>D47-D59</f>
        <v>0</v>
      </c>
      <c r="E60" s="70">
        <f>E47-E59</f>
        <v>0</v>
      </c>
    </row>
    <row r="61" spans="2:5" ht="15">
      <c r="B61" s="126" t="str">
        <f>CONCATENATE("",E1-2,"/",E1-1," Budget Authority Amount:")</f>
        <v>2010/2011 Budget Authority Amount:</v>
      </c>
      <c r="C61" s="234">
        <f>inputOth!B76</f>
        <v>29083</v>
      </c>
      <c r="D61" s="234">
        <f>inputPrYr!D45</f>
        <v>15132</v>
      </c>
      <c r="E61" s="343">
        <f>IF(E60&lt;0,"See Tab E","")</f>
      </c>
    </row>
    <row r="62" spans="2:5" ht="15">
      <c r="B62" s="126"/>
      <c r="C62" s="270">
        <f>IF(C59&gt;C61,"See Tab A","")</f>
      </c>
      <c r="D62" s="270" t="str">
        <f>IF(D59&gt;D61,"See Tab C","")</f>
        <v>See Tab C</v>
      </c>
      <c r="E62" s="35"/>
    </row>
    <row r="63" spans="2:5" ht="15">
      <c r="B63" s="126"/>
      <c r="C63" s="270">
        <f>IF(C60&lt;0,"See Tab B","")</f>
      </c>
      <c r="D63" s="270">
        <f>IF(D60&lt;0,"See Tab D","")</f>
      </c>
      <c r="E63" s="35"/>
    </row>
    <row r="64" spans="2:5" ht="15">
      <c r="B64" s="35"/>
      <c r="C64" s="35"/>
      <c r="D64" s="35"/>
      <c r="E64" s="35"/>
    </row>
    <row r="65" spans="2:5" ht="15">
      <c r="B65" s="370" t="s">
        <v>70</v>
      </c>
      <c r="C65" s="274">
        <v>18</v>
      </c>
      <c r="D65" s="35"/>
      <c r="E65" s="35"/>
    </row>
  </sheetData>
  <sheetProtection/>
  <conditionalFormatting sqref="C13">
    <cfRule type="cellIs" priority="18" dxfId="254" operator="greaterThan" stopIfTrue="1">
      <formula>$C$15*0.1</formula>
    </cfRule>
  </conditionalFormatting>
  <conditionalFormatting sqref="D13">
    <cfRule type="cellIs" priority="17" dxfId="254" operator="greaterThan" stopIfTrue="1">
      <formula>$D$15*0.1</formula>
    </cfRule>
  </conditionalFormatting>
  <conditionalFormatting sqref="E13">
    <cfRule type="cellIs" priority="16" dxfId="254" operator="greaterThan" stopIfTrue="1">
      <formula>$E$15*0.1</formula>
    </cfRule>
  </conditionalFormatting>
  <conditionalFormatting sqref="C26">
    <cfRule type="cellIs" priority="15" dxfId="254" operator="greaterThan" stopIfTrue="1">
      <formula>$C$28*0.1</formula>
    </cfRule>
  </conditionalFormatting>
  <conditionalFormatting sqref="D26">
    <cfRule type="cellIs" priority="14" dxfId="254" operator="greaterThan" stopIfTrue="1">
      <formula>$D$28*0.1</formula>
    </cfRule>
  </conditionalFormatting>
  <conditionalFormatting sqref="E26">
    <cfRule type="cellIs" priority="13" dxfId="254" operator="greaterThan" stopIfTrue="1">
      <formula>$E$28*0.1</formula>
    </cfRule>
  </conditionalFormatting>
  <conditionalFormatting sqref="C44">
    <cfRule type="cellIs" priority="12" dxfId="254" operator="greaterThan" stopIfTrue="1">
      <formula>$C$46*0.1</formula>
    </cfRule>
  </conditionalFormatting>
  <conditionalFormatting sqref="D44">
    <cfRule type="cellIs" priority="11" dxfId="254" operator="greaterThan" stopIfTrue="1">
      <formula>$D$46*0.1</formula>
    </cfRule>
  </conditionalFormatting>
  <conditionalFormatting sqref="E44">
    <cfRule type="cellIs" priority="10" dxfId="254" operator="greaterThan" stopIfTrue="1">
      <formula>$E$46*0.1</formula>
    </cfRule>
  </conditionalFormatting>
  <conditionalFormatting sqref="C57">
    <cfRule type="cellIs" priority="9" dxfId="254" operator="greaterThan" stopIfTrue="1">
      <formula>$C$59*0.1</formula>
    </cfRule>
  </conditionalFormatting>
  <conditionalFormatting sqref="D57">
    <cfRule type="cellIs" priority="8" dxfId="254" operator="greaterThan" stopIfTrue="1">
      <formula>$D$59*0.1</formula>
    </cfRule>
  </conditionalFormatting>
  <conditionalFormatting sqref="E57">
    <cfRule type="cellIs" priority="7" dxfId="254" operator="greaterThan" stopIfTrue="1">
      <formula>$E$59*0.1</formula>
    </cfRule>
  </conditionalFormatting>
  <conditionalFormatting sqref="C59:D59">
    <cfRule type="cellIs" priority="6" dxfId="0" operator="greaterThan" stopIfTrue="1">
      <formula>$D$61</formula>
    </cfRule>
  </conditionalFormatting>
  <conditionalFormatting sqref="C60 E60 C29 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8">
    <cfRule type="cellIs" priority="3" dxfId="0" operator="greaterThan" stopIfTrue="1">
      <formula>$C$30</formula>
    </cfRule>
  </conditionalFormatting>
  <conditionalFormatting sqref="D60">
    <cfRule type="cellIs" priority="2" dxfId="1" operator="lessThan" stopIfTrue="1">
      <formula>0</formula>
    </cfRule>
  </conditionalFormatting>
  <conditionalFormatting sqref="D29">
    <cfRule type="cellIs" priority="1" dxfId="1"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9" sqref="B9"/>
    </sheetView>
  </sheetViews>
  <sheetFormatPr defaultColWidth="8.8984375" defaultRowHeight="15"/>
  <cols>
    <col min="1" max="1" width="2.3984375" style="32" customWidth="1"/>
    <col min="2" max="2" width="31.09765625" style="32" customWidth="1"/>
    <col min="3" max="4" width="15.69921875" style="32" customWidth="1"/>
    <col min="5" max="5" width="16.09765625" style="32" customWidth="1"/>
    <col min="6" max="16384" width="8.8984375" style="32" customWidth="1"/>
  </cols>
  <sheetData>
    <row r="1" spans="2:5" ht="15">
      <c r="B1" s="187" t="str">
        <f>(inputPrYr!D2)</f>
        <v>City of Ellsworth</v>
      </c>
      <c r="C1" s="35"/>
      <c r="D1" s="35"/>
      <c r="E1" s="241">
        <f>inputPrYr!C5</f>
        <v>2012</v>
      </c>
    </row>
    <row r="2" spans="2:5" ht="15">
      <c r="B2" s="35"/>
      <c r="C2" s="35"/>
      <c r="D2" s="35"/>
      <c r="E2" s="159"/>
    </row>
    <row r="3" spans="2:5" ht="15">
      <c r="B3" s="242" t="s">
        <v>120</v>
      </c>
      <c r="C3" s="283"/>
      <c r="D3" s="283"/>
      <c r="E3" s="283"/>
    </row>
    <row r="4" spans="2:5" ht="15">
      <c r="B4" s="40" t="s">
        <v>53</v>
      </c>
      <c r="C4" s="467" t="s">
        <v>73</v>
      </c>
      <c r="D4" s="466" t="s">
        <v>197</v>
      </c>
      <c r="E4" s="466" t="s">
        <v>198</v>
      </c>
    </row>
    <row r="5" spans="2:5" ht="15">
      <c r="B5" s="424" t="str">
        <f>inputPrYr!B46</f>
        <v>2009 Temp Note Cost of Issuance</v>
      </c>
      <c r="C5" s="244">
        <f>E1-2</f>
        <v>2010</v>
      </c>
      <c r="D5" s="244">
        <f>E1-1</f>
        <v>2011</v>
      </c>
      <c r="E5" s="244">
        <f>E1</f>
        <v>2012</v>
      </c>
    </row>
    <row r="6" spans="2:5" ht="15">
      <c r="B6" s="245" t="s">
        <v>174</v>
      </c>
      <c r="C6" s="55">
        <v>905</v>
      </c>
      <c r="D6" s="221">
        <f>C29</f>
        <v>0</v>
      </c>
      <c r="E6" s="221">
        <f>D29</f>
        <v>0</v>
      </c>
    </row>
    <row r="7" spans="2:5" s="33" customFormat="1" ht="15">
      <c r="B7" s="249" t="s">
        <v>176</v>
      </c>
      <c r="C7" s="75"/>
      <c r="D7" s="75"/>
      <c r="E7" s="75"/>
    </row>
    <row r="8" spans="2:5" ht="15">
      <c r="B8" s="266"/>
      <c r="C8" s="55"/>
      <c r="D8" s="55"/>
      <c r="E8" s="55"/>
    </row>
    <row r="9" spans="2:5" ht="15">
      <c r="B9" s="266"/>
      <c r="C9" s="55"/>
      <c r="D9" s="55"/>
      <c r="E9" s="55"/>
    </row>
    <row r="10" spans="2:5" ht="15">
      <c r="B10" s="266"/>
      <c r="C10" s="55"/>
      <c r="D10" s="55"/>
      <c r="E10" s="55"/>
    </row>
    <row r="11" spans="2:5" ht="15">
      <c r="B11" s="266"/>
      <c r="C11" s="55"/>
      <c r="D11" s="55"/>
      <c r="E11" s="55"/>
    </row>
    <row r="12" spans="2:5" ht="15">
      <c r="B12" s="254" t="s">
        <v>59</v>
      </c>
      <c r="C12" s="55">
        <v>8</v>
      </c>
      <c r="D12" s="55">
        <v>0</v>
      </c>
      <c r="E12" s="55">
        <v>0</v>
      </c>
    </row>
    <row r="13" spans="2:5" ht="15">
      <c r="B13" s="149" t="s">
        <v>12</v>
      </c>
      <c r="C13" s="55"/>
      <c r="D13" s="251"/>
      <c r="E13" s="251"/>
    </row>
    <row r="14" spans="2:5" ht="15">
      <c r="B14" s="245" t="s">
        <v>505</v>
      </c>
      <c r="C14" s="292">
        <f>IF(C15*0.1&lt;C13,"Exceed 10% Rule","")</f>
      </c>
      <c r="D14" s="256">
        <f>IF(D15*0.1&lt;D13,"Exceed 10% Rule","")</f>
      </c>
      <c r="E14" s="256">
        <f>IF(E15*0.1&lt;E13,"Exceed 10% Rule","")</f>
      </c>
    </row>
    <row r="15" spans="2:5" ht="15">
      <c r="B15" s="257" t="s">
        <v>60</v>
      </c>
      <c r="C15" s="260">
        <f>SUM(C8:C13)</f>
        <v>8</v>
      </c>
      <c r="D15" s="260">
        <f>SUM(D8:D13)</f>
        <v>0</v>
      </c>
      <c r="E15" s="260">
        <f>SUM(E8:E13)</f>
        <v>0</v>
      </c>
    </row>
    <row r="16" spans="2:5" ht="15">
      <c r="B16" s="257" t="s">
        <v>61</v>
      </c>
      <c r="C16" s="260">
        <f>C6+C15</f>
        <v>913</v>
      </c>
      <c r="D16" s="260">
        <f>D6+D15</f>
        <v>0</v>
      </c>
      <c r="E16" s="260">
        <f>E6+E15</f>
        <v>0</v>
      </c>
    </row>
    <row r="17" spans="2:5" ht="15">
      <c r="B17" s="140" t="s">
        <v>63</v>
      </c>
      <c r="C17" s="221"/>
      <c r="D17" s="221"/>
      <c r="E17" s="221"/>
    </row>
    <row r="18" spans="2:5" ht="15">
      <c r="B18" s="266" t="s">
        <v>653</v>
      </c>
      <c r="C18" s="55">
        <v>913</v>
      </c>
      <c r="D18" s="55">
        <v>0</v>
      </c>
      <c r="E18" s="55">
        <v>0</v>
      </c>
    </row>
    <row r="19" spans="2:5" ht="15">
      <c r="B19" s="266"/>
      <c r="C19" s="55"/>
      <c r="D19" s="55"/>
      <c r="E19" s="55"/>
    </row>
    <row r="20" spans="2:5" ht="15">
      <c r="B20" s="266"/>
      <c r="C20" s="55"/>
      <c r="D20" s="55"/>
      <c r="E20" s="55"/>
    </row>
    <row r="21" spans="2:5" ht="15">
      <c r="B21" s="266"/>
      <c r="C21" s="55"/>
      <c r="D21" s="55"/>
      <c r="E21" s="55"/>
    </row>
    <row r="22" spans="2:5" ht="15">
      <c r="B22" s="266"/>
      <c r="C22" s="55"/>
      <c r="D22" s="55"/>
      <c r="E22" s="55"/>
    </row>
    <row r="23" spans="2:5" ht="15">
      <c r="B23" s="266"/>
      <c r="C23" s="55"/>
      <c r="D23" s="55"/>
      <c r="E23" s="55"/>
    </row>
    <row r="24" spans="2:5" ht="15">
      <c r="B24" s="266"/>
      <c r="C24" s="55"/>
      <c r="D24" s="55"/>
      <c r="E24" s="55"/>
    </row>
    <row r="25" spans="2:5" ht="15">
      <c r="B25" s="266"/>
      <c r="C25" s="55"/>
      <c r="D25" s="55"/>
      <c r="E25" s="55"/>
    </row>
    <row r="26" spans="2:5" ht="15">
      <c r="B26" s="267" t="s">
        <v>12</v>
      </c>
      <c r="C26" s="55"/>
      <c r="D26" s="251"/>
      <c r="E26" s="251"/>
    </row>
    <row r="27" spans="2:5" ht="15">
      <c r="B27" s="267" t="s">
        <v>508</v>
      </c>
      <c r="C27" s="292">
        <f>IF(C28*0.1&lt;C26,"Exceed 10% Rule","")</f>
      </c>
      <c r="D27" s="256">
        <f>IF(D28*0.1&lt;D26,"Exceed 10% Rule","")</f>
      </c>
      <c r="E27" s="256">
        <f>IF(E28*0.1&lt;E26,"Exceed 10% Rule","")</f>
      </c>
    </row>
    <row r="28" spans="2:5" ht="15">
      <c r="B28" s="257" t="s">
        <v>67</v>
      </c>
      <c r="C28" s="260">
        <f>SUM(C18:C26)</f>
        <v>913</v>
      </c>
      <c r="D28" s="260">
        <f>SUM(D18:D26)</f>
        <v>0</v>
      </c>
      <c r="E28" s="260">
        <f>SUM(E18:E26)</f>
        <v>0</v>
      </c>
    </row>
    <row r="29" spans="2:5" ht="15">
      <c r="B29" s="140" t="s">
        <v>175</v>
      </c>
      <c r="C29" s="70">
        <f>C16-C28</f>
        <v>0</v>
      </c>
      <c r="D29" s="70">
        <f>D16-D28</f>
        <v>0</v>
      </c>
      <c r="E29" s="70">
        <f>E16-E28</f>
        <v>0</v>
      </c>
    </row>
    <row r="30" spans="2:5" ht="15">
      <c r="B30" s="126" t="str">
        <f>CONCATENATE("",E1-2,"/",E1-1," Budget Authority Amount:")</f>
        <v>2010/2011 Budget Authority Amount:</v>
      </c>
      <c r="C30" s="234">
        <f>inputOth!B77</f>
        <v>913</v>
      </c>
      <c r="D30" s="234">
        <f>inputPrYr!D42</f>
        <v>0</v>
      </c>
      <c r="E30" s="343">
        <f>IF(E29&lt;0,"See Tab E","")</f>
      </c>
    </row>
    <row r="31" spans="2:5" ht="15">
      <c r="B31" s="126"/>
      <c r="C31" s="344">
        <f>IF(C28&gt;C30,"See Tab A","")</f>
      </c>
      <c r="D31" s="270">
        <f>IF(D28&gt;D30,"See Tab C","")</f>
      </c>
      <c r="E31" s="85"/>
    </row>
    <row r="32" spans="2:5" ht="15">
      <c r="B32" s="126"/>
      <c r="C32" s="344">
        <f>IF(C29&lt;0,"See Tab B","")</f>
      </c>
      <c r="D32" s="270">
        <f>IF(D29&lt;0,"See Tab D","")</f>
      </c>
      <c r="E32" s="85"/>
    </row>
    <row r="33" spans="2:5" ht="15">
      <c r="B33" s="35"/>
      <c r="C33" s="345"/>
      <c r="D33" s="85"/>
      <c r="E33" s="85"/>
    </row>
    <row r="34" spans="2:5" ht="15">
      <c r="B34" s="40" t="s">
        <v>53</v>
      </c>
      <c r="C34" s="346"/>
      <c r="D34" s="287"/>
      <c r="E34" s="287"/>
    </row>
    <row r="35" spans="2:5" ht="15">
      <c r="B35" s="35"/>
      <c r="C35" s="467" t="s">
        <v>73</v>
      </c>
      <c r="D35" s="466" t="s">
        <v>197</v>
      </c>
      <c r="E35" s="466" t="s">
        <v>198</v>
      </c>
    </row>
    <row r="36" spans="2:5" ht="15">
      <c r="B36" s="424" t="str">
        <f>inputPrYr!B47</f>
        <v>2009 Temp Note Improvement</v>
      </c>
      <c r="C36" s="244">
        <f>C5</f>
        <v>2010</v>
      </c>
      <c r="D36" s="244">
        <f>D5</f>
        <v>2011</v>
      </c>
      <c r="E36" s="244">
        <f>E5</f>
        <v>2012</v>
      </c>
    </row>
    <row r="37" spans="2:5" ht="15">
      <c r="B37" s="245" t="s">
        <v>174</v>
      </c>
      <c r="C37" s="55">
        <v>231293</v>
      </c>
      <c r="D37" s="221">
        <f>C60</f>
        <v>0</v>
      </c>
      <c r="E37" s="221">
        <f>D60</f>
        <v>0</v>
      </c>
    </row>
    <row r="38" spans="2:5" s="33" customFormat="1" ht="15">
      <c r="B38" s="249" t="s">
        <v>176</v>
      </c>
      <c r="C38" s="75"/>
      <c r="D38" s="75"/>
      <c r="E38" s="75"/>
    </row>
    <row r="39" spans="2:5" ht="15">
      <c r="B39" s="266" t="s">
        <v>551</v>
      </c>
      <c r="C39" s="55">
        <v>524712</v>
      </c>
      <c r="D39" s="55"/>
      <c r="E39" s="55"/>
    </row>
    <row r="40" spans="2:5" ht="15">
      <c r="B40" s="266"/>
      <c r="C40" s="55"/>
      <c r="D40" s="55"/>
      <c r="E40" s="55"/>
    </row>
    <row r="41" spans="2:5" ht="15">
      <c r="B41" s="266"/>
      <c r="C41" s="55"/>
      <c r="D41" s="55"/>
      <c r="E41" s="55"/>
    </row>
    <row r="42" spans="2:5" ht="15">
      <c r="B42" s="266"/>
      <c r="C42" s="55"/>
      <c r="D42" s="55"/>
      <c r="E42" s="55"/>
    </row>
    <row r="43" spans="2:5" ht="15">
      <c r="B43" s="254" t="s">
        <v>59</v>
      </c>
      <c r="C43" s="55">
        <v>2568</v>
      </c>
      <c r="D43" s="55"/>
      <c r="E43" s="55"/>
    </row>
    <row r="44" spans="2:5" ht="15">
      <c r="B44" s="149" t="s">
        <v>12</v>
      </c>
      <c r="C44" s="55"/>
      <c r="D44" s="251"/>
      <c r="E44" s="251"/>
    </row>
    <row r="45" spans="2:5" ht="15">
      <c r="B45" s="245" t="s">
        <v>505</v>
      </c>
      <c r="C45" s="292">
        <f>IF(C46*0.1&lt;C44,"Exceed 10% Rule","")</f>
      </c>
      <c r="D45" s="256">
        <f>IF(D46*0.1&lt;D44,"Exceed 10% Rule","")</f>
      </c>
      <c r="E45" s="256">
        <f>IF(E46*0.1&lt;E44,"Exceed 10% Rule","")</f>
      </c>
    </row>
    <row r="46" spans="2:5" ht="15">
      <c r="B46" s="257" t="s">
        <v>60</v>
      </c>
      <c r="C46" s="260">
        <f>SUM(C39:C44)</f>
        <v>527280</v>
      </c>
      <c r="D46" s="260">
        <f>SUM(D39:D44)</f>
        <v>0</v>
      </c>
      <c r="E46" s="260">
        <f>SUM(E39:E44)</f>
        <v>0</v>
      </c>
    </row>
    <row r="47" spans="2:5" ht="15">
      <c r="B47" s="257" t="s">
        <v>61</v>
      </c>
      <c r="C47" s="260">
        <f>C37+C46</f>
        <v>758573</v>
      </c>
      <c r="D47" s="260">
        <f>D37+D46</f>
        <v>0</v>
      </c>
      <c r="E47" s="260">
        <f>E37+E46</f>
        <v>0</v>
      </c>
    </row>
    <row r="48" spans="2:5" ht="15">
      <c r="B48" s="140" t="s">
        <v>63</v>
      </c>
      <c r="C48" s="221"/>
      <c r="D48" s="221"/>
      <c r="E48" s="221"/>
    </row>
    <row r="49" spans="2:5" ht="15">
      <c r="B49" s="266" t="s">
        <v>66</v>
      </c>
      <c r="C49" s="55">
        <v>149202</v>
      </c>
      <c r="D49" s="55"/>
      <c r="E49" s="55"/>
    </row>
    <row r="50" spans="2:5" ht="15">
      <c r="B50" s="266" t="s">
        <v>654</v>
      </c>
      <c r="C50" s="55">
        <v>609371</v>
      </c>
      <c r="D50" s="55"/>
      <c r="E50" s="55"/>
    </row>
    <row r="51" spans="2:5" ht="15">
      <c r="B51" s="266"/>
      <c r="C51" s="55"/>
      <c r="D51" s="55"/>
      <c r="E51" s="55"/>
    </row>
    <row r="52" spans="2:5" ht="15">
      <c r="B52" s="266"/>
      <c r="C52" s="55"/>
      <c r="D52" s="55"/>
      <c r="E52" s="55"/>
    </row>
    <row r="53" spans="2:5" ht="15">
      <c r="B53" s="266"/>
      <c r="C53" s="55"/>
      <c r="D53" s="55"/>
      <c r="E53" s="55"/>
    </row>
    <row r="54" spans="2:5" ht="15">
      <c r="B54" s="266"/>
      <c r="C54" s="55"/>
      <c r="D54" s="55"/>
      <c r="E54" s="55"/>
    </row>
    <row r="55" spans="2:5" ht="15">
      <c r="B55" s="266"/>
      <c r="C55" s="55"/>
      <c r="D55" s="55"/>
      <c r="E55" s="55"/>
    </row>
    <row r="56" spans="2:5" ht="15">
      <c r="B56" s="266"/>
      <c r="C56" s="55"/>
      <c r="D56" s="55"/>
      <c r="E56" s="55"/>
    </row>
    <row r="57" spans="2:5" ht="15">
      <c r="B57" s="267" t="s">
        <v>12</v>
      </c>
      <c r="C57" s="55"/>
      <c r="D57" s="251"/>
      <c r="E57" s="251"/>
    </row>
    <row r="58" spans="2:5" ht="15">
      <c r="B58" s="267" t="s">
        <v>506</v>
      </c>
      <c r="C58" s="292">
        <f>IF(C59*0.1&lt;C57,"Exceed 10% Rule","")</f>
      </c>
      <c r="D58" s="256">
        <f>IF(D59*0.1&lt;D57,"Exceed 10% Rule","")</f>
      </c>
      <c r="E58" s="256">
        <f>IF(E59*0.1&lt;E57,"Exceed 10% Rule","")</f>
      </c>
    </row>
    <row r="59" spans="2:5" ht="15">
      <c r="B59" s="257" t="s">
        <v>67</v>
      </c>
      <c r="C59" s="260">
        <f>SUM(C49:C57)</f>
        <v>758573</v>
      </c>
      <c r="D59" s="260">
        <f>SUM(D49:D57)</f>
        <v>0</v>
      </c>
      <c r="E59" s="260">
        <f>SUM(E49:E57)</f>
        <v>0</v>
      </c>
    </row>
    <row r="60" spans="2:5" ht="15">
      <c r="B60" s="140" t="s">
        <v>175</v>
      </c>
      <c r="C60" s="70">
        <f>C47-C59</f>
        <v>0</v>
      </c>
      <c r="D60" s="70">
        <f>D47-D59</f>
        <v>0</v>
      </c>
      <c r="E60" s="70">
        <f>E47-E59</f>
        <v>0</v>
      </c>
    </row>
    <row r="61" spans="2:5" ht="15">
      <c r="B61" s="126" t="str">
        <f>CONCATENATE("",E1-2,"/",E1-1," Budget Authority Amount:")</f>
        <v>2010/2011 Budget Authority Amount:</v>
      </c>
      <c r="C61" s="234">
        <f>inputOth!B78</f>
        <v>758573</v>
      </c>
      <c r="D61" s="234">
        <f>inputPrYr!D47</f>
        <v>641232</v>
      </c>
      <c r="E61" s="343">
        <f>IF(E60&lt;0,"See Tab E","")</f>
      </c>
    </row>
    <row r="62" spans="2:5" ht="15">
      <c r="B62" s="126"/>
      <c r="C62" s="270">
        <f>IF(C59&gt;C61,"See Tab A","")</f>
      </c>
      <c r="D62" s="270">
        <f>IF(D59&gt;D61,"See Tab C","")</f>
      </c>
      <c r="E62" s="35"/>
    </row>
    <row r="63" spans="2:5" ht="15">
      <c r="B63" s="126"/>
      <c r="C63" s="270">
        <f>IF(C60&lt;0,"See Tab B","")</f>
      </c>
      <c r="D63" s="270">
        <f>IF(D60&lt;0,"See Tab D","")</f>
      </c>
      <c r="E63" s="35"/>
    </row>
    <row r="64" spans="2:5" ht="15">
      <c r="B64" s="35"/>
      <c r="C64" s="35"/>
      <c r="D64" s="35"/>
      <c r="E64" s="35"/>
    </row>
    <row r="65" spans="2:5" ht="15">
      <c r="B65" s="370" t="s">
        <v>70</v>
      </c>
      <c r="C65" s="274">
        <v>19</v>
      </c>
      <c r="D65" s="35"/>
      <c r="E65" s="35"/>
    </row>
  </sheetData>
  <sheetProtection/>
  <conditionalFormatting sqref="C13">
    <cfRule type="cellIs" priority="18" dxfId="254" operator="greaterThan" stopIfTrue="1">
      <formula>$C$15*0.1</formula>
    </cfRule>
  </conditionalFormatting>
  <conditionalFormatting sqref="D13">
    <cfRule type="cellIs" priority="17" dxfId="254" operator="greaterThan" stopIfTrue="1">
      <formula>$D$15*0.1</formula>
    </cfRule>
  </conditionalFormatting>
  <conditionalFormatting sqref="E13">
    <cfRule type="cellIs" priority="16" dxfId="254" operator="greaterThan" stopIfTrue="1">
      <formula>$E$15*0.1</formula>
    </cfRule>
  </conditionalFormatting>
  <conditionalFormatting sqref="C26">
    <cfRule type="cellIs" priority="15" dxfId="254" operator="greaterThan" stopIfTrue="1">
      <formula>$C$28*0.1</formula>
    </cfRule>
  </conditionalFormatting>
  <conditionalFormatting sqref="D26">
    <cfRule type="cellIs" priority="14" dxfId="254" operator="greaterThan" stopIfTrue="1">
      <formula>$D$28*0.1</formula>
    </cfRule>
  </conditionalFormatting>
  <conditionalFormatting sqref="E26">
    <cfRule type="cellIs" priority="13" dxfId="254" operator="greaterThan" stopIfTrue="1">
      <formula>$E$28*0.1</formula>
    </cfRule>
  </conditionalFormatting>
  <conditionalFormatting sqref="C44">
    <cfRule type="cellIs" priority="12" dxfId="254" operator="greaterThan" stopIfTrue="1">
      <formula>$C$46*0.1</formula>
    </cfRule>
  </conditionalFormatting>
  <conditionalFormatting sqref="D44">
    <cfRule type="cellIs" priority="11" dxfId="254" operator="greaterThan" stopIfTrue="1">
      <formula>$D$46*0.1</formula>
    </cfRule>
  </conditionalFormatting>
  <conditionalFormatting sqref="E44">
    <cfRule type="cellIs" priority="10" dxfId="254" operator="greaterThan" stopIfTrue="1">
      <formula>$E$46*0.1</formula>
    </cfRule>
  </conditionalFormatting>
  <conditionalFormatting sqref="C57">
    <cfRule type="cellIs" priority="9" dxfId="254" operator="greaterThan" stopIfTrue="1">
      <formula>$C$59*0.1</formula>
    </cfRule>
  </conditionalFormatting>
  <conditionalFormatting sqref="D57">
    <cfRule type="cellIs" priority="8" dxfId="254" operator="greaterThan" stopIfTrue="1">
      <formula>$D$59*0.1</formula>
    </cfRule>
  </conditionalFormatting>
  <conditionalFormatting sqref="E57">
    <cfRule type="cellIs" priority="7" dxfId="254" operator="greaterThan" stopIfTrue="1">
      <formula>$E$59*0.1</formula>
    </cfRule>
  </conditionalFormatting>
  <conditionalFormatting sqref="C59:D59">
    <cfRule type="cellIs" priority="6" dxfId="0" operator="greaterThan" stopIfTrue="1">
      <formula>$D$61</formula>
    </cfRule>
  </conditionalFormatting>
  <conditionalFormatting sqref="C60 E60 C29 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8">
    <cfRule type="cellIs" priority="3" dxfId="0" operator="greaterThan" stopIfTrue="1">
      <formula>$C$30</formula>
    </cfRule>
  </conditionalFormatting>
  <conditionalFormatting sqref="D60">
    <cfRule type="cellIs" priority="2" dxfId="1" operator="lessThan" stopIfTrue="1">
      <formula>0</formula>
    </cfRule>
  </conditionalFormatting>
  <conditionalFormatting sqref="D29">
    <cfRule type="cellIs" priority="1" dxfId="1"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31">
      <selection activeCell="B3" sqref="B3"/>
    </sheetView>
  </sheetViews>
  <sheetFormatPr defaultColWidth="8.8984375" defaultRowHeight="15"/>
  <cols>
    <col min="1" max="1" width="2.3984375" style="94" customWidth="1"/>
    <col min="2" max="2" width="31.09765625" style="94" customWidth="1"/>
    <col min="3" max="4" width="15.69921875" style="94" customWidth="1"/>
    <col min="5" max="5" width="16.296875" style="94" customWidth="1"/>
    <col min="6" max="16384" width="8.8984375" style="94" customWidth="1"/>
  </cols>
  <sheetData>
    <row r="1" spans="2:5" ht="15">
      <c r="B1" s="187" t="str">
        <f>(inputPrYr!D2)</f>
        <v>City of Ellsworth</v>
      </c>
      <c r="C1" s="35"/>
      <c r="D1" s="35"/>
      <c r="E1" s="212">
        <f>inputPrYr!$C$5</f>
        <v>2012</v>
      </c>
    </row>
    <row r="2" spans="2:5" ht="15">
      <c r="B2" s="35"/>
      <c r="C2" s="35"/>
      <c r="D2" s="35"/>
      <c r="E2" s="159"/>
    </row>
    <row r="3" spans="2:5" ht="15">
      <c r="B3" s="242" t="s">
        <v>120</v>
      </c>
      <c r="C3" s="289"/>
      <c r="D3" s="289"/>
      <c r="E3" s="290"/>
    </row>
    <row r="4" spans="2:5" ht="15">
      <c r="B4" s="40" t="s">
        <v>53</v>
      </c>
      <c r="C4" s="464" t="s">
        <v>73</v>
      </c>
      <c r="D4" s="465" t="s">
        <v>197</v>
      </c>
      <c r="E4" s="466" t="s">
        <v>198</v>
      </c>
    </row>
    <row r="5" spans="2:5" ht="15">
      <c r="B5" s="424" t="str">
        <f>(inputPrYr!B50)</f>
        <v>Water/Sewer</v>
      </c>
      <c r="C5" s="218">
        <f>E1-2</f>
        <v>2010</v>
      </c>
      <c r="D5" s="218">
        <f>E1-1</f>
        <v>2011</v>
      </c>
      <c r="E5" s="201">
        <f>inputPrYr!$C$5</f>
        <v>2012</v>
      </c>
    </row>
    <row r="6" spans="2:5" ht="15">
      <c r="B6" s="140" t="s">
        <v>174</v>
      </c>
      <c r="C6" s="250">
        <v>139544</v>
      </c>
      <c r="D6" s="248">
        <f>C67</f>
        <v>152841</v>
      </c>
      <c r="E6" s="221">
        <f>D67</f>
        <v>134208</v>
      </c>
    </row>
    <row r="7" spans="2:5" ht="15">
      <c r="B7" s="278" t="s">
        <v>176</v>
      </c>
      <c r="C7" s="149"/>
      <c r="D7" s="149"/>
      <c r="E7" s="75"/>
    </row>
    <row r="8" spans="2:5" ht="15">
      <c r="B8" s="266" t="s">
        <v>655</v>
      </c>
      <c r="C8" s="250">
        <v>97760</v>
      </c>
      <c r="D8" s="250">
        <v>96782</v>
      </c>
      <c r="E8" s="253">
        <v>93814</v>
      </c>
    </row>
    <row r="9" spans="2:5" ht="15">
      <c r="B9" s="266" t="s">
        <v>656</v>
      </c>
      <c r="C9" s="250">
        <v>488487</v>
      </c>
      <c r="D9" s="250">
        <v>483602</v>
      </c>
      <c r="E9" s="253">
        <v>474766</v>
      </c>
    </row>
    <row r="10" spans="2:5" ht="15">
      <c r="B10" s="266" t="s">
        <v>657</v>
      </c>
      <c r="C10" s="250">
        <v>23108</v>
      </c>
      <c r="D10" s="250">
        <v>22877</v>
      </c>
      <c r="E10" s="253">
        <v>20648</v>
      </c>
    </row>
    <row r="11" spans="2:5" ht="15">
      <c r="B11" s="266" t="s">
        <v>658</v>
      </c>
      <c r="C11" s="250">
        <v>269544</v>
      </c>
      <c r="D11" s="250">
        <v>266849</v>
      </c>
      <c r="E11" s="253">
        <v>258181</v>
      </c>
    </row>
    <row r="12" spans="2:5" ht="15">
      <c r="B12" s="266" t="s">
        <v>659</v>
      </c>
      <c r="C12" s="250">
        <v>202736</v>
      </c>
      <c r="D12" s="250">
        <v>200712</v>
      </c>
      <c r="E12" s="253">
        <v>196705</v>
      </c>
    </row>
    <row r="13" spans="2:5" ht="15">
      <c r="B13" s="266" t="s">
        <v>660</v>
      </c>
      <c r="C13" s="250">
        <v>6190</v>
      </c>
      <c r="D13" s="250">
        <v>6128</v>
      </c>
      <c r="E13" s="253">
        <v>6067</v>
      </c>
    </row>
    <row r="14" spans="2:5" ht="15">
      <c r="B14" s="266" t="s">
        <v>661</v>
      </c>
      <c r="C14" s="250">
        <v>12400</v>
      </c>
      <c r="D14" s="250">
        <v>12276</v>
      </c>
      <c r="E14" s="253">
        <v>12153</v>
      </c>
    </row>
    <row r="15" spans="2:5" ht="15">
      <c r="B15" s="266" t="s">
        <v>551</v>
      </c>
      <c r="C15" s="250">
        <v>140</v>
      </c>
      <c r="D15" s="250">
        <v>138</v>
      </c>
      <c r="E15" s="253">
        <v>137</v>
      </c>
    </row>
    <row r="16" spans="2:5" ht="15">
      <c r="B16" s="266" t="s">
        <v>662</v>
      </c>
      <c r="C16" s="250">
        <v>6427</v>
      </c>
      <c r="D16" s="250">
        <v>6363</v>
      </c>
      <c r="E16" s="253">
        <v>6299</v>
      </c>
    </row>
    <row r="17" spans="2:5" ht="15">
      <c r="B17" s="266" t="s">
        <v>663</v>
      </c>
      <c r="C17" s="250">
        <v>3552</v>
      </c>
      <c r="D17" s="250">
        <v>3516</v>
      </c>
      <c r="E17" s="253">
        <v>3481</v>
      </c>
    </row>
    <row r="18" spans="2:5" ht="15">
      <c r="B18" s="291" t="s">
        <v>59</v>
      </c>
      <c r="C18" s="250">
        <v>808</v>
      </c>
      <c r="D18" s="250">
        <v>800</v>
      </c>
      <c r="E18" s="253">
        <v>792</v>
      </c>
    </row>
    <row r="19" spans="2:5" ht="15">
      <c r="B19" s="149" t="s">
        <v>12</v>
      </c>
      <c r="C19" s="250">
        <v>3960</v>
      </c>
      <c r="D19" s="250">
        <v>3920</v>
      </c>
      <c r="E19" s="253">
        <v>2119</v>
      </c>
    </row>
    <row r="20" spans="2:5" ht="15">
      <c r="B20" s="245" t="s">
        <v>505</v>
      </c>
      <c r="C20" s="255">
        <f>IF(C21*0.1&lt;C19,"Exceed 10% Rule","")</f>
      </c>
      <c r="D20" s="255">
        <f>IF(D21*0.1&lt;D19,"Exceed 10% Rule","")</f>
      </c>
      <c r="E20" s="292">
        <f>IF(E21*0.1&lt;E19,"Exceed 10% Rule","")</f>
      </c>
    </row>
    <row r="21" spans="2:5" ht="15">
      <c r="B21" s="257" t="s">
        <v>60</v>
      </c>
      <c r="C21" s="259">
        <f>SUM(C8:C19)</f>
        <v>1115112</v>
      </c>
      <c r="D21" s="259">
        <f>SUM(D8:D19)</f>
        <v>1103963</v>
      </c>
      <c r="E21" s="260">
        <f>SUM(E8:E19)</f>
        <v>1075162</v>
      </c>
    </row>
    <row r="22" spans="2:5" ht="15">
      <c r="B22" s="257" t="s">
        <v>61</v>
      </c>
      <c r="C22" s="259">
        <f>C6+C21</f>
        <v>1254656</v>
      </c>
      <c r="D22" s="259">
        <f>D6+D21</f>
        <v>1256804</v>
      </c>
      <c r="E22" s="260">
        <f>E6+E21</f>
        <v>1209370</v>
      </c>
    </row>
    <row r="23" spans="2:5" ht="15">
      <c r="B23" s="140" t="s">
        <v>63</v>
      </c>
      <c r="C23" s="149"/>
      <c r="D23" s="149"/>
      <c r="E23" s="75"/>
    </row>
    <row r="24" spans="2:5" ht="15">
      <c r="B24" s="474" t="s">
        <v>664</v>
      </c>
      <c r="C24" s="75"/>
      <c r="D24" s="75"/>
      <c r="E24" s="75"/>
    </row>
    <row r="25" spans="2:5" ht="15">
      <c r="B25" s="273" t="s">
        <v>71</v>
      </c>
      <c r="C25" s="253">
        <v>47752</v>
      </c>
      <c r="D25" s="253">
        <v>41120</v>
      </c>
      <c r="E25" s="253">
        <v>42120</v>
      </c>
    </row>
    <row r="26" spans="2:5" ht="15">
      <c r="B26" s="273" t="s">
        <v>64</v>
      </c>
      <c r="C26" s="253">
        <v>69439</v>
      </c>
      <c r="D26" s="253">
        <v>71200</v>
      </c>
      <c r="E26" s="253">
        <v>72590</v>
      </c>
    </row>
    <row r="27" spans="2:5" ht="15">
      <c r="B27" s="273" t="s">
        <v>65</v>
      </c>
      <c r="C27" s="253">
        <v>9790</v>
      </c>
      <c r="D27" s="253">
        <v>11100</v>
      </c>
      <c r="E27" s="253">
        <v>12800</v>
      </c>
    </row>
    <row r="28" spans="2:5" ht="15">
      <c r="B28" s="273" t="s">
        <v>211</v>
      </c>
      <c r="C28" s="253">
        <v>301</v>
      </c>
      <c r="D28" s="253">
        <v>600</v>
      </c>
      <c r="E28" s="253">
        <v>4443</v>
      </c>
    </row>
    <row r="29" spans="2:5" ht="15">
      <c r="B29" s="219" t="s">
        <v>25</v>
      </c>
      <c r="C29" s="258">
        <f>SUM(C25:C28)</f>
        <v>127282</v>
      </c>
      <c r="D29" s="258">
        <f>SUM(D25:D28)</f>
        <v>124020</v>
      </c>
      <c r="E29" s="258">
        <f>SUM(E25:E28)</f>
        <v>131953</v>
      </c>
    </row>
    <row r="30" spans="2:5" ht="15">
      <c r="B30" s="475" t="s">
        <v>665</v>
      </c>
      <c r="C30" s="187"/>
      <c r="D30" s="187"/>
      <c r="E30" s="187"/>
    </row>
    <row r="31" spans="2:5" ht="15">
      <c r="B31" s="273" t="s">
        <v>71</v>
      </c>
      <c r="C31" s="253">
        <v>68965</v>
      </c>
      <c r="D31" s="253">
        <v>70840</v>
      </c>
      <c r="E31" s="253">
        <v>72840</v>
      </c>
    </row>
    <row r="32" spans="2:5" ht="15">
      <c r="B32" s="273" t="s">
        <v>64</v>
      </c>
      <c r="C32" s="253">
        <v>68180</v>
      </c>
      <c r="D32" s="253">
        <v>72975</v>
      </c>
      <c r="E32" s="253">
        <v>77775</v>
      </c>
    </row>
    <row r="33" spans="2:5" ht="15">
      <c r="B33" s="273" t="s">
        <v>65</v>
      </c>
      <c r="C33" s="253">
        <v>72936</v>
      </c>
      <c r="D33" s="253">
        <v>80000</v>
      </c>
      <c r="E33" s="253">
        <v>84000</v>
      </c>
    </row>
    <row r="34" spans="2:5" ht="15">
      <c r="B34" s="273" t="s">
        <v>211</v>
      </c>
      <c r="C34" s="253">
        <v>0</v>
      </c>
      <c r="D34" s="253">
        <v>0</v>
      </c>
      <c r="E34" s="253">
        <v>7038</v>
      </c>
    </row>
    <row r="35" spans="2:5" ht="15">
      <c r="B35" s="219" t="s">
        <v>25</v>
      </c>
      <c r="C35" s="258">
        <f>SUM(C31:C34)</f>
        <v>210081</v>
      </c>
      <c r="D35" s="258">
        <f>SUM(D31:D34)</f>
        <v>223815</v>
      </c>
      <c r="E35" s="258">
        <f>SUM(E31:E34)</f>
        <v>241653</v>
      </c>
    </row>
    <row r="36" spans="2:5" ht="15">
      <c r="B36" s="475" t="s">
        <v>666</v>
      </c>
      <c r="C36" s="187"/>
      <c r="D36" s="187"/>
      <c r="E36" s="187"/>
    </row>
    <row r="37" spans="2:5" ht="15">
      <c r="B37" s="273" t="s">
        <v>578</v>
      </c>
      <c r="C37" s="253">
        <v>30359</v>
      </c>
      <c r="D37" s="253">
        <v>33320</v>
      </c>
      <c r="E37" s="253">
        <v>35120</v>
      </c>
    </row>
    <row r="38" spans="2:5" ht="15">
      <c r="B38" s="273" t="s">
        <v>64</v>
      </c>
      <c r="C38" s="253">
        <v>7604</v>
      </c>
      <c r="D38" s="253">
        <v>11900</v>
      </c>
      <c r="E38" s="253">
        <v>12300</v>
      </c>
    </row>
    <row r="39" spans="2:5" ht="15">
      <c r="B39" s="273" t="s">
        <v>65</v>
      </c>
      <c r="C39" s="253">
        <v>26378</v>
      </c>
      <c r="D39" s="253">
        <v>24500</v>
      </c>
      <c r="E39" s="253">
        <v>28500</v>
      </c>
    </row>
    <row r="40" spans="2:5" ht="15">
      <c r="B40" s="273" t="s">
        <v>66</v>
      </c>
      <c r="C40" s="253">
        <v>3992</v>
      </c>
      <c r="D40" s="253">
        <v>3500</v>
      </c>
      <c r="E40" s="253">
        <v>4000</v>
      </c>
    </row>
    <row r="41" spans="2:5" ht="15">
      <c r="B41" s="273" t="s">
        <v>211</v>
      </c>
      <c r="C41" s="253">
        <v>0</v>
      </c>
      <c r="D41" s="253">
        <v>0</v>
      </c>
      <c r="E41" s="253">
        <v>4527</v>
      </c>
    </row>
    <row r="42" spans="2:5" ht="15">
      <c r="B42" s="57" t="s">
        <v>567</v>
      </c>
      <c r="C42" s="253">
        <v>25000</v>
      </c>
      <c r="D42" s="253">
        <v>30000</v>
      </c>
      <c r="E42" s="253">
        <v>50000</v>
      </c>
    </row>
    <row r="43" spans="2:5" ht="15">
      <c r="B43" s="57" t="s">
        <v>568</v>
      </c>
      <c r="C43" s="253">
        <v>59000</v>
      </c>
      <c r="D43" s="253">
        <v>65000</v>
      </c>
      <c r="E43" s="253">
        <v>21000</v>
      </c>
    </row>
    <row r="44" spans="2:5" ht="15">
      <c r="B44" s="219" t="s">
        <v>25</v>
      </c>
      <c r="C44" s="258">
        <f>SUM(C37:C43)</f>
        <v>152333</v>
      </c>
      <c r="D44" s="258">
        <f>SUM(D37:D43)</f>
        <v>168220</v>
      </c>
      <c r="E44" s="258">
        <f>SUM(E37:E43)</f>
        <v>155447</v>
      </c>
    </row>
    <row r="45" spans="2:5" ht="15">
      <c r="B45" s="476" t="s">
        <v>667</v>
      </c>
      <c r="C45" s="187"/>
      <c r="D45" s="187"/>
      <c r="E45" s="187"/>
    </row>
    <row r="46" spans="2:5" ht="15">
      <c r="B46" s="273" t="s">
        <v>71</v>
      </c>
      <c r="C46" s="253">
        <v>54738</v>
      </c>
      <c r="D46" s="253">
        <v>64740</v>
      </c>
      <c r="E46" s="253">
        <v>65740</v>
      </c>
    </row>
    <row r="47" spans="2:5" ht="15">
      <c r="B47" s="273" t="s">
        <v>64</v>
      </c>
      <c r="C47" s="253">
        <v>57486</v>
      </c>
      <c r="D47" s="253">
        <v>73350</v>
      </c>
      <c r="E47" s="253">
        <v>80000</v>
      </c>
    </row>
    <row r="48" spans="2:5" ht="15">
      <c r="B48" s="273" t="s">
        <v>65</v>
      </c>
      <c r="C48" s="253">
        <v>7136</v>
      </c>
      <c r="D48" s="253">
        <v>8500</v>
      </c>
      <c r="E48" s="253">
        <v>10500</v>
      </c>
    </row>
    <row r="49" spans="2:5" ht="15">
      <c r="B49" s="273" t="s">
        <v>211</v>
      </c>
      <c r="C49" s="253">
        <v>500</v>
      </c>
      <c r="D49" s="253">
        <v>500</v>
      </c>
      <c r="E49" s="253">
        <v>6702</v>
      </c>
    </row>
    <row r="50" spans="2:5" ht="15">
      <c r="B50" s="57" t="s">
        <v>567</v>
      </c>
      <c r="C50" s="253">
        <v>7000</v>
      </c>
      <c r="D50" s="253">
        <v>20000</v>
      </c>
      <c r="E50" s="253">
        <v>35000</v>
      </c>
    </row>
    <row r="51" spans="2:5" ht="15">
      <c r="B51" s="57" t="s">
        <v>568</v>
      </c>
      <c r="C51" s="253">
        <v>18000</v>
      </c>
      <c r="D51" s="253">
        <v>24000</v>
      </c>
      <c r="E51" s="253">
        <v>15000</v>
      </c>
    </row>
    <row r="52" spans="2:5" ht="15">
      <c r="B52" s="219" t="s">
        <v>25</v>
      </c>
      <c r="C52" s="258">
        <f>SUM(C46:C51)</f>
        <v>144860</v>
      </c>
      <c r="D52" s="258">
        <f>SUM(D46:D51)</f>
        <v>191090</v>
      </c>
      <c r="E52" s="258">
        <f>SUM(E46:E51)</f>
        <v>212942</v>
      </c>
    </row>
    <row r="53" spans="2:5" ht="15">
      <c r="B53" s="475" t="s">
        <v>668</v>
      </c>
      <c r="C53" s="253"/>
      <c r="D53" s="253"/>
      <c r="E53" s="253"/>
    </row>
    <row r="54" spans="2:5" ht="15">
      <c r="B54" s="273" t="s">
        <v>669</v>
      </c>
      <c r="C54" s="253">
        <v>13725</v>
      </c>
      <c r="D54" s="253">
        <v>15500</v>
      </c>
      <c r="E54" s="253">
        <v>16500</v>
      </c>
    </row>
    <row r="55" spans="2:5" ht="15">
      <c r="B55" s="273" t="s">
        <v>211</v>
      </c>
      <c r="C55" s="253">
        <v>0</v>
      </c>
      <c r="D55" s="253">
        <v>0</v>
      </c>
      <c r="E55" s="253">
        <v>13035</v>
      </c>
    </row>
    <row r="56" spans="2:5" ht="15">
      <c r="B56" s="273" t="s">
        <v>670</v>
      </c>
      <c r="C56" s="253">
        <v>5000</v>
      </c>
      <c r="D56" s="253">
        <v>15000</v>
      </c>
      <c r="E56" s="253">
        <v>5000</v>
      </c>
    </row>
    <row r="57" spans="2:5" ht="15">
      <c r="B57" s="273" t="s">
        <v>671</v>
      </c>
      <c r="C57" s="253">
        <v>0</v>
      </c>
      <c r="D57" s="253">
        <v>0</v>
      </c>
      <c r="E57" s="253">
        <v>225000</v>
      </c>
    </row>
    <row r="58" spans="2:5" ht="15">
      <c r="B58" s="273" t="s">
        <v>672</v>
      </c>
      <c r="C58" s="253">
        <v>59000</v>
      </c>
      <c r="D58" s="253">
        <v>70000</v>
      </c>
      <c r="E58" s="253">
        <v>75000</v>
      </c>
    </row>
    <row r="59" spans="2:5" ht="15">
      <c r="B59" s="273" t="s">
        <v>579</v>
      </c>
      <c r="C59" s="253">
        <v>63000</v>
      </c>
      <c r="D59" s="253">
        <v>65000</v>
      </c>
      <c r="E59" s="253">
        <v>63000</v>
      </c>
    </row>
    <row r="60" spans="2:5" ht="15">
      <c r="B60" s="57" t="s">
        <v>673</v>
      </c>
      <c r="C60" s="253">
        <v>307083</v>
      </c>
      <c r="D60" s="253">
        <v>230000</v>
      </c>
      <c r="E60" s="253">
        <v>50000</v>
      </c>
    </row>
    <row r="61" spans="2:5" ht="15">
      <c r="B61" s="219" t="s">
        <v>25</v>
      </c>
      <c r="C61" s="258">
        <f>SUM(C53:C60)</f>
        <v>447808</v>
      </c>
      <c r="D61" s="258">
        <f>SUM(D53:D60)</f>
        <v>395500</v>
      </c>
      <c r="E61" s="258">
        <f>SUM(E53:E60)</f>
        <v>447535</v>
      </c>
    </row>
    <row r="62" spans="2:5" ht="15">
      <c r="B62" s="476" t="s">
        <v>674</v>
      </c>
      <c r="C62" s="187"/>
      <c r="D62" s="187"/>
      <c r="E62" s="187"/>
    </row>
    <row r="63" spans="2:5" ht="15">
      <c r="B63" s="273" t="s">
        <v>65</v>
      </c>
      <c r="C63" s="253">
        <v>19451</v>
      </c>
      <c r="D63" s="253">
        <v>19951</v>
      </c>
      <c r="E63" s="253">
        <v>19451</v>
      </c>
    </row>
    <row r="64" spans="2:5" ht="15">
      <c r="B64" s="273" t="s">
        <v>211</v>
      </c>
      <c r="C64" s="253">
        <v>0</v>
      </c>
      <c r="D64" s="253">
        <v>0</v>
      </c>
      <c r="E64" s="253">
        <v>389</v>
      </c>
    </row>
    <row r="65" spans="2:5" ht="15">
      <c r="B65" s="219" t="s">
        <v>25</v>
      </c>
      <c r="C65" s="258">
        <f>SUM(C63:C64)</f>
        <v>19451</v>
      </c>
      <c r="D65" s="258">
        <f>SUM(D63:D64)</f>
        <v>19951</v>
      </c>
      <c r="E65" s="258">
        <f>SUM(E63:E64)</f>
        <v>19840</v>
      </c>
    </row>
    <row r="66" spans="2:5" ht="15.75" thickBot="1">
      <c r="B66" s="275" t="s">
        <v>25</v>
      </c>
      <c r="C66" s="275">
        <f>C65+C61+C52+C44+C35+C29</f>
        <v>1101815</v>
      </c>
      <c r="D66" s="275">
        <f>D65+D61+D52+D44+D35+D29</f>
        <v>1122596</v>
      </c>
      <c r="E66" s="275">
        <f>E65+E61+E52+E44+E35+E29</f>
        <v>1209370</v>
      </c>
    </row>
    <row r="67" spans="2:5" ht="15.75" thickTop="1">
      <c r="B67" s="140" t="s">
        <v>175</v>
      </c>
      <c r="C67" s="70">
        <f>C22-C66</f>
        <v>152841</v>
      </c>
      <c r="D67" s="70">
        <f>D22-D66</f>
        <v>134208</v>
      </c>
      <c r="E67" s="70">
        <f>E22-E66</f>
        <v>0</v>
      </c>
    </row>
    <row r="68" spans="2:5" ht="15">
      <c r="B68" s="126" t="str">
        <f>CONCATENATE("",E1-2,"/",E1-1," Budget Authority Amount:")</f>
        <v>2010/2011 Budget Authority Amount:</v>
      </c>
      <c r="C68" s="234">
        <f>inputOth!B79</f>
        <v>1182850</v>
      </c>
      <c r="D68" s="234">
        <f>inputPrYr!D50</f>
        <v>1135847</v>
      </c>
      <c r="E68" s="343">
        <f>IF(E67&lt;0,"See Tab E","")</f>
      </c>
    </row>
  </sheetData>
  <sheetProtection/>
  <conditionalFormatting sqref="E19">
    <cfRule type="cellIs" priority="7" dxfId="254" operator="greaterThan" stopIfTrue="1">
      <formula>$E$21*0.1</formula>
    </cfRule>
  </conditionalFormatting>
  <conditionalFormatting sqref="D42">
    <cfRule type="cellIs" priority="11" dxfId="0" operator="greaterThan" stopIfTrue="1">
      <formula>$D$44</formula>
    </cfRule>
  </conditionalFormatting>
  <conditionalFormatting sqref="C42">
    <cfRule type="cellIs" priority="12" dxfId="0" operator="greaterThan" stopIfTrue="1">
      <formula>$C$44</formula>
    </cfRule>
  </conditionalFormatting>
  <conditionalFormatting sqref="C43 E43">
    <cfRule type="cellIs" priority="13" dxfId="0" operator="lessThan" stopIfTrue="1">
      <formula>0</formula>
    </cfRule>
  </conditionalFormatting>
  <conditionalFormatting sqref="D43">
    <cfRule type="cellIs" priority="6" dxfId="1" operator="lessThan" stopIfTrue="1">
      <formula>0</formula>
    </cfRule>
  </conditionalFormatting>
  <conditionalFormatting sqref="D19">
    <cfRule type="cellIs" priority="5" dxfId="1" operator="greaterThan" stopIfTrue="1">
      <formula>$D$21*0.1</formula>
    </cfRule>
  </conditionalFormatting>
  <conditionalFormatting sqref="C19">
    <cfRule type="cellIs" priority="4" dxfId="1" operator="greaterThan" stopIfTrue="1">
      <formula>$C$21*0.1</formula>
    </cfRule>
  </conditionalFormatting>
  <conditionalFormatting sqref="C67 E67">
    <cfRule type="cellIs" priority="3" dxfId="0" operator="lessThan" stopIfTrue="1">
      <formula>0</formula>
    </cfRule>
  </conditionalFormatting>
  <conditionalFormatting sqref="D67">
    <cfRule type="cellIs" priority="2" dxfId="1" operator="lessThan" stopIfTrue="1">
      <formula>0</formula>
    </cfRule>
  </conditionalFormatting>
  <conditionalFormatting sqref="D67">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1"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2"/>
  <sheetViews>
    <sheetView zoomScalePageLayoutView="0" workbookViewId="0" topLeftCell="A10">
      <selection activeCell="E17" sqref="E17"/>
    </sheetView>
  </sheetViews>
  <sheetFormatPr defaultColWidth="8.8984375" defaultRowHeight="15"/>
  <cols>
    <col min="1" max="1" width="2.3984375" style="94" customWidth="1"/>
    <col min="2" max="2" width="31.09765625" style="94" customWidth="1"/>
    <col min="3" max="4" width="15.69921875" style="94" customWidth="1"/>
    <col min="5" max="5" width="16.19921875" style="94" customWidth="1"/>
    <col min="6" max="16384" width="8.8984375" style="94" customWidth="1"/>
  </cols>
  <sheetData>
    <row r="1" spans="2:5" ht="15">
      <c r="B1" s="187" t="str">
        <f>(inputPrYr!D2)</f>
        <v>City of Ellsworth</v>
      </c>
      <c r="C1" s="35"/>
      <c r="D1" s="35"/>
      <c r="E1" s="212">
        <f>inputPrYr!$C$5</f>
        <v>2012</v>
      </c>
    </row>
    <row r="2" spans="2:5" ht="15">
      <c r="B2" s="35"/>
      <c r="C2" s="35"/>
      <c r="D2" s="35"/>
      <c r="E2" s="159"/>
    </row>
    <row r="3" spans="2:5" ht="15">
      <c r="B3" s="242" t="s">
        <v>120</v>
      </c>
      <c r="C3" s="289"/>
      <c r="D3" s="289"/>
      <c r="E3" s="290"/>
    </row>
    <row r="4" spans="2:5" ht="15">
      <c r="B4" s="40" t="s">
        <v>53</v>
      </c>
      <c r="C4" s="467" t="s">
        <v>73</v>
      </c>
      <c r="D4" s="466" t="s">
        <v>197</v>
      </c>
      <c r="E4" s="466" t="s">
        <v>198</v>
      </c>
    </row>
    <row r="5" spans="2:5" ht="15">
      <c r="B5" s="424" t="str">
        <f>(inputPrYr!B51)</f>
        <v>Recreation &amp; Pool</v>
      </c>
      <c r="C5" s="201">
        <f>E1-2</f>
        <v>2010</v>
      </c>
      <c r="D5" s="201">
        <f>E1-1</f>
        <v>2011</v>
      </c>
      <c r="E5" s="201">
        <f>inputPrYr!$C$5</f>
        <v>2012</v>
      </c>
    </row>
    <row r="6" spans="2:5" ht="15">
      <c r="B6" s="140" t="s">
        <v>174</v>
      </c>
      <c r="C6" s="55">
        <v>46583</v>
      </c>
      <c r="D6" s="221">
        <f>C47</f>
        <v>38273</v>
      </c>
      <c r="E6" s="221">
        <f>D47</f>
        <v>18748</v>
      </c>
    </row>
    <row r="7" spans="2:5" ht="15">
      <c r="B7" s="278" t="s">
        <v>176</v>
      </c>
      <c r="C7" s="75"/>
      <c r="D7" s="75"/>
      <c r="E7" s="75"/>
    </row>
    <row r="8" spans="2:5" ht="15">
      <c r="B8" s="266" t="s">
        <v>675</v>
      </c>
      <c r="C8" s="253">
        <v>70</v>
      </c>
      <c r="D8" s="253">
        <v>150</v>
      </c>
      <c r="E8" s="253">
        <v>125</v>
      </c>
    </row>
    <row r="9" spans="2:5" ht="15">
      <c r="B9" s="266" t="s">
        <v>676</v>
      </c>
      <c r="C9" s="253">
        <v>2243</v>
      </c>
      <c r="D9" s="253">
        <v>2350</v>
      </c>
      <c r="E9" s="253">
        <v>2300</v>
      </c>
    </row>
    <row r="10" spans="2:5" ht="15">
      <c r="B10" s="266" t="s">
        <v>677</v>
      </c>
      <c r="C10" s="253">
        <v>25477</v>
      </c>
      <c r="D10" s="253">
        <v>26000</v>
      </c>
      <c r="E10" s="253">
        <v>26500</v>
      </c>
    </row>
    <row r="11" spans="2:5" ht="15">
      <c r="B11" s="266" t="s">
        <v>678</v>
      </c>
      <c r="C11" s="253">
        <v>250</v>
      </c>
      <c r="D11" s="253">
        <v>250</v>
      </c>
      <c r="E11" s="253">
        <v>250</v>
      </c>
    </row>
    <row r="12" spans="2:5" ht="15">
      <c r="B12" s="266" t="s">
        <v>679</v>
      </c>
      <c r="C12" s="253">
        <v>2725</v>
      </c>
      <c r="D12" s="253">
        <v>2950</v>
      </c>
      <c r="E12" s="253">
        <v>3000</v>
      </c>
    </row>
    <row r="13" spans="2:5" ht="15">
      <c r="B13" s="266" t="s">
        <v>680</v>
      </c>
      <c r="C13" s="253">
        <v>6823</v>
      </c>
      <c r="D13" s="253">
        <v>7100</v>
      </c>
      <c r="E13" s="253">
        <v>7150</v>
      </c>
    </row>
    <row r="14" spans="2:5" ht="15">
      <c r="B14" s="266" t="s">
        <v>681</v>
      </c>
      <c r="C14" s="253">
        <v>17977</v>
      </c>
      <c r="D14" s="253">
        <v>18500</v>
      </c>
      <c r="E14" s="253">
        <v>18700</v>
      </c>
    </row>
    <row r="15" spans="2:5" ht="15">
      <c r="B15" s="266" t="s">
        <v>682</v>
      </c>
      <c r="C15" s="253">
        <v>6235</v>
      </c>
      <c r="D15" s="253">
        <v>6000</v>
      </c>
      <c r="E15" s="253">
        <v>6100</v>
      </c>
    </row>
    <row r="16" spans="2:5" ht="15">
      <c r="B16" s="266" t="s">
        <v>604</v>
      </c>
      <c r="C16" s="253">
        <v>25</v>
      </c>
      <c r="D16" s="253">
        <v>200</v>
      </c>
      <c r="E16" s="253">
        <v>179</v>
      </c>
    </row>
    <row r="17" spans="2:5" ht="15">
      <c r="B17" s="266" t="s">
        <v>683</v>
      </c>
      <c r="C17" s="253">
        <v>72</v>
      </c>
      <c r="D17" s="253">
        <v>200</v>
      </c>
      <c r="E17" s="253">
        <v>175</v>
      </c>
    </row>
    <row r="18" spans="2:5" ht="15">
      <c r="B18" s="266" t="s">
        <v>684</v>
      </c>
      <c r="C18" s="253">
        <v>53000</v>
      </c>
      <c r="D18" s="253">
        <v>47000</v>
      </c>
      <c r="E18" s="253">
        <v>46000</v>
      </c>
    </row>
    <row r="19" spans="2:5" ht="15">
      <c r="B19" s="266" t="s">
        <v>685</v>
      </c>
      <c r="C19" s="253">
        <v>63000</v>
      </c>
      <c r="D19" s="253">
        <v>65000</v>
      </c>
      <c r="E19" s="253">
        <v>63000</v>
      </c>
    </row>
    <row r="20" spans="2:5" ht="15">
      <c r="B20" s="291" t="s">
        <v>59</v>
      </c>
      <c r="C20" s="253">
        <v>340</v>
      </c>
      <c r="D20" s="253">
        <v>300</v>
      </c>
      <c r="E20" s="253">
        <v>299</v>
      </c>
    </row>
    <row r="21" spans="2:5" ht="15">
      <c r="B21" s="149" t="s">
        <v>12</v>
      </c>
      <c r="C21" s="253">
        <v>2902</v>
      </c>
      <c r="D21" s="247">
        <v>2750</v>
      </c>
      <c r="E21" s="247">
        <v>2700</v>
      </c>
    </row>
    <row r="22" spans="2:5" ht="15">
      <c r="B22" s="245" t="s">
        <v>505</v>
      </c>
      <c r="C22" s="292">
        <f>IF(C23*0.1&lt;C21,"Exceed 10% Rule","")</f>
      </c>
      <c r="D22" s="256">
        <f>IF(D23*0.1&lt;D21,"Exceed 10% Rule","")</f>
      </c>
      <c r="E22" s="256">
        <f>IF(E23*0.1&lt;E21,"Exceed 10% Rule","")</f>
      </c>
    </row>
    <row r="23" spans="2:5" ht="15">
      <c r="B23" s="257" t="s">
        <v>60</v>
      </c>
      <c r="C23" s="260">
        <f>C20+C19+C18+C17+C16+C15+C14+C13+C12+C11+C10+C9+C8+C21</f>
        <v>181139</v>
      </c>
      <c r="D23" s="260">
        <f>D20+D19+D18+D17+D16+D15+D14+D13+D12+D11+D10+D9+D8+D21</f>
        <v>178750</v>
      </c>
      <c r="E23" s="260">
        <f>E20+E19+E18+E17+E16+E15+E14+E13+E12+E11+E10+E9+E8+E21</f>
        <v>176478</v>
      </c>
    </row>
    <row r="24" spans="2:5" ht="15">
      <c r="B24" s="257" t="s">
        <v>61</v>
      </c>
      <c r="C24" s="260">
        <f>C6+C23</f>
        <v>227722</v>
      </c>
      <c r="D24" s="260">
        <f>D6+D23</f>
        <v>217023</v>
      </c>
      <c r="E24" s="260">
        <f>E6+E23</f>
        <v>195226</v>
      </c>
    </row>
    <row r="25" spans="2:5" ht="15">
      <c r="B25" s="140" t="s">
        <v>63</v>
      </c>
      <c r="C25" s="75"/>
      <c r="D25" s="75"/>
      <c r="E25" s="75"/>
    </row>
    <row r="26" spans="2:5" ht="15">
      <c r="B26" s="479" t="s">
        <v>686</v>
      </c>
      <c r="C26" s="253"/>
      <c r="D26" s="253"/>
      <c r="E26" s="253"/>
    </row>
    <row r="27" spans="2:5" ht="15">
      <c r="B27" s="266" t="s">
        <v>71</v>
      </c>
      <c r="C27" s="253">
        <v>57472</v>
      </c>
      <c r="D27" s="253">
        <v>58120</v>
      </c>
      <c r="E27" s="253">
        <v>58820</v>
      </c>
    </row>
    <row r="28" spans="2:5" ht="15">
      <c r="B28" s="266" t="s">
        <v>64</v>
      </c>
      <c r="C28" s="96">
        <v>19607</v>
      </c>
      <c r="D28" s="96">
        <v>20610</v>
      </c>
      <c r="E28" s="96">
        <v>21910</v>
      </c>
    </row>
    <row r="29" spans="2:5" ht="15">
      <c r="B29" s="266" t="s">
        <v>687</v>
      </c>
      <c r="C29" s="96">
        <v>7199</v>
      </c>
      <c r="D29" s="96">
        <v>7800</v>
      </c>
      <c r="E29" s="96">
        <v>8800</v>
      </c>
    </row>
    <row r="30" spans="2:5" ht="15">
      <c r="B30" s="266" t="s">
        <v>66</v>
      </c>
      <c r="C30" s="96">
        <v>4839</v>
      </c>
      <c r="D30" s="96">
        <v>5000</v>
      </c>
      <c r="E30" s="96">
        <v>5300</v>
      </c>
    </row>
    <row r="31" spans="2:5" ht="15">
      <c r="B31" s="266" t="s">
        <v>211</v>
      </c>
      <c r="C31" s="96">
        <v>441</v>
      </c>
      <c r="D31" s="96">
        <v>475</v>
      </c>
      <c r="E31" s="96">
        <v>3764</v>
      </c>
    </row>
    <row r="32" spans="2:5" ht="15">
      <c r="B32" s="266" t="s">
        <v>567</v>
      </c>
      <c r="C32" s="96">
        <v>12700</v>
      </c>
      <c r="D32" s="96">
        <v>19000</v>
      </c>
      <c r="E32" s="96">
        <v>10000</v>
      </c>
    </row>
    <row r="33" spans="2:5" ht="15">
      <c r="B33" s="266" t="s">
        <v>568</v>
      </c>
      <c r="C33" s="96">
        <v>10000</v>
      </c>
      <c r="D33" s="96">
        <v>8000</v>
      </c>
      <c r="E33" s="96">
        <v>4000</v>
      </c>
    </row>
    <row r="34" spans="2:5" ht="15">
      <c r="B34" s="479" t="s">
        <v>25</v>
      </c>
      <c r="C34" s="96">
        <f>SUM(C27:C33)</f>
        <v>112258</v>
      </c>
      <c r="D34" s="96">
        <f>SUM(D27:D33)</f>
        <v>119005</v>
      </c>
      <c r="E34" s="96">
        <f>SUM(E27:E33)</f>
        <v>112594</v>
      </c>
    </row>
    <row r="35" spans="2:5" ht="15">
      <c r="B35" s="266"/>
      <c r="C35" s="96"/>
      <c r="D35" s="96"/>
      <c r="E35" s="96"/>
    </row>
    <row r="36" spans="2:5" ht="15">
      <c r="B36" s="479" t="s">
        <v>688</v>
      </c>
      <c r="C36" s="96"/>
      <c r="D36" s="96"/>
      <c r="E36" s="96"/>
    </row>
    <row r="37" spans="2:5" ht="15">
      <c r="B37" s="266" t="s">
        <v>71</v>
      </c>
      <c r="C37" s="96">
        <v>47677</v>
      </c>
      <c r="D37" s="96">
        <v>47250</v>
      </c>
      <c r="E37" s="96">
        <v>47750</v>
      </c>
    </row>
    <row r="38" spans="2:5" ht="15">
      <c r="B38" s="266" t="s">
        <v>64</v>
      </c>
      <c r="C38" s="96">
        <v>10061</v>
      </c>
      <c r="D38" s="96">
        <v>10650</v>
      </c>
      <c r="E38" s="96">
        <v>11400</v>
      </c>
    </row>
    <row r="39" spans="2:5" ht="15">
      <c r="B39" s="266" t="s">
        <v>689</v>
      </c>
      <c r="C39" s="96">
        <v>15751</v>
      </c>
      <c r="D39" s="96">
        <v>16350</v>
      </c>
      <c r="E39" s="96">
        <v>17050</v>
      </c>
    </row>
    <row r="40" spans="2:5" ht="15">
      <c r="B40" s="266" t="s">
        <v>66</v>
      </c>
      <c r="C40" s="253">
        <v>1187</v>
      </c>
      <c r="D40" s="253">
        <v>500</v>
      </c>
      <c r="E40" s="253">
        <v>500</v>
      </c>
    </row>
    <row r="41" spans="2:5" ht="15">
      <c r="B41" s="266" t="s">
        <v>211</v>
      </c>
      <c r="C41" s="253">
        <v>515</v>
      </c>
      <c r="D41" s="253">
        <v>520</v>
      </c>
      <c r="E41" s="253">
        <v>2932</v>
      </c>
    </row>
    <row r="42" spans="2:5" ht="15">
      <c r="B42" s="266" t="s">
        <v>567</v>
      </c>
      <c r="C42" s="253">
        <v>2000</v>
      </c>
      <c r="D42" s="253">
        <v>4000</v>
      </c>
      <c r="E42" s="253">
        <v>3000</v>
      </c>
    </row>
    <row r="43" spans="2:5" ht="15">
      <c r="B43" s="479" t="s">
        <v>25</v>
      </c>
      <c r="C43" s="253">
        <f>SUM(C37:C42)</f>
        <v>77191</v>
      </c>
      <c r="D43" s="253">
        <f>SUM(D37:D42)</f>
        <v>79270</v>
      </c>
      <c r="E43" s="253">
        <f>SUM(E37:E42)</f>
        <v>82632</v>
      </c>
    </row>
    <row r="44" spans="2:5" ht="15">
      <c r="B44" s="267" t="s">
        <v>12</v>
      </c>
      <c r="C44" s="253"/>
      <c r="D44" s="247"/>
      <c r="E44" s="247"/>
    </row>
    <row r="45" spans="2:5" ht="15">
      <c r="B45" s="267" t="s">
        <v>506</v>
      </c>
      <c r="C45" s="292">
        <f>IF(C46*0.1&lt;C44,"Exceed 10% Rule","")</f>
      </c>
      <c r="D45" s="256">
        <f>IF(D46*0.1&lt;D44,"Exceed 10% Rule","")</f>
      </c>
      <c r="E45" s="256">
        <f>IF(E46*0.1&lt;E44,"Exceed 10% Rule","")</f>
      </c>
    </row>
    <row r="46" spans="2:5" ht="15">
      <c r="B46" s="257" t="s">
        <v>67</v>
      </c>
      <c r="C46" s="260">
        <f>SUM(C34+C43)</f>
        <v>189449</v>
      </c>
      <c r="D46" s="260">
        <f>SUM(D34+D43)</f>
        <v>198275</v>
      </c>
      <c r="E46" s="260">
        <f>SUM(E34+E43)</f>
        <v>195226</v>
      </c>
    </row>
    <row r="47" spans="2:5" ht="15">
      <c r="B47" s="140" t="s">
        <v>175</v>
      </c>
      <c r="C47" s="70">
        <f>C24-C46</f>
        <v>38273</v>
      </c>
      <c r="D47" s="70">
        <f>D24-D46</f>
        <v>18748</v>
      </c>
      <c r="E47" s="70">
        <f>E24-E46</f>
        <v>0</v>
      </c>
    </row>
    <row r="48" spans="2:5" ht="15">
      <c r="B48" s="126" t="str">
        <f>CONCATENATE("",E1-2," Budget Authority Limited Amount:")</f>
        <v>2010 Budget Authority Limited Amount:</v>
      </c>
      <c r="C48" s="234">
        <f>inputOth!B80</f>
        <v>217925</v>
      </c>
      <c r="D48" s="234">
        <f>inputPrYr!D51</f>
        <v>215895</v>
      </c>
      <c r="E48" s="343">
        <f>IF(E47&lt;0,"See Tab E","")</f>
      </c>
    </row>
    <row r="49" spans="2:5" ht="15">
      <c r="B49" s="126"/>
      <c r="C49" s="270">
        <f>IF(C46&gt;C48,"See Tab A","")</f>
      </c>
      <c r="D49" s="270">
        <f>IF(D46&gt;D48,"See Tab C","")</f>
      </c>
      <c r="E49" s="56"/>
    </row>
    <row r="50" spans="2:5" ht="15">
      <c r="B50" s="126"/>
      <c r="C50" s="270">
        <f>IF(C47&lt;0,"See Tab B","")</f>
      </c>
      <c r="D50" s="270">
        <f>IF(D47&lt;0,"See Tab D","")</f>
      </c>
      <c r="E50" s="56"/>
    </row>
    <row r="51" spans="2:5" ht="15">
      <c r="B51" s="56"/>
      <c r="C51" s="56"/>
      <c r="D51" s="56"/>
      <c r="E51" s="56"/>
    </row>
    <row r="52" spans="2:5" ht="15">
      <c r="B52" s="370" t="s">
        <v>70</v>
      </c>
      <c r="C52" s="274">
        <v>21</v>
      </c>
      <c r="D52" s="56"/>
      <c r="E52" s="56"/>
    </row>
  </sheetData>
  <sheetProtection/>
  <conditionalFormatting sqref="E21">
    <cfRule type="cellIs" priority="3" dxfId="254" operator="greaterThan" stopIfTrue="1">
      <formula>$E$23*0.1</formula>
    </cfRule>
  </conditionalFormatting>
  <conditionalFormatting sqref="E44">
    <cfRule type="cellIs" priority="4" dxfId="254" operator="greaterThan" stopIfTrue="1">
      <formula>$E$46*0.1</formula>
    </cfRule>
  </conditionalFormatting>
  <conditionalFormatting sqref="D21">
    <cfRule type="cellIs" priority="5" dxfId="254" operator="greaterThan" stopIfTrue="1">
      <formula>$D$23*0.1</formula>
    </cfRule>
  </conditionalFormatting>
  <conditionalFormatting sqref="D44">
    <cfRule type="cellIs" priority="6" dxfId="254" operator="greaterThan" stopIfTrue="1">
      <formula>$D$46*0.1</formula>
    </cfRule>
  </conditionalFormatting>
  <conditionalFormatting sqref="C21">
    <cfRule type="cellIs" priority="7" dxfId="254" operator="greaterThan" stopIfTrue="1">
      <formula>$C$23*0.1</formula>
    </cfRule>
  </conditionalFormatting>
  <conditionalFormatting sqref="C44">
    <cfRule type="cellIs" priority="8" dxfId="254" operator="greaterThan" stopIfTrue="1">
      <formula>$C$46*0.1</formula>
    </cfRule>
  </conditionalFormatting>
  <conditionalFormatting sqref="D46">
    <cfRule type="cellIs" priority="9" dxfId="0" operator="greaterThan" stopIfTrue="1">
      <formula>$D$48</formula>
    </cfRule>
  </conditionalFormatting>
  <conditionalFormatting sqref="C46">
    <cfRule type="cellIs" priority="10" dxfId="0" operator="greaterThan" stopIfTrue="1">
      <formula>$C$48</formula>
    </cfRule>
  </conditionalFormatting>
  <conditionalFormatting sqref="C47 E47">
    <cfRule type="cellIs" priority="11" dxfId="0" operator="lessThan" stopIfTrue="1">
      <formula>0</formula>
    </cfRule>
  </conditionalFormatting>
  <conditionalFormatting sqref="D47">
    <cfRule type="cellIs" priority="2" dxfId="1" operator="lessThan" stopIfTrue="1">
      <formula>0</formula>
    </cfRule>
  </conditionalFormatting>
  <conditionalFormatting sqref="E46">
    <cfRule type="cellIs" priority="1" dxfId="0" operator="greaterThan" stopIfTrue="1">
      <formula>$D$48</formula>
    </cfRule>
  </conditionalFormatting>
  <printOptions/>
  <pageMargins left="0.75" right="0.75" top="1" bottom="1" header="0.5" footer="0.5"/>
  <pageSetup blackAndWhite="1" fitToHeight="1" fitToWidth="1" horizontalDpi="600" verticalDpi="600" orientation="portrait" scale="80"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9"/>
  <sheetViews>
    <sheetView zoomScale="75" zoomScaleNormal="75" zoomScalePageLayoutView="0" workbookViewId="0" topLeftCell="A1">
      <selection activeCell="F40" sqref="F40"/>
    </sheetView>
  </sheetViews>
  <sheetFormatPr defaultColWidth="8.8984375" defaultRowHeight="15"/>
  <cols>
    <col min="1" max="1" width="20.69921875" style="32" customWidth="1"/>
    <col min="2" max="2" width="15.69921875" style="32" customWidth="1"/>
    <col min="3" max="3" width="10.69921875" style="32" customWidth="1"/>
    <col min="4" max="4" width="15.69921875" style="32" customWidth="1"/>
    <col min="5" max="5" width="10.69921875" style="32" customWidth="1"/>
    <col min="6" max="6" width="15.69921875" style="32" customWidth="1"/>
    <col min="7" max="7" width="12.69921875" style="32" customWidth="1"/>
    <col min="8" max="8" width="10.69921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
      <c r="A1" s="509" t="s">
        <v>116</v>
      </c>
      <c r="B1" s="509"/>
      <c r="C1" s="509"/>
      <c r="D1" s="509"/>
      <c r="E1" s="509"/>
      <c r="F1" s="509"/>
      <c r="G1" s="509"/>
      <c r="H1" s="509"/>
      <c r="I1" s="293"/>
    </row>
    <row r="2" spans="1:8" ht="18" customHeight="1">
      <c r="A2" s="35"/>
      <c r="B2" s="35"/>
      <c r="C2" s="35"/>
      <c r="D2" s="35"/>
      <c r="E2" s="35"/>
      <c r="F2" s="35"/>
      <c r="G2" s="35"/>
      <c r="H2" s="35">
        <f>inputPrYr!$C$5</f>
        <v>2012</v>
      </c>
    </row>
    <row r="3" spans="1:8" ht="18" customHeight="1">
      <c r="A3" s="504" t="s">
        <v>72</v>
      </c>
      <c r="B3" s="504"/>
      <c r="C3" s="504"/>
      <c r="D3" s="504"/>
      <c r="E3" s="504"/>
      <c r="F3" s="504"/>
      <c r="G3" s="504"/>
      <c r="H3" s="504"/>
    </row>
    <row r="4" spans="1:8" ht="15">
      <c r="A4" s="502" t="str">
        <f>inputPrYr!D2</f>
        <v>City of Ellsworth</v>
      </c>
      <c r="B4" s="502"/>
      <c r="C4" s="502"/>
      <c r="D4" s="502"/>
      <c r="E4" s="502"/>
      <c r="F4" s="502"/>
      <c r="G4" s="502"/>
      <c r="H4" s="502"/>
    </row>
    <row r="5" spans="1:8" ht="18" customHeight="1">
      <c r="A5" s="534" t="str">
        <f>CONCATENATE("will meet on ",inputBudSum!B6," at ",inputBudSum!B8," at ",inputBudSum!B10," for the purpose of hearing and")</f>
        <v>will meet on August 22, 2011 at 6:50 P.M. at City Hall Council Chambers for the purpose of hearing and</v>
      </c>
      <c r="B5" s="534"/>
      <c r="C5" s="534"/>
      <c r="D5" s="534"/>
      <c r="E5" s="534"/>
      <c r="F5" s="534"/>
      <c r="G5" s="534"/>
      <c r="H5" s="534"/>
    </row>
    <row r="6" spans="1:8" ht="16.5" customHeight="1">
      <c r="A6" s="504" t="s">
        <v>481</v>
      </c>
      <c r="B6" s="504"/>
      <c r="C6" s="504"/>
      <c r="D6" s="504"/>
      <c r="E6" s="504"/>
      <c r="F6" s="504"/>
      <c r="G6" s="504"/>
      <c r="H6" s="504"/>
    </row>
    <row r="7" spans="1:8" ht="16.5" customHeight="1">
      <c r="A7" s="536" t="str">
        <f>CONCATENATE("Detailed budget information is available at ",inputBudSum!B13," and will be available at this hearing.")</f>
        <v>Detailed budget information is available at 121 W. First Street, Ellsworth, KS  67439 and will be available at this hearing.</v>
      </c>
      <c r="B7" s="536"/>
      <c r="C7" s="536"/>
      <c r="D7" s="536"/>
      <c r="E7" s="536"/>
      <c r="F7" s="536"/>
      <c r="G7" s="536"/>
      <c r="H7" s="536"/>
    </row>
    <row r="8" spans="1:8" ht="15">
      <c r="A8" s="43" t="s">
        <v>117</v>
      </c>
      <c r="B8" s="44"/>
      <c r="C8" s="44"/>
      <c r="D8" s="44"/>
      <c r="E8" s="44"/>
      <c r="F8" s="44"/>
      <c r="G8" s="44"/>
      <c r="H8" s="44"/>
    </row>
    <row r="9" spans="1:8" ht="15">
      <c r="A9" s="128" t="str">
        <f>CONCATENATE("Proposed Budget ",H2," Expenditures and Amount of ",H2-1," Ad Valorem Tax establish the maximum limits of the ",H2," budget.")</f>
        <v>Proposed Budget 2012 Expenditures and Amount of 2011 Ad Valorem Tax establish the maximum limits of the 2012 budget.</v>
      </c>
      <c r="B9" s="44"/>
      <c r="C9" s="44"/>
      <c r="D9" s="44"/>
      <c r="E9" s="44"/>
      <c r="F9" s="44"/>
      <c r="G9" s="44"/>
      <c r="H9" s="44"/>
    </row>
    <row r="10" spans="1:8" ht="15">
      <c r="A10" s="128" t="s">
        <v>180</v>
      </c>
      <c r="B10" s="44"/>
      <c r="C10" s="44"/>
      <c r="D10" s="44"/>
      <c r="E10" s="44"/>
      <c r="F10" s="44"/>
      <c r="G10" s="44"/>
      <c r="H10" s="44"/>
    </row>
    <row r="11" spans="1:8" ht="15">
      <c r="A11" s="35"/>
      <c r="B11" s="283"/>
      <c r="C11" s="283"/>
      <c r="D11" s="283"/>
      <c r="E11" s="283"/>
      <c r="F11" s="283"/>
      <c r="G11" s="283"/>
      <c r="H11" s="283"/>
    </row>
    <row r="12" spans="1:8" ht="15">
      <c r="A12" s="35"/>
      <c r="B12" s="294" t="str">
        <f>CONCATENATE("Prior Year Actual for ",H2-2,"")</f>
        <v>Prior Year Actual for 2010</v>
      </c>
      <c r="C12" s="131"/>
      <c r="D12" s="294" t="str">
        <f>CONCATENATE("Current Year Estimate for ",H2-1,"")</f>
        <v>Current Year Estimate for 2011</v>
      </c>
      <c r="E12" s="131"/>
      <c r="F12" s="129" t="str">
        <f>CONCATENATE("Proposed Budget for ",H2,"")</f>
        <v>Proposed Budget for 2012</v>
      </c>
      <c r="G12" s="130"/>
      <c r="H12" s="131"/>
    </row>
    <row r="13" spans="1:8" ht="21" customHeight="1">
      <c r="A13" s="35"/>
      <c r="B13" s="272"/>
      <c r="C13" s="134" t="s">
        <v>74</v>
      </c>
      <c r="D13" s="134"/>
      <c r="E13" s="134" t="s">
        <v>74</v>
      </c>
      <c r="F13" s="461" t="s">
        <v>8</v>
      </c>
      <c r="G13" s="134" t="str">
        <f>CONCATENATE("Amount of ",H2-1,"")</f>
        <v>Amount of 2011</v>
      </c>
      <c r="H13" s="134" t="s">
        <v>236</v>
      </c>
    </row>
    <row r="14" spans="1:8" ht="15">
      <c r="A14" s="52" t="s">
        <v>75</v>
      </c>
      <c r="B14" s="138" t="s">
        <v>76</v>
      </c>
      <c r="C14" s="138" t="s">
        <v>77</v>
      </c>
      <c r="D14" s="138" t="s">
        <v>76</v>
      </c>
      <c r="E14" s="138" t="s">
        <v>77</v>
      </c>
      <c r="F14" s="462" t="s">
        <v>495</v>
      </c>
      <c r="G14" s="139" t="s">
        <v>54</v>
      </c>
      <c r="H14" s="138" t="s">
        <v>77</v>
      </c>
    </row>
    <row r="15" spans="1:8" ht="15">
      <c r="A15" s="75" t="str">
        <f>inputPrYr!B17</f>
        <v>General</v>
      </c>
      <c r="B15" s="75">
        <f>IF(general!$C$106&lt;&gt;0,general!$C$106,"  ")</f>
        <v>1799030</v>
      </c>
      <c r="C15" s="295">
        <f>IF(inputPrYr!D83&gt;0,inputPrYr!D83,"  ")</f>
        <v>47.427</v>
      </c>
      <c r="D15" s="75">
        <f>IF(general!$D$106&lt;&gt;0,general!$D$106,"  ")</f>
        <v>1832342</v>
      </c>
      <c r="E15" s="295">
        <f>IF(inputOth!D21&gt;0,inputOth!D21,"  ")</f>
        <v>53.643</v>
      </c>
      <c r="F15" s="75">
        <f>IF(general!$E$106&lt;&gt;0,general!$E$106,"  ")</f>
        <v>1986547</v>
      </c>
      <c r="G15" s="75">
        <f>IF(general!$E$113&lt;&gt;0,general!$E$113,"  ")</f>
        <v>608256</v>
      </c>
      <c r="H15" s="295">
        <f>IF(general!E113&gt;0,ROUND(G15/$F$46*1000,3),"  ")</f>
        <v>51.853</v>
      </c>
    </row>
    <row r="16" spans="1:8" ht="15">
      <c r="A16" s="75" t="str">
        <f>inputPrYr!B18</f>
        <v>Debt Service</v>
      </c>
      <c r="B16" s="75">
        <f>IF('DebtSvs-levy page 8'!C35&lt;&gt;0,'DebtSvs-levy page 8'!C35,"  ")</f>
        <v>377066</v>
      </c>
      <c r="C16" s="295">
        <f>IF(inputPrYr!D84&gt;0,inputPrYr!D84,"  ")</f>
        <v>18.796</v>
      </c>
      <c r="D16" s="75">
        <f>IF('DebtSvs-levy page 8'!D35&lt;&gt;0,'DebtSvs-levy page 8'!D35,"  ")</f>
        <v>391093</v>
      </c>
      <c r="E16" s="295">
        <f>IF(inputOth!D22&gt;0,inputOth!D22,"  ")</f>
        <v>13.569</v>
      </c>
      <c r="F16" s="75">
        <f>IF('DebtSvs-levy page 8'!E35&lt;&gt;0,'DebtSvs-levy page 8'!E35,"  ")</f>
        <v>606277</v>
      </c>
      <c r="G16" s="75">
        <f>IF('DebtSvs-levy page 8'!E42&lt;&gt;0,'DebtSvs-levy page 8'!E42,"  ")</f>
        <v>141740</v>
      </c>
      <c r="H16" s="295">
        <f>IF('DebtSvs-levy page 8'!E42&gt;0,ROUND(G16/$F$46*1000,3),"  ")</f>
        <v>12.083</v>
      </c>
    </row>
    <row r="17" spans="1:8" ht="15">
      <c r="A17" s="75" t="str">
        <f>IF(inputPrYr!$B20&gt;"  ",(inputPrYr!$B20),"  ")</f>
        <v>Library</v>
      </c>
      <c r="B17" s="75">
        <f>IF('DebtSvs-levy page 8'!C66&lt;&gt;0,'DebtSvs-levy page 8'!C66,"  ")</f>
        <v>98845</v>
      </c>
      <c r="C17" s="295">
        <f>IF(inputPrYr!D85&gt;0,inputPrYr!D85,"  ")</f>
        <v>7.602</v>
      </c>
      <c r="D17" s="75">
        <f>IF('DebtSvs-levy page 8'!D66&lt;&gt;0,'DebtSvs-levy page 8'!D66,"  ")</f>
        <v>100145</v>
      </c>
      <c r="E17" s="295">
        <f>IF(inputOth!D23&gt;0,inputOth!D23,"  ")</f>
        <v>7.35</v>
      </c>
      <c r="F17" s="75">
        <f>IF('DebtSvs-levy page 8'!E66&lt;&gt;0,'DebtSvs-levy page 8'!E66,"  ")</f>
        <v>109761</v>
      </c>
      <c r="G17" s="75">
        <f>IF('DebtSvs-levy page 8'!E73&lt;&gt;0,'DebtSvs-levy page 8'!E73,"  ")</f>
        <v>91347</v>
      </c>
      <c r="H17" s="295">
        <f>IF('levy page9'!E39&lt;&gt;0,ROUND(G17/$F$46*1000,3),"  ")</f>
        <v>7.787</v>
      </c>
    </row>
    <row r="18" spans="1:8" ht="15">
      <c r="A18" s="75" t="str">
        <f>IF(inputPrYr!$B21&gt;"  ",(inputPrYr!$B21),"  ")</f>
        <v>Fire/Police</v>
      </c>
      <c r="B18" s="75">
        <f>IF('levy page9'!$C$32&gt;0,'levy page9'!$C$32,"  ")</f>
        <v>11779</v>
      </c>
      <c r="C18" s="295">
        <f>IF(inputPrYr!D86&gt;0,inputPrYr!D86,"  ")</f>
        <v>1.275</v>
      </c>
      <c r="D18" s="75">
        <f>IF('levy page9'!$D$32&gt;0,'levy page9'!$D$32,"  ")</f>
        <v>7900</v>
      </c>
      <c r="E18" s="295">
        <f>IF(inputOth!D24&gt;0,inputOth!D24,"  ")</f>
        <v>0.304</v>
      </c>
      <c r="F18" s="75">
        <f>IF('levy page9'!$E$32&gt;0,'levy page9'!$E$32,"  ")</f>
        <v>49185</v>
      </c>
      <c r="G18" s="75">
        <f>IF('levy page9'!$E$39&lt;&gt;0,'levy page9'!$E$39,"  ")</f>
        <v>36839</v>
      </c>
      <c r="H18" s="295">
        <f>IF('levy page9'!E39&lt;&gt;0,ROUND(G18/$F$46*1000,3),"  ")</f>
        <v>3.14</v>
      </c>
    </row>
    <row r="19" spans="1:8" ht="15">
      <c r="A19" s="75" t="str">
        <f>IF(inputPrYr!$B28&gt;"  ",(inputPrYr!$B28),"  ")</f>
        <v>Special Highway</v>
      </c>
      <c r="B19" s="75">
        <f>IF('Sp Hiway'!$C$30&gt;0,'Sp Hiway'!$C$30,"  ")</f>
        <v>94915</v>
      </c>
      <c r="C19" s="53"/>
      <c r="D19" s="75">
        <f>IF('Sp Hiway'!$D$30&gt;0,'Sp Hiway'!$D$30,"  ")</f>
        <v>80350</v>
      </c>
      <c r="E19" s="53"/>
      <c r="F19" s="75">
        <f>IF('Sp Hiway'!$E$30&gt;0,'Sp Hiway'!$E$30,"  ")</f>
        <v>104096</v>
      </c>
      <c r="G19" s="75"/>
      <c r="H19" s="295"/>
    </row>
    <row r="20" spans="1:8" ht="15">
      <c r="A20" s="75" t="str">
        <f>IF(inputPrYr!$B29&gt;"  ",(inputPrYr!$B29),"  ")</f>
        <v>Special Parks &amp; Recreation</v>
      </c>
      <c r="B20" s="75">
        <f>IF('Sp Hiway'!$C$61&gt;0,'Sp Hiway'!$C$61,"  ")</f>
        <v>5021</v>
      </c>
      <c r="C20" s="53"/>
      <c r="D20" s="75">
        <f>IF('Sp Hiway'!$D$61&gt;0,'Sp Hiway'!$D$61,"  ")</f>
        <v>4550</v>
      </c>
      <c r="E20" s="53"/>
      <c r="F20" s="75">
        <f>IF('Sp Hiway'!$E$61&gt;0,'Sp Hiway'!$E$61,"  ")</f>
        <v>5219</v>
      </c>
      <c r="G20" s="75"/>
      <c r="H20" s="295"/>
    </row>
    <row r="21" spans="1:8" ht="15">
      <c r="A21" s="75" t="str">
        <f>IF(inputPrYr!$B30&gt;"  ",(inputPrYr!$B30),"  ")</f>
        <v>Solid Waste</v>
      </c>
      <c r="B21" s="75">
        <f>IF('no levy page11'!$C$19&gt;0,'no levy page11'!$C$19,"  ")</f>
        <v>149457</v>
      </c>
      <c r="C21" s="53"/>
      <c r="D21" s="75">
        <f>IF('no levy page11'!$D$19&gt;0,'no levy page11'!$D$19,"  ")</f>
        <v>150800</v>
      </c>
      <c r="E21" s="53"/>
      <c r="F21" s="75">
        <f>IF('no levy page11'!$E$19&gt;0,'no levy page11'!$E$19,"  ")</f>
        <v>155187</v>
      </c>
      <c r="G21" s="75"/>
      <c r="H21" s="295"/>
    </row>
    <row r="22" spans="1:8" ht="15">
      <c r="A22" s="75" t="str">
        <f>IF(inputPrYr!$B31&gt;"  ",(inputPrYr!$B31),"  ")</f>
        <v>Capital Improvement</v>
      </c>
      <c r="B22" s="75">
        <f>IF('no levy page11'!$C$60&gt;0,'no levy page11'!$C$60,"  ")</f>
        <v>405083</v>
      </c>
      <c r="C22" s="53"/>
      <c r="D22" s="75">
        <f>IF('no levy page11'!$D$60&gt;0,'no levy page11'!$D$60,"  ")</f>
        <v>330362</v>
      </c>
      <c r="E22" s="53"/>
      <c r="F22" s="75">
        <f>IF('no levy page11'!$E$60&gt;0,'no levy page11'!$E$60,"  ")</f>
        <v>923352</v>
      </c>
      <c r="G22" s="75"/>
      <c r="H22" s="295"/>
    </row>
    <row r="23" spans="1:8" ht="15">
      <c r="A23" s="75" t="str">
        <f>IF(inputPrYr!$B32&gt;"  ",(inputPrYr!$B32),"  ")</f>
        <v>Municipal Equipment Reserve</v>
      </c>
      <c r="B23" s="75">
        <f>IF('no levy page12'!$C$34&gt;0,'no levy page12'!$C$34,"  ")</f>
        <v>184505</v>
      </c>
      <c r="C23" s="53"/>
      <c r="D23" s="75">
        <f>IF('no levy page12'!$D$34&gt;0,'no levy page12'!$D$34,"  ")</f>
        <v>215350</v>
      </c>
      <c r="E23" s="53"/>
      <c r="F23" s="75">
        <f>IF('no levy page12'!$E$34&gt;0,'no levy page12'!$E$34,"  ")</f>
        <v>315079</v>
      </c>
      <c r="G23" s="53"/>
      <c r="H23" s="53"/>
    </row>
    <row r="24" spans="1:8" ht="15">
      <c r="A24" s="75" t="str">
        <f>IF(inputPrYr!$B33&gt;"  ",(inputPrYr!$B33),"  ")</f>
        <v>Tourism &amp; Convention</v>
      </c>
      <c r="B24" s="75">
        <f>IF('no levy page12'!$C$58&gt;0,'no levy page12'!$C$58,"  ")</f>
        <v>13000</v>
      </c>
      <c r="C24" s="53"/>
      <c r="D24" s="75">
        <f>IF('no levy page12'!$D$58&gt;0,'no levy page12'!$D$58,"  ")</f>
        <v>13072</v>
      </c>
      <c r="E24" s="53"/>
      <c r="F24" s="75">
        <f>IF('no levy page12'!$E$58&gt;0,'no levy page12'!$E$58,"  ")</f>
        <v>28170</v>
      </c>
      <c r="G24" s="53"/>
      <c r="H24" s="53"/>
    </row>
    <row r="25" spans="1:8" ht="15">
      <c r="A25" s="75" t="str">
        <f>IF(inputPrYr!$B34&gt;"  ",(inputPrYr!$B34),"  ")</f>
        <v>Transportation District</v>
      </c>
      <c r="B25" s="75">
        <f>IF('no levy page13'!$C$28&gt;0,'no levy page13'!$C$28,"  ")</f>
        <v>128343</v>
      </c>
      <c r="C25" s="53"/>
      <c r="D25" s="75">
        <f>IF('no levy page13'!$D$28&gt;0,'no levy page13'!$D$28,"  ")</f>
        <v>120000</v>
      </c>
      <c r="E25" s="53"/>
      <c r="F25" s="75">
        <f>IF('no levy page13'!$E$28&gt;0,'no levy page13'!$E$28,"  ")</f>
        <v>120000</v>
      </c>
      <c r="G25" s="53"/>
      <c r="H25" s="53"/>
    </row>
    <row r="26" spans="1:8" ht="15">
      <c r="A26" s="75" t="str">
        <f>IF(inputPrYr!$B35&gt;"  ",(inputPrYr!$B35),"  ")</f>
        <v>W/S Emergency Depreciation</v>
      </c>
      <c r="B26" s="75">
        <f>IF('no levy page13'!$C$59&gt;0,'no levy page13'!$C$59,"  ")</f>
        <v>575</v>
      </c>
      <c r="C26" s="53"/>
      <c r="D26" s="75">
        <f>IF('no levy page13'!$D$59&gt;0,'no levy page13'!$D$59,"  ")</f>
        <v>2000</v>
      </c>
      <c r="E26" s="53"/>
      <c r="F26" s="75">
        <f>IF('no levy page13'!$E$59&gt;0,'no levy page13'!$E$59,"  ")</f>
        <v>119140</v>
      </c>
      <c r="G26" s="53"/>
      <c r="H26" s="53"/>
    </row>
    <row r="27" spans="1:8" ht="15">
      <c r="A27" s="75" t="str">
        <f>IF(inputPrYr!$B36&gt;"  ",(inputPrYr!$B36),"  ")</f>
        <v>2007 TDD Project Fund</v>
      </c>
      <c r="B27" s="75">
        <f>IF('no levy page14'!$C$28&gt;0,'no levy page14'!$C$28,"  ")</f>
        <v>79778</v>
      </c>
      <c r="C27" s="53"/>
      <c r="D27" s="75">
        <v>0</v>
      </c>
      <c r="E27" s="53"/>
      <c r="F27" s="75">
        <v>0</v>
      </c>
      <c r="G27" s="53"/>
      <c r="H27" s="53"/>
    </row>
    <row r="28" spans="1:8" ht="15">
      <c r="A28" s="75" t="str">
        <f>IF(inputPrYr!$B37&gt;"  ",(inputPrYr!$B37),"  ")</f>
        <v>2007 TDD Debt Service Reserve</v>
      </c>
      <c r="B28" s="75">
        <v>0</v>
      </c>
      <c r="C28" s="53"/>
      <c r="D28" s="75">
        <v>0</v>
      </c>
      <c r="E28" s="53"/>
      <c r="F28" s="75">
        <f>IF('no levy page14'!$E$59&gt;0,'no levy page14'!$E$59,"  ")</f>
        <v>205501</v>
      </c>
      <c r="G28" s="53"/>
      <c r="H28" s="53"/>
    </row>
    <row r="29" spans="1:8" ht="15">
      <c r="A29" s="75" t="str">
        <f>IF(inputPrYr!$B38&gt;"  ",(inputPrYr!$B38),"  ")</f>
        <v>2007 TDD Cost of Issuance</v>
      </c>
      <c r="B29" s="75">
        <f>IF('no levy page15'!$C$28&gt;0,'no levy page15'!$C$28,"  ")</f>
        <v>5975</v>
      </c>
      <c r="C29" s="53"/>
      <c r="D29" s="75">
        <v>0</v>
      </c>
      <c r="E29" s="53"/>
      <c r="F29" s="75">
        <v>0</v>
      </c>
      <c r="G29" s="53"/>
      <c r="H29" s="53"/>
    </row>
    <row r="30" spans="1:8" ht="15">
      <c r="A30" s="75" t="str">
        <f>IF(inputPrYr!$B39&gt;"  ",(inputPrYr!$B39),"  ")</f>
        <v>2007 TDD Prinicpal &amp; Interest</v>
      </c>
      <c r="B30" s="75">
        <f>IF('no levy page15'!$C$59&gt;0,'no levy page15'!$C$59,"  ")</f>
        <v>78293</v>
      </c>
      <c r="C30" s="53"/>
      <c r="D30" s="75">
        <f>IF('no levy page15'!$D$59&gt;0,'no levy page15'!$D$59,"  ")</f>
        <v>77418</v>
      </c>
      <c r="E30" s="53"/>
      <c r="F30" s="75">
        <f>IF('no levy page15'!$E$59&gt;0,'no levy page15'!$E$59,"  ")</f>
        <v>262555</v>
      </c>
      <c r="G30" s="53"/>
      <c r="H30" s="53"/>
    </row>
    <row r="31" spans="1:8" ht="15">
      <c r="A31" s="75" t="str">
        <f>IF(inputPrYr!$B40&gt;"  ",(inputPrYr!$B40),"  ")</f>
        <v>2011 Redemption</v>
      </c>
      <c r="B31" s="75">
        <v>0</v>
      </c>
      <c r="C31" s="53"/>
      <c r="D31" s="75">
        <f>IF('no levy page16'!$D$28&gt;0,'no levy page16'!$D$28,"  ")</f>
        <v>1409377</v>
      </c>
      <c r="E31" s="53"/>
      <c r="F31" s="75">
        <v>0</v>
      </c>
      <c r="G31" s="53"/>
      <c r="H31" s="53"/>
    </row>
    <row r="32" spans="1:8" ht="15">
      <c r="A32" s="75" t="str">
        <f>IF(inputPrYr!$B41&gt;"  ",(inputPrYr!$B41),"  ")</f>
        <v>2011 Cost of Issuance</v>
      </c>
      <c r="B32" s="75">
        <v>0</v>
      </c>
      <c r="C32" s="53"/>
      <c r="D32" s="75">
        <f>IF('no levy page16'!$D$59&gt;0,'no levy page16'!$D$59,"  ")</f>
        <v>24283</v>
      </c>
      <c r="E32" s="53"/>
      <c r="F32" s="75">
        <v>0</v>
      </c>
      <c r="G32" s="53"/>
      <c r="H32" s="53"/>
    </row>
    <row r="33" spans="1:8" ht="15">
      <c r="A33" s="75" t="str">
        <f>IF(inputPrYr!$B42&gt;"  ",(inputPrYr!$B42),"  ")</f>
        <v>2011 Bond Compliance</v>
      </c>
      <c r="B33" s="75">
        <v>0</v>
      </c>
      <c r="C33" s="53"/>
      <c r="D33" s="75">
        <v>0</v>
      </c>
      <c r="E33" s="53"/>
      <c r="F33" s="75">
        <f>IF('no levy page17'!$E$28&gt;0,'no levy page17'!$E$28,"  ")</f>
        <v>3641</v>
      </c>
      <c r="G33" s="53"/>
      <c r="H33" s="53"/>
    </row>
    <row r="34" spans="1:8" ht="15">
      <c r="A34" s="75" t="str">
        <f>IF(inputPrYr!$B43&gt;"  ",(inputPrYr!$B43),"  ")</f>
        <v>Water/Sewer Improvement</v>
      </c>
      <c r="B34" s="75">
        <f>IF('no levy page17'!$C$59&gt;0,'no levy page17'!$C$59,"  ")</f>
        <v>186062</v>
      </c>
      <c r="C34" s="53"/>
      <c r="D34" s="75">
        <f>IF('no levy page17'!$D$59&gt;0,'no levy page17'!$D$59,"  ")</f>
        <v>267674</v>
      </c>
      <c r="E34" s="53"/>
      <c r="F34" s="75">
        <f>IF('no levy page17'!$E$59&gt;0,'no levy page17'!$E$59,"  ")</f>
        <v>378845</v>
      </c>
      <c r="G34" s="53"/>
      <c r="H34" s="53"/>
    </row>
    <row r="35" spans="1:8" ht="15">
      <c r="A35" s="75" t="str">
        <f>IF(inputPrYr!$B44&gt;"  ",(inputPrYr!$B44),"  ")</f>
        <v>W/W Treatment Plant Imp</v>
      </c>
      <c r="B35" s="75">
        <f>IF('no levy page18'!$C$28&gt;0,'no levy page18'!$C$28,"  ")</f>
        <v>438715</v>
      </c>
      <c r="C35" s="53"/>
      <c r="D35" s="75">
        <v>0</v>
      </c>
      <c r="E35" s="53"/>
      <c r="F35" s="75">
        <v>0</v>
      </c>
      <c r="G35" s="53"/>
      <c r="H35" s="53"/>
    </row>
    <row r="36" spans="1:8" ht="15">
      <c r="A36" s="75" t="str">
        <f>IF(inputPrYr!$B45&gt;"  ",(inputPrYr!$B45),"  ")</f>
        <v>2009 Temp Note Debt Service</v>
      </c>
      <c r="B36" s="75">
        <f>IF('no levy page18'!$C$59&gt;0,'no levy page18'!$C$59,"  ")</f>
        <v>13833</v>
      </c>
      <c r="C36" s="53"/>
      <c r="D36" s="75">
        <f>IF('no levy page18'!$D$59&gt;0,'no levy page18'!$D$59,"  ")</f>
        <v>624644</v>
      </c>
      <c r="E36" s="53"/>
      <c r="F36" s="75">
        <v>0</v>
      </c>
      <c r="G36" s="53"/>
      <c r="H36" s="53"/>
    </row>
    <row r="37" spans="1:8" ht="15">
      <c r="A37" s="75" t="str">
        <f>IF(inputPrYr!$B46&gt;"  ",(inputPrYr!$B46),"  ")</f>
        <v>2009 Temp Note Cost of Issuance</v>
      </c>
      <c r="B37" s="75">
        <f>IF('no levy page19'!$C$28&gt;0,'no levy page19'!$C$28,"  ")</f>
        <v>913</v>
      </c>
      <c r="C37" s="53"/>
      <c r="D37" s="75">
        <v>0</v>
      </c>
      <c r="E37" s="53"/>
      <c r="F37" s="75">
        <v>0</v>
      </c>
      <c r="G37" s="53"/>
      <c r="H37" s="53"/>
    </row>
    <row r="38" spans="1:8" ht="15">
      <c r="A38" s="75" t="str">
        <f>IF(inputPrYr!$B47&gt;"  ",(inputPrYr!$B47),"  ")</f>
        <v>2009 Temp Note Improvement</v>
      </c>
      <c r="B38" s="75">
        <f>IF('no levy page19'!$C$59&gt;0,'no levy page19'!$C$59,"  ")</f>
        <v>758573</v>
      </c>
      <c r="C38" s="53"/>
      <c r="D38" s="75">
        <v>0</v>
      </c>
      <c r="E38" s="53"/>
      <c r="F38" s="75">
        <v>0</v>
      </c>
      <c r="G38" s="53"/>
      <c r="H38" s="53"/>
    </row>
    <row r="39" spans="1:8" ht="15">
      <c r="A39" s="75" t="str">
        <f>IF(inputPrYr!$B50&gt;"  ",(inputPrYr!$B50),"  ")</f>
        <v>Water/Sewer</v>
      </c>
      <c r="B39" s="75">
        <f>IF(SinNoLevy20!$C$66&gt;0,SinNoLevy20!$C$66,"  ")</f>
        <v>1101815</v>
      </c>
      <c r="C39" s="53"/>
      <c r="D39" s="75">
        <f>IF(SinNoLevy20!$D$66&gt;0,SinNoLevy20!$D$66,"  ")</f>
        <v>1122596</v>
      </c>
      <c r="E39" s="53"/>
      <c r="F39" s="75">
        <f>IF(SinNoLevy20!$E$66&gt;0,SinNoLevy20!$E$66,"  ")</f>
        <v>1209370</v>
      </c>
      <c r="G39" s="53"/>
      <c r="H39" s="53"/>
    </row>
    <row r="40" spans="1:8" ht="15.75" thickBot="1">
      <c r="A40" s="75" t="str">
        <f>IF(inputPrYr!$B51&gt;"  ",(inputPrYr!$B51),"  ")</f>
        <v>Recreation &amp; Pool</v>
      </c>
      <c r="B40" s="75">
        <f>IF(SinNoLevy21!$C$46&gt;0,SinNoLevy21!$C$46,"  ")</f>
        <v>189449</v>
      </c>
      <c r="C40" s="53"/>
      <c r="D40" s="75">
        <f>IF(SinNoLevy21!$D$46&gt;0,SinNoLevy21!$D$46,"  ")</f>
        <v>198275</v>
      </c>
      <c r="E40" s="53"/>
      <c r="F40" s="75">
        <f>IF(SinNoLevy21!$E$46&gt;0,SinNoLevy21!$E$46,"  ")</f>
        <v>195226</v>
      </c>
      <c r="G40" s="53"/>
      <c r="H40" s="53"/>
    </row>
    <row r="41" spans="1:8" ht="15">
      <c r="A41" s="133" t="s">
        <v>502</v>
      </c>
      <c r="B41" s="457">
        <f>SUM(B15:B40)</f>
        <v>6121025</v>
      </c>
      <c r="C41" s="458">
        <f>SUM(C15:C18)</f>
        <v>75.10000000000001</v>
      </c>
      <c r="D41" s="457">
        <f>SUM(D15:D40)</f>
        <v>6972231</v>
      </c>
      <c r="E41" s="458">
        <f>SUM(E15:E18)</f>
        <v>74.866</v>
      </c>
      <c r="F41" s="457">
        <f>SUM(F15:F40)</f>
        <v>6777151</v>
      </c>
      <c r="G41" s="457">
        <f>SUM(G15:G40)</f>
        <v>878182</v>
      </c>
      <c r="H41" s="458">
        <f>SUM(H15:H18)</f>
        <v>74.863</v>
      </c>
    </row>
    <row r="42" spans="1:9" ht="15">
      <c r="A42" s="40" t="s">
        <v>78</v>
      </c>
      <c r="B42" s="412">
        <f>transfers!C39</f>
        <v>863334</v>
      </c>
      <c r="C42" s="456"/>
      <c r="D42" s="412">
        <f>transfers!D39</f>
        <v>830433</v>
      </c>
      <c r="E42" s="308"/>
      <c r="F42" s="412">
        <f>transfers!E39</f>
        <v>837850</v>
      </c>
      <c r="G42" s="454"/>
      <c r="H42" s="308"/>
      <c r="I42" s="416"/>
    </row>
    <row r="43" spans="1:8" ht="15.75" thickBot="1">
      <c r="A43" s="40" t="s">
        <v>79</v>
      </c>
      <c r="B43" s="305">
        <f>B41-B42</f>
        <v>5257691</v>
      </c>
      <c r="C43" s="35"/>
      <c r="D43" s="305">
        <f>D41-D42</f>
        <v>6141798</v>
      </c>
      <c r="E43" s="35"/>
      <c r="F43" s="305">
        <f>F41-F42</f>
        <v>5939301</v>
      </c>
      <c r="G43" s="35"/>
      <c r="H43" s="35"/>
    </row>
    <row r="44" spans="1:8" ht="15.75" thickTop="1">
      <c r="A44" s="40" t="s">
        <v>80</v>
      </c>
      <c r="B44" s="412">
        <f>inputPrYr!$E$92</f>
        <v>5344041</v>
      </c>
      <c r="C44" s="187"/>
      <c r="D44" s="412">
        <f>inputPrYr!$E$25</f>
        <v>864303</v>
      </c>
      <c r="E44" s="187"/>
      <c r="F44" s="296" t="s">
        <v>42</v>
      </c>
      <c r="G44" s="35"/>
      <c r="H44" s="35"/>
    </row>
    <row r="45" spans="1:8" ht="15">
      <c r="A45" s="40" t="s">
        <v>81</v>
      </c>
      <c r="B45" s="189"/>
      <c r="C45" s="35"/>
      <c r="D45" s="413"/>
      <c r="E45" s="194"/>
      <c r="F45" s="142"/>
      <c r="G45" s="35"/>
      <c r="H45" s="35"/>
    </row>
    <row r="46" spans="1:8" ht="15">
      <c r="A46" s="40" t="s">
        <v>82</v>
      </c>
      <c r="B46" s="412">
        <f>inputPrYr!$E$93</f>
        <v>11438793</v>
      </c>
      <c r="C46" s="64"/>
      <c r="D46" s="412">
        <f>inputOth!$E$30</f>
        <v>11544964</v>
      </c>
      <c r="E46" s="64"/>
      <c r="F46" s="412">
        <f>inputOth!$E$7</f>
        <v>11730314</v>
      </c>
      <c r="G46" s="35"/>
      <c r="H46" s="35"/>
    </row>
    <row r="47" spans="1:8" ht="15">
      <c r="A47" s="40" t="s">
        <v>83</v>
      </c>
      <c r="B47" s="35"/>
      <c r="C47" s="35"/>
      <c r="D47" s="35"/>
      <c r="E47" s="35"/>
      <c r="F47" s="35"/>
      <c r="G47" s="35"/>
      <c r="H47" s="35"/>
    </row>
    <row r="48" spans="1:8" ht="15">
      <c r="A48" s="40" t="s">
        <v>84</v>
      </c>
      <c r="B48" s="297">
        <f>$H$2-3</f>
        <v>2009</v>
      </c>
      <c r="C48" s="35"/>
      <c r="D48" s="297">
        <f>$H$2-2</f>
        <v>2010</v>
      </c>
      <c r="E48" s="35"/>
      <c r="F48" s="297">
        <f>$H$2-1</f>
        <v>2011</v>
      </c>
      <c r="G48" s="35"/>
      <c r="H48" s="35"/>
    </row>
    <row r="49" spans="1:8" ht="13.5" customHeight="1">
      <c r="A49" s="40" t="s">
        <v>85</v>
      </c>
      <c r="B49" s="234">
        <f>inputPrYr!$D$97</f>
        <v>2374600</v>
      </c>
      <c r="C49" s="162"/>
      <c r="D49" s="234">
        <f>inputPrYr!$E$97</f>
        <v>2090100</v>
      </c>
      <c r="E49" s="162"/>
      <c r="F49" s="234">
        <f>debt!$F$20</f>
        <v>1155000</v>
      </c>
      <c r="G49" s="35"/>
      <c r="H49" s="35"/>
    </row>
    <row r="50" spans="1:8" ht="15">
      <c r="A50" s="40" t="s">
        <v>86</v>
      </c>
      <c r="B50" s="412">
        <f>inputPrYr!$D$98</f>
        <v>0</v>
      </c>
      <c r="C50" s="162"/>
      <c r="D50" s="412">
        <f>inputPrYr!$E$98</f>
        <v>0</v>
      </c>
      <c r="E50" s="162"/>
      <c r="F50" s="234">
        <f>debt!$F$32</f>
        <v>0</v>
      </c>
      <c r="G50" s="35"/>
      <c r="H50" s="35"/>
    </row>
    <row r="51" spans="1:8" ht="18.75" customHeight="1">
      <c r="A51" s="35" t="s">
        <v>105</v>
      </c>
      <c r="B51" s="412">
        <f>inputPrYr!$D$99</f>
        <v>1695488</v>
      </c>
      <c r="C51" s="162"/>
      <c r="D51" s="412">
        <f>inputPrYr!$E$99</f>
        <v>31954788</v>
      </c>
      <c r="E51" s="162"/>
      <c r="F51" s="234">
        <f>debt!$F$42</f>
        <v>3861160</v>
      </c>
      <c r="G51" s="35"/>
      <c r="H51" s="35"/>
    </row>
    <row r="52" spans="1:8" ht="18.75" customHeight="1">
      <c r="A52" s="40" t="s">
        <v>181</v>
      </c>
      <c r="B52" s="412">
        <f>inputPrYr!$D$100</f>
        <v>233431</v>
      </c>
      <c r="C52" s="162"/>
      <c r="D52" s="412">
        <f>inputPrYr!$E$100</f>
        <v>169842</v>
      </c>
      <c r="E52" s="162"/>
      <c r="F52" s="234">
        <f>lpform!$F$28</f>
        <v>66258</v>
      </c>
      <c r="G52" s="35"/>
      <c r="H52" s="35"/>
    </row>
    <row r="53" spans="1:8" ht="18.75" customHeight="1" thickBot="1">
      <c r="A53" s="40" t="s">
        <v>87</v>
      </c>
      <c r="B53" s="463">
        <f>SUM(B49:B52)</f>
        <v>4303519</v>
      </c>
      <c r="C53" s="162"/>
      <c r="D53" s="463">
        <f>SUM(D49:D52)</f>
        <v>34214730</v>
      </c>
      <c r="E53" s="162"/>
      <c r="F53" s="463">
        <f>SUM(F49:F52)</f>
        <v>5082418</v>
      </c>
      <c r="G53" s="35"/>
      <c r="H53" s="35"/>
    </row>
    <row r="54" spans="1:8" ht="18.75" customHeight="1" thickTop="1">
      <c r="A54" s="40" t="s">
        <v>88</v>
      </c>
      <c r="B54" s="35"/>
      <c r="C54" s="35"/>
      <c r="D54" s="35"/>
      <c r="E54" s="35"/>
      <c r="F54" s="35"/>
      <c r="G54" s="35"/>
      <c r="H54" s="35"/>
    </row>
    <row r="55" spans="1:8" ht="15">
      <c r="A55" s="35"/>
      <c r="B55" s="35"/>
      <c r="C55" s="35"/>
      <c r="D55" s="35"/>
      <c r="E55" s="35"/>
      <c r="F55" s="35"/>
      <c r="G55" s="35"/>
      <c r="H55" s="35"/>
    </row>
    <row r="56" spans="1:8" ht="15">
      <c r="A56" s="535"/>
      <c r="B56" s="535"/>
      <c r="C56" s="64"/>
      <c r="D56" s="35"/>
      <c r="E56" s="35"/>
      <c r="F56" s="35"/>
      <c r="G56" s="35"/>
      <c r="H56" s="35"/>
    </row>
    <row r="57" spans="1:8" ht="15">
      <c r="A57" s="159" t="s">
        <v>214</v>
      </c>
      <c r="B57" s="422" t="str">
        <f>inputBudSum!B4</f>
        <v>City Clerk</v>
      </c>
      <c r="C57" s="35"/>
      <c r="D57" s="35"/>
      <c r="E57" s="35"/>
      <c r="F57" s="35"/>
      <c r="G57" s="35"/>
      <c r="H57" s="35"/>
    </row>
    <row r="58" spans="1:8" ht="15">
      <c r="A58" s="35"/>
      <c r="B58" s="35"/>
      <c r="C58" s="35"/>
      <c r="D58" s="35"/>
      <c r="E58" s="35"/>
      <c r="F58" s="35"/>
      <c r="G58" s="35"/>
      <c r="H58" s="35"/>
    </row>
    <row r="59" spans="1:8" ht="15">
      <c r="A59" s="35"/>
      <c r="B59" s="35"/>
      <c r="C59" s="126" t="s">
        <v>62</v>
      </c>
      <c r="D59" s="274">
        <v>22</v>
      </c>
      <c r="E59" s="35"/>
      <c r="F59" s="35"/>
      <c r="G59" s="35"/>
      <c r="H59" s="35"/>
    </row>
  </sheetData>
  <sheetProtection/>
  <mergeCells count="7">
    <mergeCell ref="A5:H5"/>
    <mergeCell ref="A56:B56"/>
    <mergeCell ref="A1:H1"/>
    <mergeCell ref="A4:H4"/>
    <mergeCell ref="A6:H6"/>
    <mergeCell ref="A7:H7"/>
    <mergeCell ref="A3:H3"/>
  </mergeCells>
  <printOptions/>
  <pageMargins left="0.5" right="0.5" top="1" bottom="0.5" header="0.5" footer="0.5"/>
  <pageSetup blackAndWhite="1" fitToHeight="1" fitToWidth="1" horizontalDpi="120" verticalDpi="120" orientation="portrait" scale="70"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E8" sqref="E8"/>
    </sheetView>
  </sheetViews>
  <sheetFormatPr defaultColWidth="8.8984375" defaultRowHeight="15"/>
  <cols>
    <col min="1" max="1" width="10.09765625" style="94" customWidth="1"/>
    <col min="2" max="2" width="16.296875" style="94" customWidth="1"/>
    <col min="3" max="3" width="11.69921875" style="94" customWidth="1"/>
    <col min="4" max="4" width="12.69921875" style="94" customWidth="1"/>
    <col min="5" max="5" width="11.69921875" style="94" customWidth="1"/>
    <col min="6" max="16384" width="8.8984375" style="94" customWidth="1"/>
  </cols>
  <sheetData>
    <row r="1" spans="1:6" ht="15">
      <c r="A1" s="187" t="str">
        <f>inputPrYr!D2</f>
        <v>City of Ellsworth</v>
      </c>
      <c r="B1" s="35"/>
      <c r="C1" s="35"/>
      <c r="D1" s="35"/>
      <c r="E1" s="35"/>
      <c r="F1" s="35">
        <f>inputPrYr!C5</f>
        <v>2012</v>
      </c>
    </row>
    <row r="2" spans="1:6" ht="15">
      <c r="A2" s="35"/>
      <c r="B2" s="35"/>
      <c r="C2" s="35"/>
      <c r="D2" s="35"/>
      <c r="E2" s="35"/>
      <c r="F2" s="35"/>
    </row>
    <row r="3" spans="1:6" ht="15">
      <c r="A3" s="35"/>
      <c r="B3" s="513" t="str">
        <f>CONCATENATE("",F1," Neighborhood Revitalization Rebate")</f>
        <v>2012 Neighborhood Revitalization Rebate</v>
      </c>
      <c r="C3" s="538"/>
      <c r="D3" s="538"/>
      <c r="E3" s="538"/>
      <c r="F3" s="35"/>
    </row>
    <row r="4" spans="1:6" ht="15">
      <c r="A4" s="35"/>
      <c r="B4" s="35"/>
      <c r="C4" s="35"/>
      <c r="D4" s="35"/>
      <c r="E4" s="35"/>
      <c r="F4" s="35"/>
    </row>
    <row r="5" spans="1:6" ht="51.75" customHeight="1">
      <c r="A5" s="35"/>
      <c r="B5" s="299" t="str">
        <f>CONCATENATE("Budgeted Funds         for ",F1,"")</f>
        <v>Budgeted Funds         for 2012</v>
      </c>
      <c r="C5" s="299" t="str">
        <f>CONCATENATE("",F1-1," Ad Valorem before Rebate**")</f>
        <v>2011 Ad Valorem before Rebate**</v>
      </c>
      <c r="D5" s="300" t="str">
        <f>CONCATENATE("",F1-1," Mil Rate before Rebate")</f>
        <v>2011 Mil Rate before Rebate</v>
      </c>
      <c r="E5" s="301" t="str">
        <f>CONCATENATE("Estimate ",F1," NR Rebate")</f>
        <v>Estimate 2012 NR Rebate</v>
      </c>
      <c r="F5" s="86"/>
    </row>
    <row r="6" spans="1:6" ht="15">
      <c r="A6" s="35"/>
      <c r="B6" s="52" t="str">
        <f>inputPrYr!B17</f>
        <v>General</v>
      </c>
      <c r="C6" s="302">
        <v>608256</v>
      </c>
      <c r="D6" s="303">
        <f aca="true" t="shared" si="0" ref="D6:D12">IF(C6&gt;0,C6/$D$18,"")</f>
        <v>51.85334339728672</v>
      </c>
      <c r="E6" s="234">
        <f aca="true" t="shared" si="1" ref="E6:E12">IF(C6&gt;0,ROUND(D6*$D$22,0),"")</f>
        <v>2866</v>
      </c>
      <c r="F6" s="86"/>
    </row>
    <row r="7" spans="1:6" ht="15">
      <c r="A7" s="35"/>
      <c r="B7" s="52" t="str">
        <f>inputPrYr!B18</f>
        <v>Debt Service</v>
      </c>
      <c r="C7" s="302">
        <v>141740</v>
      </c>
      <c r="D7" s="303">
        <f t="shared" si="0"/>
        <v>12.083223006647563</v>
      </c>
      <c r="E7" s="234">
        <f t="shared" si="1"/>
        <v>668</v>
      </c>
      <c r="F7" s="86"/>
    </row>
    <row r="8" spans="1:6" ht="15">
      <c r="A8" s="35"/>
      <c r="B8" s="75" t="str">
        <f>inputPrYr!B20</f>
        <v>Library</v>
      </c>
      <c r="C8" s="302">
        <v>91347</v>
      </c>
      <c r="D8" s="303">
        <f t="shared" si="0"/>
        <v>7.78725957378464</v>
      </c>
      <c r="E8" s="234">
        <f t="shared" si="1"/>
        <v>430</v>
      </c>
      <c r="F8" s="86"/>
    </row>
    <row r="9" spans="1:6" ht="15">
      <c r="A9" s="35"/>
      <c r="B9" s="75" t="str">
        <f>inputPrYr!B21</f>
        <v>Fire/Police</v>
      </c>
      <c r="C9" s="302">
        <v>36839</v>
      </c>
      <c r="D9" s="303">
        <f t="shared" si="0"/>
        <v>3.140495642316139</v>
      </c>
      <c r="E9" s="234">
        <f t="shared" si="1"/>
        <v>174</v>
      </c>
      <c r="F9" s="86"/>
    </row>
    <row r="10" spans="1:6" ht="15">
      <c r="A10" s="35"/>
      <c r="B10" s="75">
        <f>inputPrYr!B22</f>
        <v>0</v>
      </c>
      <c r="C10" s="302"/>
      <c r="D10" s="303">
        <f t="shared" si="0"/>
      </c>
      <c r="E10" s="234">
        <f t="shared" si="1"/>
      </c>
      <c r="F10" s="86"/>
    </row>
    <row r="11" spans="1:6" ht="15">
      <c r="A11" s="35"/>
      <c r="B11" s="75">
        <f>inputPrYr!B23</f>
        <v>0</v>
      </c>
      <c r="C11" s="304"/>
      <c r="D11" s="303">
        <f t="shared" si="0"/>
      </c>
      <c r="E11" s="234">
        <f t="shared" si="1"/>
      </c>
      <c r="F11" s="86"/>
    </row>
    <row r="12" spans="1:6" ht="15">
      <c r="A12" s="35"/>
      <c r="B12" s="75">
        <f>inputPrYr!B24</f>
        <v>0</v>
      </c>
      <c r="C12" s="304"/>
      <c r="D12" s="303">
        <f t="shared" si="0"/>
      </c>
      <c r="E12" s="234">
        <f t="shared" si="1"/>
      </c>
      <c r="F12" s="86"/>
    </row>
    <row r="13" spans="1:6" ht="15.75" thickBot="1">
      <c r="A13" s="35"/>
      <c r="B13" s="53" t="s">
        <v>48</v>
      </c>
      <c r="C13" s="305">
        <f>SUM(C6:C12)</f>
        <v>878182</v>
      </c>
      <c r="D13" s="306">
        <f>SUM(D6:D11)</f>
        <v>74.86432162003507</v>
      </c>
      <c r="E13" s="305">
        <f>SUM(E6:E11)</f>
        <v>4138</v>
      </c>
      <c r="F13" s="86"/>
    </row>
    <row r="14" spans="1:6" ht="15.75" thickTop="1">
      <c r="A14" s="35"/>
      <c r="B14" s="35"/>
      <c r="C14" s="35"/>
      <c r="D14" s="35"/>
      <c r="E14" s="35"/>
      <c r="F14" s="86"/>
    </row>
    <row r="15" spans="1:6" ht="15">
      <c r="A15" s="35"/>
      <c r="B15" s="35"/>
      <c r="C15" s="35"/>
      <c r="D15" s="35"/>
      <c r="E15" s="35"/>
      <c r="F15" s="86"/>
    </row>
    <row r="16" spans="1:6" ht="15">
      <c r="A16" s="539" t="str">
        <f>CONCATENATE("",F1-1," July 1 Valuation:")</f>
        <v>2011 July 1 Valuation:</v>
      </c>
      <c r="B16" s="527"/>
      <c r="C16" s="539"/>
      <c r="D16" s="298">
        <f>inputOth!E7</f>
        <v>11730314</v>
      </c>
      <c r="E16" s="35"/>
      <c r="F16" s="86"/>
    </row>
    <row r="17" spans="1:6" ht="15">
      <c r="A17" s="35"/>
      <c r="B17" s="35"/>
      <c r="C17" s="35"/>
      <c r="D17" s="35"/>
      <c r="E17" s="35"/>
      <c r="F17" s="86"/>
    </row>
    <row r="18" spans="1:6" ht="15">
      <c r="A18" s="35"/>
      <c r="B18" s="539" t="s">
        <v>251</v>
      </c>
      <c r="C18" s="539"/>
      <c r="D18" s="307">
        <f>IF(D16&gt;0,(D16*0.001),"")</f>
        <v>11730.314</v>
      </c>
      <c r="E18" s="35"/>
      <c r="F18" s="86"/>
    </row>
    <row r="19" spans="1:6" ht="15">
      <c r="A19" s="35"/>
      <c r="B19" s="126"/>
      <c r="C19" s="126"/>
      <c r="D19" s="308"/>
      <c r="E19" s="35"/>
      <c r="F19" s="86"/>
    </row>
    <row r="20" spans="1:6" ht="15">
      <c r="A20" s="537" t="s">
        <v>252</v>
      </c>
      <c r="B20" s="506"/>
      <c r="C20" s="506"/>
      <c r="D20" s="309">
        <f>inputOth!E17</f>
        <v>55271</v>
      </c>
      <c r="E20" s="56"/>
      <c r="F20" s="56"/>
    </row>
    <row r="21" spans="1:6" ht="15">
      <c r="A21" s="56"/>
      <c r="B21" s="56"/>
      <c r="C21" s="56"/>
      <c r="D21" s="310"/>
      <c r="E21" s="56"/>
      <c r="F21" s="56"/>
    </row>
    <row r="22" spans="1:6" ht="15">
      <c r="A22" s="56"/>
      <c r="B22" s="537" t="s">
        <v>253</v>
      </c>
      <c r="C22" s="527"/>
      <c r="D22" s="311">
        <f>IF(D20&gt;0,(D20*0.001),"")</f>
        <v>55.271</v>
      </c>
      <c r="E22" s="56"/>
      <c r="F22" s="56"/>
    </row>
    <row r="23" spans="1:6" ht="15">
      <c r="A23" s="56"/>
      <c r="B23" s="56"/>
      <c r="C23" s="56"/>
      <c r="D23" s="56"/>
      <c r="E23" s="56"/>
      <c r="F23" s="56"/>
    </row>
    <row r="24" spans="1:6" ht="15">
      <c r="A24" s="56"/>
      <c r="B24" s="56"/>
      <c r="C24" s="56"/>
      <c r="D24" s="56"/>
      <c r="E24" s="56"/>
      <c r="F24" s="56"/>
    </row>
    <row r="25" spans="1:6" ht="15">
      <c r="A25" s="56"/>
      <c r="B25" s="56"/>
      <c r="C25" s="56"/>
      <c r="D25" s="56"/>
      <c r="E25" s="56"/>
      <c r="F25" s="56"/>
    </row>
    <row r="26" spans="1:6" ht="15">
      <c r="A26" s="337" t="str">
        <f>CONCATENATE("**This information comes from the ",F1," Budget Summary page.  See instructions tab #11 for completing")</f>
        <v>**This information comes from the 2012 Budget Summary page.  See instructions tab #11 for completing</v>
      </c>
      <c r="B26" s="56"/>
      <c r="C26" s="56"/>
      <c r="D26" s="56"/>
      <c r="E26" s="56"/>
      <c r="F26" s="56"/>
    </row>
    <row r="27" spans="1:6" ht="15">
      <c r="A27" s="337" t="s">
        <v>482</v>
      </c>
      <c r="B27" s="56"/>
      <c r="C27" s="56"/>
      <c r="D27" s="56"/>
      <c r="E27" s="56"/>
      <c r="F27" s="56"/>
    </row>
    <row r="28" spans="1:6" ht="15">
      <c r="A28" s="337"/>
      <c r="B28" s="56"/>
      <c r="C28" s="56"/>
      <c r="D28" s="56"/>
      <c r="E28" s="56"/>
      <c r="F28" s="56"/>
    </row>
    <row r="29" spans="1:6" ht="15">
      <c r="A29" s="337"/>
      <c r="B29" s="56"/>
      <c r="C29" s="56"/>
      <c r="D29" s="56"/>
      <c r="E29" s="56"/>
      <c r="F29" s="56"/>
    </row>
    <row r="30" spans="1:6" ht="15">
      <c r="A30" s="337"/>
      <c r="B30" s="56"/>
      <c r="C30" s="56"/>
      <c r="D30" s="56"/>
      <c r="E30" s="56"/>
      <c r="F30" s="56"/>
    </row>
    <row r="31" spans="1:6" ht="15">
      <c r="A31" s="337"/>
      <c r="B31" s="56"/>
      <c r="C31" s="56"/>
      <c r="D31" s="56"/>
      <c r="E31" s="56"/>
      <c r="F31" s="56"/>
    </row>
    <row r="32" spans="1:6" ht="15">
      <c r="A32" s="56"/>
      <c r="B32" s="56"/>
      <c r="C32" s="56"/>
      <c r="D32" s="56"/>
      <c r="E32" s="56"/>
      <c r="F32" s="56"/>
    </row>
    <row r="33" spans="1:6" ht="15">
      <c r="A33" s="56"/>
      <c r="B33" s="177" t="s">
        <v>70</v>
      </c>
      <c r="C33" s="274">
        <v>23</v>
      </c>
      <c r="D33" s="56"/>
      <c r="E33" s="56"/>
      <c r="F33" s="56"/>
    </row>
    <row r="34" spans="1:6" ht="15">
      <c r="A34" s="86"/>
      <c r="B34" s="35"/>
      <c r="C34" s="35"/>
      <c r="D34" s="312"/>
      <c r="E34" s="86"/>
      <c r="F34" s="86"/>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A10" sqref="A10:G11"/>
    </sheetView>
  </sheetViews>
  <sheetFormatPr defaultColWidth="8.8984375" defaultRowHeight="15"/>
  <cols>
    <col min="1" max="16384" width="8.8984375" style="1" customWidth="1"/>
  </cols>
  <sheetData>
    <row r="1" spans="1:7" ht="16.5" customHeight="1">
      <c r="A1" s="543" t="s">
        <v>729</v>
      </c>
      <c r="B1" s="543"/>
      <c r="C1" s="543"/>
      <c r="D1" s="543"/>
      <c r="E1" s="543"/>
      <c r="F1" s="543"/>
      <c r="G1" s="543"/>
    </row>
    <row r="2" spans="1:7" ht="16.5" customHeight="1">
      <c r="A2" s="543"/>
      <c r="B2" s="543"/>
      <c r="C2" s="543"/>
      <c r="D2" s="543"/>
      <c r="E2" s="543"/>
      <c r="F2" s="543"/>
      <c r="G2" s="543"/>
    </row>
    <row r="3" spans="1:7" ht="16.5" customHeight="1">
      <c r="A3" s="544"/>
      <c r="B3" s="544"/>
      <c r="C3" s="544"/>
      <c r="D3" s="544"/>
      <c r="E3" s="544"/>
      <c r="F3" s="544"/>
      <c r="G3" s="544"/>
    </row>
    <row r="4" spans="1:7" ht="16.5" customHeight="1">
      <c r="A4" s="541" t="str">
        <f>CONCATENATE("AN ORDINANCE ATTESTING TO AN INCREASE IN TAX REVENUES FOR BUDGET YEAR ",inputPrYr!C5," FOR THE ",(inputPrYr!$D$2))</f>
        <v>AN ORDINANCE ATTESTING TO AN INCREASE IN TAX REVENUES FOR BUDGET YEAR 2012 FOR THE City of Ellsworth</v>
      </c>
      <c r="B4" s="541"/>
      <c r="C4" s="541"/>
      <c r="D4" s="541"/>
      <c r="E4" s="541"/>
      <c r="F4" s="541"/>
      <c r="G4" s="541"/>
    </row>
    <row r="5" spans="1:7" ht="16.5" customHeight="1">
      <c r="A5" s="541"/>
      <c r="B5" s="541"/>
      <c r="C5" s="541"/>
      <c r="D5" s="541"/>
      <c r="E5" s="541"/>
      <c r="F5" s="541"/>
      <c r="G5" s="541"/>
    </row>
    <row r="6" spans="1:7" ht="16.5" customHeight="1">
      <c r="A6" s="543"/>
      <c r="B6" s="543"/>
      <c r="C6" s="543"/>
      <c r="D6" s="543"/>
      <c r="E6" s="543"/>
      <c r="F6" s="543"/>
      <c r="G6" s="543"/>
    </row>
    <row r="7" spans="1:14" ht="16.5" customHeight="1">
      <c r="A7" s="541" t="str">
        <f>CONCATENATE("WHEREAS, the ",(inputPrYr!$D$2)," must continue to provide services to protect the health, safety, and welfare of the citizens of this community; and")</f>
        <v>WHEREAS, the City of Ellsworth must continue to provide services to protect the health, safety, and welfare of the citizens of this community; and</v>
      </c>
      <c r="B7" s="541"/>
      <c r="C7" s="541"/>
      <c r="D7" s="541"/>
      <c r="E7" s="541"/>
      <c r="F7" s="541"/>
      <c r="G7" s="541"/>
      <c r="H7" s="25"/>
      <c r="I7" s="25"/>
      <c r="J7" s="25"/>
      <c r="K7" s="25"/>
      <c r="L7" s="25"/>
      <c r="M7" s="25"/>
      <c r="N7" s="25"/>
    </row>
    <row r="8" spans="1:14" ht="16.5" customHeight="1">
      <c r="A8" s="541"/>
      <c r="B8" s="541"/>
      <c r="C8" s="541"/>
      <c r="D8" s="541"/>
      <c r="E8" s="541"/>
      <c r="F8" s="541"/>
      <c r="G8" s="541"/>
      <c r="H8" s="25"/>
      <c r="I8" s="25"/>
      <c r="J8" s="25"/>
      <c r="K8" s="25"/>
      <c r="L8" s="25"/>
      <c r="M8" s="25"/>
      <c r="N8" s="25"/>
    </row>
    <row r="9" spans="1:7" ht="16.5" customHeight="1">
      <c r="A9" s="26"/>
      <c r="B9" s="26"/>
      <c r="C9" s="26"/>
      <c r="D9" s="26"/>
      <c r="E9" s="26"/>
      <c r="F9" s="26"/>
      <c r="G9" s="26"/>
    </row>
    <row r="10" spans="1:7" ht="16.5" customHeight="1">
      <c r="A10" s="541" t="s">
        <v>184</v>
      </c>
      <c r="B10" s="541"/>
      <c r="C10" s="541"/>
      <c r="D10" s="541"/>
      <c r="E10" s="541"/>
      <c r="F10" s="541"/>
      <c r="G10" s="541"/>
    </row>
    <row r="11" spans="1:7" ht="16.5" customHeight="1">
      <c r="A11" s="541"/>
      <c r="B11" s="541"/>
      <c r="C11" s="541"/>
      <c r="D11" s="541"/>
      <c r="E11" s="541"/>
      <c r="F11" s="541"/>
      <c r="G11" s="541"/>
    </row>
    <row r="12" spans="1:7" ht="16.5" customHeight="1">
      <c r="A12" s="26"/>
      <c r="B12" s="26"/>
      <c r="C12" s="26"/>
      <c r="D12" s="26"/>
      <c r="E12" s="26"/>
      <c r="F12" s="26"/>
      <c r="G12" s="26"/>
    </row>
    <row r="13" spans="1:14" ht="16.5" customHeight="1">
      <c r="A13" s="541" t="str">
        <f>CONCATENATE("NOW THEREFORE, be it ordained by the Governing Body of the ",(inputPrYr!$D$2),":")</f>
        <v>NOW THEREFORE, be it ordained by the Governing Body of the City of Ellsworth:</v>
      </c>
      <c r="B13" s="541"/>
      <c r="C13" s="541"/>
      <c r="D13" s="541"/>
      <c r="E13" s="541"/>
      <c r="F13" s="541"/>
      <c r="G13" s="541"/>
      <c r="H13" s="25"/>
      <c r="I13" s="25"/>
      <c r="J13" s="25"/>
      <c r="K13" s="25"/>
      <c r="L13" s="25"/>
      <c r="M13" s="25"/>
      <c r="N13" s="25"/>
    </row>
    <row r="14" spans="1:14" ht="16.5" customHeight="1">
      <c r="A14" s="541"/>
      <c r="B14" s="541"/>
      <c r="C14" s="541"/>
      <c r="D14" s="541"/>
      <c r="E14" s="541"/>
      <c r="F14" s="541"/>
      <c r="G14" s="541"/>
      <c r="H14" s="25"/>
      <c r="I14" s="25"/>
      <c r="J14" s="25"/>
      <c r="K14" s="25"/>
      <c r="L14" s="25"/>
      <c r="M14" s="25"/>
      <c r="N14" s="25"/>
    </row>
    <row r="15" spans="1:14" ht="16.5" customHeight="1">
      <c r="A15" s="54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Ellsworth  has scheduled a public hearing and has prepared the proposed budget necessary to fund city services from January 1, 2012 until December 31, 2012.</v>
      </c>
      <c r="B15" s="541"/>
      <c r="C15" s="541"/>
      <c r="D15" s="541"/>
      <c r="E15" s="541"/>
      <c r="F15" s="541"/>
      <c r="G15" s="541"/>
      <c r="H15" s="25"/>
      <c r="I15" s="25"/>
      <c r="J15" s="25"/>
      <c r="K15" s="25"/>
      <c r="L15" s="25"/>
      <c r="M15" s="25"/>
      <c r="N15" s="25"/>
    </row>
    <row r="16" spans="1:14" ht="16.5" customHeight="1">
      <c r="A16" s="541"/>
      <c r="B16" s="541"/>
      <c r="C16" s="541"/>
      <c r="D16" s="541"/>
      <c r="E16" s="541"/>
      <c r="F16" s="541"/>
      <c r="G16" s="541"/>
      <c r="H16" s="25"/>
      <c r="I16" s="25"/>
      <c r="J16" s="25"/>
      <c r="K16" s="25"/>
      <c r="L16" s="25"/>
      <c r="M16" s="25"/>
      <c r="N16" s="25"/>
    </row>
    <row r="17" spans="1:14" ht="16.5" customHeight="1">
      <c r="A17" s="541"/>
      <c r="B17" s="541"/>
      <c r="C17" s="541"/>
      <c r="D17" s="541"/>
      <c r="E17" s="541"/>
      <c r="F17" s="541"/>
      <c r="G17" s="541"/>
      <c r="H17" s="25"/>
      <c r="I17" s="25"/>
      <c r="J17" s="25"/>
      <c r="K17" s="25"/>
      <c r="L17" s="25"/>
      <c r="M17" s="25"/>
      <c r="N17" s="25"/>
    </row>
    <row r="18" spans="1:7" ht="16.5" customHeight="1">
      <c r="A18" s="25"/>
      <c r="B18" s="25"/>
      <c r="C18" s="25"/>
      <c r="D18" s="25"/>
      <c r="E18" s="25"/>
      <c r="F18" s="25"/>
      <c r="G18" s="25"/>
    </row>
    <row r="19" spans="1:7" ht="16.5" customHeight="1">
      <c r="A19" s="542" t="s">
        <v>237</v>
      </c>
      <c r="B19" s="542"/>
      <c r="C19" s="542"/>
      <c r="D19" s="542"/>
      <c r="E19" s="542"/>
      <c r="F19" s="542"/>
      <c r="G19" s="542"/>
    </row>
    <row r="20" spans="1:7" ht="16.5" customHeight="1">
      <c r="A20" s="542" t="s">
        <v>238</v>
      </c>
      <c r="B20" s="542"/>
      <c r="C20" s="542"/>
      <c r="D20" s="542"/>
      <c r="E20" s="542"/>
      <c r="F20" s="542"/>
      <c r="G20" s="542"/>
    </row>
    <row r="21" spans="1:7" ht="16.5" customHeight="1">
      <c r="A21" s="542" t="str">
        <f>CONCATENATE("necessary to budget property tax revenues in an amount exceeding the levy in the ",inputPrYr!C5-1,"")</f>
        <v>necessary to budget property tax revenues in an amount exceeding the levy in the 2011</v>
      </c>
      <c r="B21" s="542"/>
      <c r="C21" s="542"/>
      <c r="D21" s="542"/>
      <c r="E21" s="542"/>
      <c r="F21" s="542"/>
      <c r="G21" s="542"/>
    </row>
    <row r="22" spans="1:7" ht="16.5" customHeight="1">
      <c r="A22" s="27" t="s">
        <v>239</v>
      </c>
      <c r="B22" s="27"/>
      <c r="C22" s="27"/>
      <c r="D22" s="27"/>
      <c r="E22" s="27"/>
      <c r="F22" s="27"/>
      <c r="G22" s="27"/>
    </row>
    <row r="23" spans="1:7" ht="16.5" customHeight="1">
      <c r="A23" s="25"/>
      <c r="B23" s="25"/>
      <c r="C23" s="25"/>
      <c r="D23" s="25"/>
      <c r="E23" s="25"/>
      <c r="F23" s="25"/>
      <c r="G23" s="25"/>
    </row>
    <row r="24" spans="1:7" ht="16.5" customHeight="1">
      <c r="A24" s="541" t="s">
        <v>185</v>
      </c>
      <c r="B24" s="541"/>
      <c r="C24" s="541"/>
      <c r="D24" s="541"/>
      <c r="E24" s="541"/>
      <c r="F24" s="541"/>
      <c r="G24" s="541"/>
    </row>
    <row r="25" spans="1:7" ht="16.5" customHeight="1">
      <c r="A25" s="541"/>
      <c r="B25" s="541"/>
      <c r="C25" s="541"/>
      <c r="D25" s="541"/>
      <c r="E25" s="541"/>
      <c r="F25" s="541"/>
      <c r="G25" s="541"/>
    </row>
    <row r="26" spans="1:7" ht="16.5" customHeight="1">
      <c r="A26" s="25"/>
      <c r="B26" s="25"/>
      <c r="C26" s="25"/>
      <c r="D26" s="25"/>
      <c r="E26" s="25"/>
      <c r="F26" s="25"/>
      <c r="G26" s="25"/>
    </row>
    <row r="27" spans="1:7" ht="16.5" customHeight="1">
      <c r="A27" s="541" t="str">
        <f>CONCATENATE("Passed and approved by the Governing Body on this 22nd day of August, ",inputPrYr!C5-1,".")</f>
        <v>Passed and approved by the Governing Body on this 22nd day of August, 2011.</v>
      </c>
      <c r="B27" s="541"/>
      <c r="C27" s="541"/>
      <c r="D27" s="541"/>
      <c r="E27" s="541"/>
      <c r="F27" s="541"/>
      <c r="G27" s="541"/>
    </row>
    <row r="28" spans="1:7" ht="16.5" customHeight="1">
      <c r="A28" s="541"/>
      <c r="B28" s="541"/>
      <c r="C28" s="541"/>
      <c r="D28" s="541"/>
      <c r="E28" s="541"/>
      <c r="F28" s="541"/>
      <c r="G28" s="541"/>
    </row>
    <row r="29" ht="16.5" customHeight="1"/>
    <row r="30" spans="1:7" ht="16.5" customHeight="1">
      <c r="A30" s="540" t="s">
        <v>186</v>
      </c>
      <c r="B30" s="540"/>
      <c r="C30" s="540"/>
      <c r="D30" s="540"/>
      <c r="E30" s="540"/>
      <c r="F30" s="540"/>
      <c r="G30" s="540"/>
    </row>
    <row r="31" spans="1:7" ht="16.5" customHeight="1">
      <c r="A31" s="540" t="s">
        <v>191</v>
      </c>
      <c r="B31" s="540"/>
      <c r="C31" s="540"/>
      <c r="D31" s="540"/>
      <c r="E31" s="540"/>
      <c r="F31" s="540"/>
      <c r="G31" s="540"/>
    </row>
    <row r="32" ht="16.5" customHeight="1">
      <c r="A32" s="1" t="s">
        <v>187</v>
      </c>
    </row>
    <row r="33" ht="16.5" customHeight="1">
      <c r="B33" s="1" t="s">
        <v>188</v>
      </c>
    </row>
    <row r="34" ht="16.5" customHeight="1"/>
    <row r="35" ht="16.5" customHeight="1"/>
    <row r="36" ht="16.5" customHeight="1">
      <c r="A36" s="1" t="s">
        <v>189</v>
      </c>
    </row>
    <row r="37" ht="16.5" customHeight="1"/>
    <row r="38" ht="16.5" customHeight="1"/>
    <row r="39" ht="16.5" customHeight="1"/>
    <row r="40" ht="16.5" customHeight="1">
      <c r="A40" s="1" t="s">
        <v>190</v>
      </c>
    </row>
  </sheetData>
  <sheetProtection/>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E33" sqref="E33"/>
    </sheetView>
  </sheetViews>
  <sheetFormatPr defaultColWidth="8.796875" defaultRowHeight="15"/>
  <cols>
    <col min="1" max="1" width="71.296875" style="0" customWidth="1"/>
  </cols>
  <sheetData>
    <row r="3" spans="1:12" ht="15">
      <c r="A3" s="329" t="s">
        <v>274</v>
      </c>
      <c r="B3" s="329"/>
      <c r="C3" s="329"/>
      <c r="D3" s="329"/>
      <c r="E3" s="329"/>
      <c r="F3" s="329"/>
      <c r="G3" s="329"/>
      <c r="H3" s="329"/>
      <c r="I3" s="329"/>
      <c r="J3" s="329"/>
      <c r="K3" s="329"/>
      <c r="L3" s="329"/>
    </row>
    <row r="5" ht="15">
      <c r="A5" s="330" t="s">
        <v>275</v>
      </c>
    </row>
    <row r="6" ht="15">
      <c r="A6" s="330" t="str">
        <f>CONCATENATE(inputPrYr!C5-2," 'total expenditures' exceed your ",inputPrYr!C5-2," 'budget authority.'")</f>
        <v>2010 'total expenditures' exceed your 2010 'budget authority.'</v>
      </c>
    </row>
    <row r="7" ht="15">
      <c r="A7" s="330"/>
    </row>
    <row r="8" ht="15">
      <c r="A8" s="330" t="s">
        <v>276</v>
      </c>
    </row>
    <row r="9" ht="15">
      <c r="A9" s="330" t="s">
        <v>277</v>
      </c>
    </row>
    <row r="10" ht="15">
      <c r="A10" s="330" t="s">
        <v>278</v>
      </c>
    </row>
    <row r="11" ht="15">
      <c r="A11" s="330"/>
    </row>
    <row r="12" ht="15">
      <c r="A12" s="330"/>
    </row>
    <row r="13" ht="15">
      <c r="A13" s="331" t="s">
        <v>279</v>
      </c>
    </row>
    <row r="15" ht="15">
      <c r="A15" s="330" t="s">
        <v>280</v>
      </c>
    </row>
    <row r="16" ht="15">
      <c r="A16" s="330" t="str">
        <f>CONCATENATE("(i.e. an audit has not been completed, or the ",inputPrYr!C5," adopted")</f>
        <v>(i.e. an audit has not been completed, or the 2012 adopted</v>
      </c>
    </row>
    <row r="17" ht="15">
      <c r="A17" s="330" t="s">
        <v>281</v>
      </c>
    </row>
    <row r="18" ht="15">
      <c r="A18" s="330" t="s">
        <v>282</v>
      </c>
    </row>
    <row r="19" ht="15">
      <c r="A19" s="330" t="s">
        <v>283</v>
      </c>
    </row>
    <row r="21" ht="15">
      <c r="A21" s="331" t="s">
        <v>284</v>
      </c>
    </row>
    <row r="22" ht="15">
      <c r="A22" s="331"/>
    </row>
    <row r="23" ht="15">
      <c r="A23" s="330" t="s">
        <v>285</v>
      </c>
    </row>
    <row r="24" ht="15">
      <c r="A24" s="330" t="s">
        <v>286</v>
      </c>
    </row>
    <row r="25" ht="15">
      <c r="A25" s="330" t="str">
        <f>CONCATENATE("particular fund.  If your ",inputPrYr!C5-2," budget was amended, did you")</f>
        <v>particular fund.  If your 2010 budget was amended, did you</v>
      </c>
    </row>
    <row r="26" ht="15">
      <c r="A26" s="330" t="s">
        <v>287</v>
      </c>
    </row>
    <row r="27" ht="15">
      <c r="A27" s="330"/>
    </row>
    <row r="28" ht="15">
      <c r="A28" s="330" t="str">
        <f>CONCATENATE("Next, look to see if any of your ",inputPrYr!C5-2," expenditures can be")</f>
        <v>Next, look to see if any of your 2010 expenditures can be</v>
      </c>
    </row>
    <row r="29" ht="15">
      <c r="A29" s="330" t="s">
        <v>288</v>
      </c>
    </row>
    <row r="30" ht="15">
      <c r="A30" s="330" t="s">
        <v>289</v>
      </c>
    </row>
    <row r="31" ht="15">
      <c r="A31" s="330" t="s">
        <v>290</v>
      </c>
    </row>
    <row r="32" ht="15">
      <c r="A32" s="330"/>
    </row>
    <row r="33" ht="15">
      <c r="A33" s="330" t="str">
        <f>CONCATENATE("Additionally, do your ",inputPrYr!C5-2," receipts contain a reimbursement")</f>
        <v>Additionally, do your 2010 receipts contain a reimbursement</v>
      </c>
    </row>
    <row r="34" ht="15">
      <c r="A34" s="330" t="s">
        <v>291</v>
      </c>
    </row>
    <row r="35" ht="15">
      <c r="A35" s="330" t="s">
        <v>292</v>
      </c>
    </row>
    <row r="36" ht="15">
      <c r="A36" s="330"/>
    </row>
    <row r="37" ht="15">
      <c r="A37" s="330" t="s">
        <v>293</v>
      </c>
    </row>
    <row r="38" ht="15">
      <c r="A38" s="330" t="s">
        <v>294</v>
      </c>
    </row>
    <row r="39" ht="15">
      <c r="A39" s="330" t="s">
        <v>295</v>
      </c>
    </row>
    <row r="40" ht="15">
      <c r="A40" s="330" t="s">
        <v>296</v>
      </c>
    </row>
    <row r="41" ht="15">
      <c r="A41" s="330" t="s">
        <v>297</v>
      </c>
    </row>
    <row r="42" ht="15">
      <c r="A42" s="330" t="s">
        <v>298</v>
      </c>
    </row>
    <row r="43" ht="15">
      <c r="A43" s="330" t="s">
        <v>299</v>
      </c>
    </row>
    <row r="44" ht="15">
      <c r="A44" s="330" t="s">
        <v>300</v>
      </c>
    </row>
    <row r="45" ht="15">
      <c r="A45" s="330"/>
    </row>
    <row r="46" ht="15">
      <c r="A46" s="330" t="s">
        <v>301</v>
      </c>
    </row>
    <row r="47" ht="15">
      <c r="A47" s="330" t="s">
        <v>302</v>
      </c>
    </row>
    <row r="48" ht="15">
      <c r="A48" s="330" t="s">
        <v>303</v>
      </c>
    </row>
    <row r="49" ht="15">
      <c r="A49" s="330"/>
    </row>
    <row r="50" ht="15">
      <c r="A50" s="330" t="s">
        <v>304</v>
      </c>
    </row>
    <row r="51" ht="15">
      <c r="A51" s="330" t="s">
        <v>305</v>
      </c>
    </row>
    <row r="52" ht="15">
      <c r="A52" s="330" t="s">
        <v>306</v>
      </c>
    </row>
    <row r="53" ht="15">
      <c r="A53" s="330"/>
    </row>
    <row r="54" ht="15">
      <c r="A54" s="331" t="s">
        <v>307</v>
      </c>
    </row>
    <row r="55" ht="15">
      <c r="A55" s="330"/>
    </row>
    <row r="56" ht="15">
      <c r="A56" s="330" t="s">
        <v>308</v>
      </c>
    </row>
    <row r="57" ht="15">
      <c r="A57" s="330" t="s">
        <v>309</v>
      </c>
    </row>
    <row r="58" ht="15">
      <c r="A58" s="330" t="s">
        <v>310</v>
      </c>
    </row>
    <row r="59" ht="15">
      <c r="A59" s="330" t="s">
        <v>311</v>
      </c>
    </row>
    <row r="60" ht="15">
      <c r="A60" s="330" t="s">
        <v>312</v>
      </c>
    </row>
    <row r="61" ht="15">
      <c r="A61" s="330" t="s">
        <v>313</v>
      </c>
    </row>
    <row r="62" ht="15">
      <c r="A62" s="330" t="s">
        <v>314</v>
      </c>
    </row>
    <row r="63" ht="15">
      <c r="A63" s="330" t="s">
        <v>315</v>
      </c>
    </row>
    <row r="64" ht="15">
      <c r="A64" s="330" t="s">
        <v>316</v>
      </c>
    </row>
    <row r="65" ht="15">
      <c r="A65" s="330" t="s">
        <v>317</v>
      </c>
    </row>
    <row r="66" ht="15">
      <c r="A66" s="330" t="s">
        <v>318</v>
      </c>
    </row>
    <row r="67" ht="15">
      <c r="A67" s="330" t="s">
        <v>319</v>
      </c>
    </row>
    <row r="68" ht="15">
      <c r="A68" s="330" t="s">
        <v>320</v>
      </c>
    </row>
    <row r="69" ht="15">
      <c r="A69" s="330"/>
    </row>
    <row r="70" ht="15">
      <c r="A70" s="330" t="s">
        <v>321</v>
      </c>
    </row>
    <row r="71" ht="15">
      <c r="A71" s="330" t="s">
        <v>322</v>
      </c>
    </row>
    <row r="72" ht="15">
      <c r="A72" s="330" t="s">
        <v>323</v>
      </c>
    </row>
    <row r="73" ht="15">
      <c r="A73" s="330"/>
    </row>
    <row r="74" ht="15">
      <c r="A74" s="331" t="str">
        <f>CONCATENATE("What if the ",inputPrYr!C5-2," financial records have been closed?")</f>
        <v>What if the 2010 financial records have been closed?</v>
      </c>
    </row>
    <row r="76" ht="15">
      <c r="A76" s="330" t="s">
        <v>324</v>
      </c>
    </row>
    <row r="77" ht="15">
      <c r="A77" s="330" t="str">
        <f>CONCATENATE("(i.e. an audit for ",inputPrYr!C5-2," has been completed, or the ",inputPrYr!C5)</f>
        <v>(i.e. an audit for 2010 has been completed, or the 2012</v>
      </c>
    </row>
    <row r="78" ht="15">
      <c r="A78" s="330" t="s">
        <v>325</v>
      </c>
    </row>
    <row r="79" ht="15">
      <c r="A79" s="330" t="s">
        <v>326</v>
      </c>
    </row>
    <row r="80" ht="15">
      <c r="A80" s="330"/>
    </row>
    <row r="81" ht="15">
      <c r="A81" s="330" t="s">
        <v>327</v>
      </c>
    </row>
    <row r="82" ht="15">
      <c r="A82" s="330" t="s">
        <v>328</v>
      </c>
    </row>
    <row r="83" ht="15">
      <c r="A83" s="330" t="s">
        <v>329</v>
      </c>
    </row>
    <row r="84" ht="15">
      <c r="A84" s="330"/>
    </row>
    <row r="85" ht="15">
      <c r="A85" s="330" t="s">
        <v>330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dimension ref="A2:F26"/>
  <sheetViews>
    <sheetView zoomScalePageLayoutView="0" workbookViewId="0" topLeftCell="A1">
      <selection activeCell="B4" sqref="B4"/>
    </sheetView>
  </sheetViews>
  <sheetFormatPr defaultColWidth="8.796875" defaultRowHeight="15"/>
  <cols>
    <col min="1" max="1" width="13.69921875" style="0" customWidth="1"/>
    <col min="2" max="2" width="16.09765625" style="0" customWidth="1"/>
  </cols>
  <sheetData>
    <row r="2" spans="1:6" ht="54" customHeight="1">
      <c r="A2" s="496" t="s">
        <v>265</v>
      </c>
      <c r="B2" s="497"/>
      <c r="C2" s="497"/>
      <c r="D2" s="497"/>
      <c r="E2" s="497"/>
      <c r="F2" s="497"/>
    </row>
    <row r="4" spans="1:2" ht="15">
      <c r="A4" s="318" t="s">
        <v>496</v>
      </c>
      <c r="B4" s="320" t="s">
        <v>188</v>
      </c>
    </row>
    <row r="5" spans="1:6" ht="15">
      <c r="A5" s="317"/>
      <c r="B5" s="317"/>
      <c r="C5" s="317"/>
      <c r="D5" s="319"/>
      <c r="E5" s="317"/>
      <c r="F5" s="317"/>
    </row>
    <row r="6" spans="1:6" ht="15">
      <c r="A6" s="318" t="s">
        <v>266</v>
      </c>
      <c r="B6" s="320" t="s">
        <v>714</v>
      </c>
      <c r="C6" s="321"/>
      <c r="D6" s="318" t="s">
        <v>504</v>
      </c>
      <c r="E6" s="317"/>
      <c r="F6" s="317"/>
    </row>
    <row r="7" spans="1:6" ht="15">
      <c r="A7" s="318"/>
      <c r="B7" s="322"/>
      <c r="C7" s="323"/>
      <c r="D7" s="318" t="s">
        <v>503</v>
      </c>
      <c r="E7" s="317"/>
      <c r="F7" s="317"/>
    </row>
    <row r="8" spans="1:6" ht="15">
      <c r="A8" s="318" t="s">
        <v>267</v>
      </c>
      <c r="B8" s="320" t="s">
        <v>715</v>
      </c>
      <c r="C8" s="324"/>
      <c r="D8" s="318"/>
      <c r="E8" s="317"/>
      <c r="F8" s="317"/>
    </row>
    <row r="9" spans="1:6" ht="15">
      <c r="A9" s="318"/>
      <c r="B9" s="318"/>
      <c r="C9" s="318"/>
      <c r="D9" s="318"/>
      <c r="E9" s="317"/>
      <c r="F9" s="317"/>
    </row>
    <row r="10" spans="1:6" ht="15">
      <c r="A10" s="318" t="s">
        <v>268</v>
      </c>
      <c r="B10" s="325" t="s">
        <v>716</v>
      </c>
      <c r="C10" s="325"/>
      <c r="D10" s="325"/>
      <c r="E10" s="326"/>
      <c r="F10" s="317"/>
    </row>
    <row r="11" spans="1:6" ht="15">
      <c r="A11" s="318"/>
      <c r="B11" s="318"/>
      <c r="C11" s="318"/>
      <c r="D11" s="318"/>
      <c r="E11" s="317"/>
      <c r="F11" s="317"/>
    </row>
    <row r="12" spans="1:6" ht="15">
      <c r="A12" s="318"/>
      <c r="B12" s="318"/>
      <c r="C12" s="318"/>
      <c r="D12" s="318"/>
      <c r="E12" s="317"/>
      <c r="F12" s="317"/>
    </row>
    <row r="13" spans="1:6" ht="15">
      <c r="A13" s="318" t="s">
        <v>269</v>
      </c>
      <c r="B13" s="325" t="s">
        <v>717</v>
      </c>
      <c r="C13" s="325"/>
      <c r="D13" s="325"/>
      <c r="E13" s="326"/>
      <c r="F13" s="317"/>
    </row>
    <row r="16" spans="1:6" ht="15">
      <c r="A16" s="498" t="s">
        <v>270</v>
      </c>
      <c r="B16" s="498"/>
      <c r="C16" s="318"/>
      <c r="D16" s="318"/>
      <c r="E16" s="318"/>
      <c r="F16" s="317"/>
    </row>
    <row r="17" spans="1:6" ht="15">
      <c r="A17" s="318"/>
      <c r="B17" s="318"/>
      <c r="C17" s="318"/>
      <c r="D17" s="318"/>
      <c r="E17" s="318"/>
      <c r="F17" s="317"/>
    </row>
    <row r="18" spans="1:6" ht="15">
      <c r="A18" s="318" t="s">
        <v>496</v>
      </c>
      <c r="B18" s="318" t="s">
        <v>497</v>
      </c>
      <c r="C18" s="318"/>
      <c r="D18" s="318"/>
      <c r="E18" s="318"/>
      <c r="F18" s="317"/>
    </row>
    <row r="19" spans="1:6" ht="15">
      <c r="A19" s="318"/>
      <c r="B19" s="318"/>
      <c r="C19" s="318"/>
      <c r="D19" s="318"/>
      <c r="E19" s="318"/>
      <c r="F19" s="317"/>
    </row>
    <row r="20" spans="1:5" ht="15">
      <c r="A20" s="318" t="s">
        <v>266</v>
      </c>
      <c r="B20" s="322" t="s">
        <v>271</v>
      </c>
      <c r="C20" s="318"/>
      <c r="D20" s="318"/>
      <c r="E20" s="318"/>
    </row>
    <row r="21" spans="1:5" ht="15">
      <c r="A21" s="318"/>
      <c r="B21" s="318"/>
      <c r="C21" s="318"/>
      <c r="D21" s="318"/>
      <c r="E21" s="318"/>
    </row>
    <row r="22" spans="1:5" ht="15">
      <c r="A22" s="318" t="s">
        <v>267</v>
      </c>
      <c r="B22" s="318" t="s">
        <v>272</v>
      </c>
      <c r="C22" s="318"/>
      <c r="D22" s="318"/>
      <c r="E22" s="318"/>
    </row>
    <row r="23" spans="1:5" ht="15">
      <c r="A23" s="318"/>
      <c r="B23" s="318"/>
      <c r="C23" s="318"/>
      <c r="D23" s="318"/>
      <c r="E23" s="318"/>
    </row>
    <row r="24" spans="1:5" ht="15">
      <c r="A24" s="318" t="s">
        <v>268</v>
      </c>
      <c r="B24" s="318" t="s">
        <v>273</v>
      </c>
      <c r="C24" s="318"/>
      <c r="D24" s="318"/>
      <c r="E24" s="318"/>
    </row>
    <row r="25" spans="1:5" ht="15">
      <c r="A25" s="318"/>
      <c r="B25" s="318"/>
      <c r="C25" s="318"/>
      <c r="D25" s="318"/>
      <c r="E25" s="318"/>
    </row>
    <row r="26" spans="1:5" ht="15">
      <c r="A26" s="318" t="s">
        <v>269</v>
      </c>
      <c r="B26" s="318" t="s">
        <v>273</v>
      </c>
      <c r="C26" s="318"/>
      <c r="D26" s="318"/>
      <c r="E26" s="318"/>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3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29" t="s">
        <v>331</v>
      </c>
      <c r="B3" s="329"/>
      <c r="C3" s="329"/>
      <c r="D3" s="329"/>
      <c r="E3" s="329"/>
      <c r="F3" s="329"/>
      <c r="G3" s="329"/>
      <c r="H3" s="332"/>
      <c r="I3" s="332"/>
      <c r="J3" s="332"/>
    </row>
    <row r="5" ht="15">
      <c r="A5" s="330" t="s">
        <v>332</v>
      </c>
    </row>
    <row r="6" ht="15">
      <c r="A6" t="str">
        <f>CONCATENATE(inputPrYr!C5-2," expenditures show that you finished the year with a ")</f>
        <v>2010 expenditures show that you finished the year with a </v>
      </c>
    </row>
    <row r="7" ht="15">
      <c r="A7" t="s">
        <v>333</v>
      </c>
    </row>
    <row r="9" ht="15">
      <c r="A9" t="s">
        <v>334</v>
      </c>
    </row>
    <row r="10" ht="15">
      <c r="A10" t="s">
        <v>335</v>
      </c>
    </row>
    <row r="11" ht="15">
      <c r="A11" t="s">
        <v>336</v>
      </c>
    </row>
    <row r="13" ht="15">
      <c r="A13" s="331" t="s">
        <v>337</v>
      </c>
    </row>
    <row r="14" ht="15">
      <c r="A14" s="331"/>
    </row>
    <row r="15" ht="15">
      <c r="A15" s="330" t="s">
        <v>338</v>
      </c>
    </row>
    <row r="16" ht="15">
      <c r="A16" s="330" t="s">
        <v>339</v>
      </c>
    </row>
    <row r="17" ht="15">
      <c r="A17" s="330" t="s">
        <v>340</v>
      </c>
    </row>
    <row r="18" ht="15">
      <c r="A18" s="330"/>
    </row>
    <row r="19" ht="15">
      <c r="A19" s="331" t="s">
        <v>341</v>
      </c>
    </row>
    <row r="20" ht="15">
      <c r="A20" s="331"/>
    </row>
    <row r="21" ht="15">
      <c r="A21" s="330" t="s">
        <v>342</v>
      </c>
    </row>
    <row r="22" ht="15">
      <c r="A22" s="330" t="s">
        <v>343</v>
      </c>
    </row>
    <row r="23" ht="15">
      <c r="A23" s="330" t="s">
        <v>344</v>
      </c>
    </row>
    <row r="24" ht="15">
      <c r="A24" s="330"/>
    </row>
    <row r="25" ht="15">
      <c r="A25" s="331" t="s">
        <v>345</v>
      </c>
    </row>
    <row r="26" ht="15">
      <c r="A26" s="331"/>
    </row>
    <row r="27" ht="15">
      <c r="A27" s="330" t="s">
        <v>346</v>
      </c>
    </row>
    <row r="28" ht="15">
      <c r="A28" s="330" t="s">
        <v>347</v>
      </c>
    </row>
    <row r="29" ht="15">
      <c r="A29" s="330" t="s">
        <v>348</v>
      </c>
    </row>
    <row r="30" ht="15">
      <c r="A30" s="330"/>
    </row>
    <row r="31" ht="15">
      <c r="A31" s="331" t="s">
        <v>349</v>
      </c>
    </row>
    <row r="32" ht="15">
      <c r="A32" s="331"/>
    </row>
    <row r="33" spans="1:8" ht="15">
      <c r="A33" s="330" t="str">
        <f>CONCATENATE("If your financial records for ",inputPrYr!C5-2," are not closed")</f>
        <v>If your financial records for 2010 are not closed</v>
      </c>
      <c r="B33" s="330"/>
      <c r="C33" s="330"/>
      <c r="D33" s="330"/>
      <c r="E33" s="330"/>
      <c r="F33" s="330"/>
      <c r="G33" s="330"/>
      <c r="H33" s="330"/>
    </row>
    <row r="34" spans="1:8" ht="15">
      <c r="A34" s="330" t="str">
        <f>CONCATENATE("(i.e. an audit has not been completed, or the ",inputPrYr!C5," adopted ")</f>
        <v>(i.e. an audit has not been completed, or the 2012 adopted </v>
      </c>
      <c r="B34" s="330"/>
      <c r="C34" s="330"/>
      <c r="D34" s="330"/>
      <c r="E34" s="330"/>
      <c r="F34" s="330"/>
      <c r="G34" s="330"/>
      <c r="H34" s="330"/>
    </row>
    <row r="35" spans="1:8" ht="15">
      <c r="A35" s="330" t="s">
        <v>350</v>
      </c>
      <c r="B35" s="330"/>
      <c r="C35" s="330"/>
      <c r="D35" s="330"/>
      <c r="E35" s="330"/>
      <c r="F35" s="330"/>
      <c r="G35" s="330"/>
      <c r="H35" s="330"/>
    </row>
    <row r="36" spans="1:8" ht="15">
      <c r="A36" s="330" t="s">
        <v>351</v>
      </c>
      <c r="B36" s="330"/>
      <c r="C36" s="330"/>
      <c r="D36" s="330"/>
      <c r="E36" s="330"/>
      <c r="F36" s="330"/>
      <c r="G36" s="330"/>
      <c r="H36" s="330"/>
    </row>
    <row r="37" spans="1:8" ht="15">
      <c r="A37" s="330" t="s">
        <v>352</v>
      </c>
      <c r="B37" s="330"/>
      <c r="C37" s="330"/>
      <c r="D37" s="330"/>
      <c r="E37" s="330"/>
      <c r="F37" s="330"/>
      <c r="G37" s="330"/>
      <c r="H37" s="330"/>
    </row>
    <row r="38" spans="1:8" ht="15">
      <c r="A38" s="330" t="s">
        <v>353</v>
      </c>
      <c r="B38" s="330"/>
      <c r="C38" s="330"/>
      <c r="D38" s="330"/>
      <c r="E38" s="330"/>
      <c r="F38" s="330"/>
      <c r="G38" s="330"/>
      <c r="H38" s="330"/>
    </row>
    <row r="39" spans="1:8" ht="15">
      <c r="A39" s="330" t="s">
        <v>354</v>
      </c>
      <c r="B39" s="330"/>
      <c r="C39" s="330"/>
      <c r="D39" s="330"/>
      <c r="E39" s="330"/>
      <c r="F39" s="330"/>
      <c r="G39" s="330"/>
      <c r="H39" s="330"/>
    </row>
    <row r="40" spans="1:8" ht="15">
      <c r="A40" s="330"/>
      <c r="B40" s="330"/>
      <c r="C40" s="330"/>
      <c r="D40" s="330"/>
      <c r="E40" s="330"/>
      <c r="F40" s="330"/>
      <c r="G40" s="330"/>
      <c r="H40" s="330"/>
    </row>
    <row r="41" spans="1:8" ht="15">
      <c r="A41" s="330" t="s">
        <v>355</v>
      </c>
      <c r="B41" s="330"/>
      <c r="C41" s="330"/>
      <c r="D41" s="330"/>
      <c r="E41" s="330"/>
      <c r="F41" s="330"/>
      <c r="G41" s="330"/>
      <c r="H41" s="330"/>
    </row>
    <row r="42" spans="1:8" ht="15">
      <c r="A42" s="330" t="s">
        <v>356</v>
      </c>
      <c r="B42" s="330"/>
      <c r="C42" s="330"/>
      <c r="D42" s="330"/>
      <c r="E42" s="330"/>
      <c r="F42" s="330"/>
      <c r="G42" s="330"/>
      <c r="H42" s="330"/>
    </row>
    <row r="43" spans="1:8" ht="15">
      <c r="A43" s="330" t="s">
        <v>357</v>
      </c>
      <c r="B43" s="330"/>
      <c r="C43" s="330"/>
      <c r="D43" s="330"/>
      <c r="E43" s="330"/>
      <c r="F43" s="330"/>
      <c r="G43" s="330"/>
      <c r="H43" s="330"/>
    </row>
    <row r="44" spans="1:8" ht="15">
      <c r="A44" s="330" t="s">
        <v>358</v>
      </c>
      <c r="B44" s="330"/>
      <c r="C44" s="330"/>
      <c r="D44" s="330"/>
      <c r="E44" s="330"/>
      <c r="F44" s="330"/>
      <c r="G44" s="330"/>
      <c r="H44" s="330"/>
    </row>
    <row r="45" spans="1:8" ht="15">
      <c r="A45" s="330"/>
      <c r="B45" s="330"/>
      <c r="C45" s="330"/>
      <c r="D45" s="330"/>
      <c r="E45" s="330"/>
      <c r="F45" s="330"/>
      <c r="G45" s="330"/>
      <c r="H45" s="330"/>
    </row>
    <row r="46" spans="1:8" ht="15">
      <c r="A46" s="330" t="s">
        <v>359</v>
      </c>
      <c r="B46" s="330"/>
      <c r="C46" s="330"/>
      <c r="D46" s="330"/>
      <c r="E46" s="330"/>
      <c r="F46" s="330"/>
      <c r="G46" s="330"/>
      <c r="H46" s="330"/>
    </row>
    <row r="47" spans="1:8" ht="15">
      <c r="A47" s="330" t="s">
        <v>360</v>
      </c>
      <c r="B47" s="330"/>
      <c r="C47" s="330"/>
      <c r="D47" s="330"/>
      <c r="E47" s="330"/>
      <c r="F47" s="330"/>
      <c r="G47" s="330"/>
      <c r="H47" s="330"/>
    </row>
    <row r="48" spans="1:8" ht="15">
      <c r="A48" s="330" t="s">
        <v>361</v>
      </c>
      <c r="B48" s="330"/>
      <c r="C48" s="330"/>
      <c r="D48" s="330"/>
      <c r="E48" s="330"/>
      <c r="F48" s="330"/>
      <c r="G48" s="330"/>
      <c r="H48" s="330"/>
    </row>
    <row r="49" spans="1:8" ht="15">
      <c r="A49" s="330" t="s">
        <v>362</v>
      </c>
      <c r="B49" s="330"/>
      <c r="C49" s="330"/>
      <c r="D49" s="330"/>
      <c r="E49" s="330"/>
      <c r="F49" s="330"/>
      <c r="G49" s="330"/>
      <c r="H49" s="330"/>
    </row>
    <row r="50" spans="1:8" ht="15">
      <c r="A50" s="330" t="s">
        <v>363</v>
      </c>
      <c r="B50" s="330"/>
      <c r="C50" s="330"/>
      <c r="D50" s="330"/>
      <c r="E50" s="330"/>
      <c r="F50" s="330"/>
      <c r="G50" s="330"/>
      <c r="H50" s="330"/>
    </row>
    <row r="51" spans="1:8" ht="15">
      <c r="A51" s="330"/>
      <c r="B51" s="330"/>
      <c r="C51" s="330"/>
      <c r="D51" s="330"/>
      <c r="E51" s="330"/>
      <c r="F51" s="330"/>
      <c r="G51" s="330"/>
      <c r="H51" s="330"/>
    </row>
    <row r="52" spans="1:8" ht="15">
      <c r="A52" s="331" t="s">
        <v>364</v>
      </c>
      <c r="B52" s="331"/>
      <c r="C52" s="331"/>
      <c r="D52" s="331"/>
      <c r="E52" s="331"/>
      <c r="F52" s="331"/>
      <c r="G52" s="331"/>
      <c r="H52" s="330"/>
    </row>
    <row r="53" spans="1:8" ht="15">
      <c r="A53" s="331" t="s">
        <v>365</v>
      </c>
      <c r="B53" s="331"/>
      <c r="C53" s="331"/>
      <c r="D53" s="331"/>
      <c r="E53" s="331"/>
      <c r="F53" s="331"/>
      <c r="G53" s="331"/>
      <c r="H53" s="330"/>
    </row>
    <row r="54" spans="1:8" ht="15">
      <c r="A54" s="330"/>
      <c r="B54" s="330"/>
      <c r="C54" s="330"/>
      <c r="D54" s="330"/>
      <c r="E54" s="330"/>
      <c r="F54" s="330"/>
      <c r="G54" s="330"/>
      <c r="H54" s="330"/>
    </row>
    <row r="55" spans="1:8" ht="15">
      <c r="A55" s="330" t="s">
        <v>366</v>
      </c>
      <c r="B55" s="330"/>
      <c r="C55" s="330"/>
      <c r="D55" s="330"/>
      <c r="E55" s="330"/>
      <c r="F55" s="330"/>
      <c r="G55" s="330"/>
      <c r="H55" s="330"/>
    </row>
    <row r="56" spans="1:8" ht="15">
      <c r="A56" s="330" t="s">
        <v>367</v>
      </c>
      <c r="B56" s="330"/>
      <c r="C56" s="330"/>
      <c r="D56" s="330"/>
      <c r="E56" s="330"/>
      <c r="F56" s="330"/>
      <c r="G56" s="330"/>
      <c r="H56" s="330"/>
    </row>
    <row r="57" spans="1:8" ht="15">
      <c r="A57" s="330" t="s">
        <v>368</v>
      </c>
      <c r="B57" s="330"/>
      <c r="C57" s="330"/>
      <c r="D57" s="330"/>
      <c r="E57" s="330"/>
      <c r="F57" s="330"/>
      <c r="G57" s="330"/>
      <c r="H57" s="330"/>
    </row>
    <row r="58" spans="1:8" ht="15">
      <c r="A58" s="330" t="s">
        <v>369</v>
      </c>
      <c r="B58" s="330"/>
      <c r="C58" s="330"/>
      <c r="D58" s="330"/>
      <c r="E58" s="330"/>
      <c r="F58" s="330"/>
      <c r="G58" s="330"/>
      <c r="H58" s="330"/>
    </row>
    <row r="59" spans="1:8" ht="15">
      <c r="A59" s="330"/>
      <c r="B59" s="330"/>
      <c r="C59" s="330"/>
      <c r="D59" s="330"/>
      <c r="E59" s="330"/>
      <c r="F59" s="330"/>
      <c r="G59" s="330"/>
      <c r="H59" s="330"/>
    </row>
    <row r="60" spans="1:8" ht="15">
      <c r="A60" s="330" t="s">
        <v>370</v>
      </c>
      <c r="B60" s="330"/>
      <c r="C60" s="330"/>
      <c r="D60" s="330"/>
      <c r="E60" s="330"/>
      <c r="F60" s="330"/>
      <c r="G60" s="330"/>
      <c r="H60" s="330"/>
    </row>
    <row r="61" spans="1:8" ht="15">
      <c r="A61" s="330" t="s">
        <v>371</v>
      </c>
      <c r="B61" s="330"/>
      <c r="C61" s="330"/>
      <c r="D61" s="330"/>
      <c r="E61" s="330"/>
      <c r="F61" s="330"/>
      <c r="G61" s="330"/>
      <c r="H61" s="330"/>
    </row>
    <row r="62" spans="1:8" ht="15">
      <c r="A62" s="330" t="s">
        <v>372</v>
      </c>
      <c r="B62" s="330"/>
      <c r="C62" s="330"/>
      <c r="D62" s="330"/>
      <c r="E62" s="330"/>
      <c r="F62" s="330"/>
      <c r="G62" s="330"/>
      <c r="H62" s="330"/>
    </row>
    <row r="63" spans="1:8" ht="15">
      <c r="A63" s="330" t="s">
        <v>373</v>
      </c>
      <c r="B63" s="330"/>
      <c r="C63" s="330"/>
      <c r="D63" s="330"/>
      <c r="E63" s="330"/>
      <c r="F63" s="330"/>
      <c r="G63" s="330"/>
      <c r="H63" s="330"/>
    </row>
    <row r="64" spans="1:8" ht="15">
      <c r="A64" s="330" t="s">
        <v>374</v>
      </c>
      <c r="B64" s="330"/>
      <c r="C64" s="330"/>
      <c r="D64" s="330"/>
      <c r="E64" s="330"/>
      <c r="F64" s="330"/>
      <c r="G64" s="330"/>
      <c r="H64" s="330"/>
    </row>
    <row r="65" spans="1:8" ht="15">
      <c r="A65" s="330" t="s">
        <v>375</v>
      </c>
      <c r="B65" s="330"/>
      <c r="C65" s="330"/>
      <c r="D65" s="330"/>
      <c r="E65" s="330"/>
      <c r="F65" s="330"/>
      <c r="G65" s="330"/>
      <c r="H65" s="330"/>
    </row>
    <row r="66" spans="1:8" ht="15">
      <c r="A66" s="330"/>
      <c r="B66" s="330"/>
      <c r="C66" s="330"/>
      <c r="D66" s="330"/>
      <c r="E66" s="330"/>
      <c r="F66" s="330"/>
      <c r="G66" s="330"/>
      <c r="H66" s="330"/>
    </row>
    <row r="67" spans="1:8" ht="15">
      <c r="A67" s="330" t="s">
        <v>376</v>
      </c>
      <c r="B67" s="330"/>
      <c r="C67" s="330"/>
      <c r="D67" s="330"/>
      <c r="E67" s="330"/>
      <c r="F67" s="330"/>
      <c r="G67" s="330"/>
      <c r="H67" s="330"/>
    </row>
    <row r="68" spans="1:8" ht="15">
      <c r="A68" s="330" t="s">
        <v>377</v>
      </c>
      <c r="B68" s="330"/>
      <c r="C68" s="330"/>
      <c r="D68" s="330"/>
      <c r="E68" s="330"/>
      <c r="F68" s="330"/>
      <c r="G68" s="330"/>
      <c r="H68" s="330"/>
    </row>
    <row r="69" spans="1:8" ht="15">
      <c r="A69" s="330" t="s">
        <v>378</v>
      </c>
      <c r="B69" s="330"/>
      <c r="C69" s="330"/>
      <c r="D69" s="330"/>
      <c r="E69" s="330"/>
      <c r="F69" s="330"/>
      <c r="G69" s="330"/>
      <c r="H69" s="330"/>
    </row>
    <row r="70" spans="1:8" ht="15">
      <c r="A70" s="330" t="s">
        <v>379</v>
      </c>
      <c r="B70" s="330"/>
      <c r="C70" s="330"/>
      <c r="D70" s="330"/>
      <c r="E70" s="330"/>
      <c r="F70" s="330"/>
      <c r="G70" s="330"/>
      <c r="H70" s="330"/>
    </row>
    <row r="71" spans="1:8" ht="15">
      <c r="A71" s="330" t="s">
        <v>380</v>
      </c>
      <c r="B71" s="330"/>
      <c r="C71" s="330"/>
      <c r="D71" s="330"/>
      <c r="E71" s="330"/>
      <c r="F71" s="330"/>
      <c r="G71" s="330"/>
      <c r="H71" s="330"/>
    </row>
    <row r="72" spans="1:8" ht="15">
      <c r="A72" s="330" t="s">
        <v>381</v>
      </c>
      <c r="B72" s="330"/>
      <c r="C72" s="330"/>
      <c r="D72" s="330"/>
      <c r="E72" s="330"/>
      <c r="F72" s="330"/>
      <c r="G72" s="330"/>
      <c r="H72" s="330"/>
    </row>
    <row r="73" spans="1:8" ht="15">
      <c r="A73" s="330" t="s">
        <v>382</v>
      </c>
      <c r="B73" s="330"/>
      <c r="C73" s="330"/>
      <c r="D73" s="330"/>
      <c r="E73" s="330"/>
      <c r="F73" s="330"/>
      <c r="G73" s="330"/>
      <c r="H73" s="330"/>
    </row>
    <row r="74" spans="1:8" ht="15">
      <c r="A74" s="330"/>
      <c r="B74" s="330"/>
      <c r="C74" s="330"/>
      <c r="D74" s="330"/>
      <c r="E74" s="330"/>
      <c r="F74" s="330"/>
      <c r="G74" s="330"/>
      <c r="H74" s="330"/>
    </row>
    <row r="75" spans="1:8" ht="15">
      <c r="A75" s="330" t="s">
        <v>383</v>
      </c>
      <c r="B75" s="330"/>
      <c r="C75" s="330"/>
      <c r="D75" s="330"/>
      <c r="E75" s="330"/>
      <c r="F75" s="330"/>
      <c r="G75" s="330"/>
      <c r="H75" s="330"/>
    </row>
    <row r="76" spans="1:8" ht="15">
      <c r="A76" s="330" t="s">
        <v>384</v>
      </c>
      <c r="B76" s="330"/>
      <c r="C76" s="330"/>
      <c r="D76" s="330"/>
      <c r="E76" s="330"/>
      <c r="F76" s="330"/>
      <c r="G76" s="330"/>
      <c r="H76" s="330"/>
    </row>
    <row r="77" spans="1:8" ht="15">
      <c r="A77" s="330" t="s">
        <v>385</v>
      </c>
      <c r="B77" s="330"/>
      <c r="C77" s="330"/>
      <c r="D77" s="330"/>
      <c r="E77" s="330"/>
      <c r="F77" s="330"/>
      <c r="G77" s="330"/>
      <c r="H77" s="330"/>
    </row>
    <row r="78" spans="1:8" ht="15">
      <c r="A78" s="330"/>
      <c r="B78" s="330"/>
      <c r="C78" s="330"/>
      <c r="D78" s="330"/>
      <c r="E78" s="330"/>
      <c r="F78" s="330"/>
      <c r="G78" s="330"/>
      <c r="H78" s="330"/>
    </row>
    <row r="79" ht="15">
      <c r="A79" s="330" t="s">
        <v>330</v>
      </c>
    </row>
    <row r="80" ht="15">
      <c r="A80" s="331"/>
    </row>
    <row r="81" ht="15">
      <c r="A81" s="330"/>
    </row>
    <row r="82" ht="15">
      <c r="A82" s="330"/>
    </row>
    <row r="83" ht="15">
      <c r="A83" s="330"/>
    </row>
    <row r="84" ht="15">
      <c r="A84" s="330"/>
    </row>
    <row r="85" ht="15">
      <c r="A85" s="330"/>
    </row>
    <row r="86" ht="15">
      <c r="A86" s="330"/>
    </row>
    <row r="87" ht="15">
      <c r="A87" s="330"/>
    </row>
    <row r="88" ht="15">
      <c r="A88" s="330"/>
    </row>
    <row r="89" ht="15">
      <c r="A89" s="330"/>
    </row>
    <row r="90" ht="15">
      <c r="A90" s="330"/>
    </row>
    <row r="91" ht="15">
      <c r="A91" s="330"/>
    </row>
    <row r="92" ht="15">
      <c r="A92" s="330"/>
    </row>
    <row r="93" ht="15">
      <c r="A93" s="330"/>
    </row>
    <row r="94" ht="15">
      <c r="A94" s="330"/>
    </row>
    <row r="95" ht="15">
      <c r="A95" s="330"/>
    </row>
    <row r="96" ht="15">
      <c r="A96" s="330"/>
    </row>
    <row r="97" ht="15">
      <c r="A97" s="330"/>
    </row>
    <row r="98" ht="15">
      <c r="A98" s="330"/>
    </row>
    <row r="99" ht="15">
      <c r="A99" s="330"/>
    </row>
    <row r="100" ht="15">
      <c r="A100" s="330"/>
    </row>
    <row r="101" ht="15">
      <c r="A101" s="330"/>
    </row>
    <row r="103" ht="15">
      <c r="A103" s="330"/>
    </row>
    <row r="104" ht="15">
      <c r="A104" s="330"/>
    </row>
    <row r="105" ht="15">
      <c r="A105" s="330"/>
    </row>
    <row r="107" ht="15">
      <c r="A107" s="331"/>
    </row>
    <row r="108" ht="15">
      <c r="A108" s="331"/>
    </row>
    <row r="109" ht="15">
      <c r="A109" s="33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29" t="s">
        <v>386</v>
      </c>
      <c r="B3" s="329"/>
      <c r="C3" s="329"/>
      <c r="D3" s="329"/>
      <c r="E3" s="329"/>
      <c r="F3" s="329"/>
      <c r="G3" s="329"/>
      <c r="H3" s="329"/>
      <c r="I3" s="329"/>
      <c r="J3" s="329"/>
      <c r="K3" s="329"/>
      <c r="L3" s="329"/>
    </row>
    <row r="4" spans="1:12" ht="15">
      <c r="A4" s="329"/>
      <c r="B4" s="329"/>
      <c r="C4" s="329"/>
      <c r="D4" s="329"/>
      <c r="E4" s="329"/>
      <c r="F4" s="329"/>
      <c r="G4" s="329"/>
      <c r="H4" s="329"/>
      <c r="I4" s="329"/>
      <c r="J4" s="329"/>
      <c r="K4" s="329"/>
      <c r="L4" s="329"/>
    </row>
    <row r="5" spans="1:12" ht="15">
      <c r="A5" s="330" t="s">
        <v>275</v>
      </c>
      <c r="I5" s="329"/>
      <c r="J5" s="329"/>
      <c r="K5" s="329"/>
      <c r="L5" s="329"/>
    </row>
    <row r="6" spans="1:12" ht="15">
      <c r="A6" s="330" t="str">
        <f>CONCATENATE("estimated ",inputPrYr!C5-1," 'total expenditures' exceed your ",inputPrYr!C5-1,"")</f>
        <v>estimated 2011 'total expenditures' exceed your 2011</v>
      </c>
      <c r="I6" s="329"/>
      <c r="J6" s="329"/>
      <c r="K6" s="329"/>
      <c r="L6" s="329"/>
    </row>
    <row r="7" spans="1:12" ht="15">
      <c r="A7" s="333" t="s">
        <v>387</v>
      </c>
      <c r="I7" s="329"/>
      <c r="J7" s="329"/>
      <c r="K7" s="329"/>
      <c r="L7" s="329"/>
    </row>
    <row r="8" spans="1:12" ht="15">
      <c r="A8" s="330"/>
      <c r="I8" s="329"/>
      <c r="J8" s="329"/>
      <c r="K8" s="329"/>
      <c r="L8" s="329"/>
    </row>
    <row r="9" spans="1:12" ht="15">
      <c r="A9" s="330" t="s">
        <v>388</v>
      </c>
      <c r="I9" s="329"/>
      <c r="J9" s="329"/>
      <c r="K9" s="329"/>
      <c r="L9" s="329"/>
    </row>
    <row r="10" spans="1:12" ht="15">
      <c r="A10" s="330" t="s">
        <v>389</v>
      </c>
      <c r="I10" s="329"/>
      <c r="J10" s="329"/>
      <c r="K10" s="329"/>
      <c r="L10" s="329"/>
    </row>
    <row r="11" spans="1:12" ht="15">
      <c r="A11" s="330" t="s">
        <v>390</v>
      </c>
      <c r="I11" s="329"/>
      <c r="J11" s="329"/>
      <c r="K11" s="329"/>
      <c r="L11" s="329"/>
    </row>
    <row r="12" spans="1:12" ht="15">
      <c r="A12" s="330" t="s">
        <v>391</v>
      </c>
      <c r="I12" s="329"/>
      <c r="J12" s="329"/>
      <c r="K12" s="329"/>
      <c r="L12" s="329"/>
    </row>
    <row r="13" spans="1:12" ht="15">
      <c r="A13" s="330" t="s">
        <v>392</v>
      </c>
      <c r="I13" s="329"/>
      <c r="J13" s="329"/>
      <c r="K13" s="329"/>
      <c r="L13" s="329"/>
    </row>
    <row r="14" spans="1:12" ht="15">
      <c r="A14" s="329"/>
      <c r="B14" s="329"/>
      <c r="C14" s="329"/>
      <c r="D14" s="329"/>
      <c r="E14" s="329"/>
      <c r="F14" s="329"/>
      <c r="G14" s="329"/>
      <c r="H14" s="329"/>
      <c r="I14" s="329"/>
      <c r="J14" s="329"/>
      <c r="K14" s="329"/>
      <c r="L14" s="329"/>
    </row>
    <row r="15" ht="15">
      <c r="A15" s="331" t="s">
        <v>393</v>
      </c>
    </row>
    <row r="16" ht="15">
      <c r="A16" s="331" t="s">
        <v>394</v>
      </c>
    </row>
    <row r="17" ht="15">
      <c r="A17" s="331"/>
    </row>
    <row r="18" spans="1:7" ht="15">
      <c r="A18" s="330" t="s">
        <v>395</v>
      </c>
      <c r="B18" s="330"/>
      <c r="C18" s="330"/>
      <c r="D18" s="330"/>
      <c r="E18" s="330"/>
      <c r="F18" s="330"/>
      <c r="G18" s="330"/>
    </row>
    <row r="19" spans="1:7" ht="15">
      <c r="A19" s="330" t="str">
        <f>CONCATENATE("your ",inputPrYr!C5-1," numbers to see what steps might be necessary to")</f>
        <v>your 2011 numbers to see what steps might be necessary to</v>
      </c>
      <c r="B19" s="330"/>
      <c r="C19" s="330"/>
      <c r="D19" s="330"/>
      <c r="E19" s="330"/>
      <c r="F19" s="330"/>
      <c r="G19" s="330"/>
    </row>
    <row r="20" spans="1:7" ht="15">
      <c r="A20" s="330" t="s">
        <v>396</v>
      </c>
      <c r="B20" s="330"/>
      <c r="C20" s="330"/>
      <c r="D20" s="330"/>
      <c r="E20" s="330"/>
      <c r="F20" s="330"/>
      <c r="G20" s="330"/>
    </row>
    <row r="21" spans="1:7" ht="15">
      <c r="A21" s="330" t="s">
        <v>397</v>
      </c>
      <c r="B21" s="330"/>
      <c r="C21" s="330"/>
      <c r="D21" s="330"/>
      <c r="E21" s="330"/>
      <c r="F21" s="330"/>
      <c r="G21" s="330"/>
    </row>
    <row r="22" ht="15">
      <c r="A22" s="330"/>
    </row>
    <row r="23" ht="15">
      <c r="A23" s="331" t="s">
        <v>398</v>
      </c>
    </row>
    <row r="24" ht="15">
      <c r="A24" s="331"/>
    </row>
    <row r="25" ht="15">
      <c r="A25" s="330" t="s">
        <v>399</v>
      </c>
    </row>
    <row r="26" spans="1:6" ht="15">
      <c r="A26" s="330" t="s">
        <v>400</v>
      </c>
      <c r="B26" s="330"/>
      <c r="C26" s="330"/>
      <c r="D26" s="330"/>
      <c r="E26" s="330"/>
      <c r="F26" s="330"/>
    </row>
    <row r="27" spans="1:6" ht="15">
      <c r="A27" s="330" t="s">
        <v>401</v>
      </c>
      <c r="B27" s="330"/>
      <c r="C27" s="330"/>
      <c r="D27" s="330"/>
      <c r="E27" s="330"/>
      <c r="F27" s="330"/>
    </row>
    <row r="28" spans="1:6" ht="15">
      <c r="A28" s="330" t="s">
        <v>402</v>
      </c>
      <c r="B28" s="330"/>
      <c r="C28" s="330"/>
      <c r="D28" s="330"/>
      <c r="E28" s="330"/>
      <c r="F28" s="330"/>
    </row>
    <row r="29" spans="1:6" ht="15">
      <c r="A29" s="330"/>
      <c r="B29" s="330"/>
      <c r="C29" s="330"/>
      <c r="D29" s="330"/>
      <c r="E29" s="330"/>
      <c r="F29" s="330"/>
    </row>
    <row r="30" spans="1:7" ht="15">
      <c r="A30" s="331" t="s">
        <v>403</v>
      </c>
      <c r="B30" s="331"/>
      <c r="C30" s="331"/>
      <c r="D30" s="331"/>
      <c r="E30" s="331"/>
      <c r="F30" s="331"/>
      <c r="G30" s="331"/>
    </row>
    <row r="31" spans="1:7" ht="15">
      <c r="A31" s="331" t="s">
        <v>404</v>
      </c>
      <c r="B31" s="331"/>
      <c r="C31" s="331"/>
      <c r="D31" s="331"/>
      <c r="E31" s="331"/>
      <c r="F31" s="331"/>
      <c r="G31" s="331"/>
    </row>
    <row r="32" spans="1:6" ht="15">
      <c r="A32" s="330"/>
      <c r="B32" s="330"/>
      <c r="C32" s="330"/>
      <c r="D32" s="330"/>
      <c r="E32" s="330"/>
      <c r="F32" s="330"/>
    </row>
    <row r="33" spans="1:6" ht="15">
      <c r="A33" s="328" t="str">
        <f>CONCATENATE("Well, let's look to see if any of your ",inputPrYr!C5-1," expenditures can")</f>
        <v>Well, let's look to see if any of your 2011 expenditures can</v>
      </c>
      <c r="B33" s="330"/>
      <c r="C33" s="330"/>
      <c r="D33" s="330"/>
      <c r="E33" s="330"/>
      <c r="F33" s="330"/>
    </row>
    <row r="34" spans="1:6" ht="15">
      <c r="A34" s="328" t="s">
        <v>405</v>
      </c>
      <c r="B34" s="330"/>
      <c r="C34" s="330"/>
      <c r="D34" s="330"/>
      <c r="E34" s="330"/>
      <c r="F34" s="330"/>
    </row>
    <row r="35" spans="1:6" ht="15">
      <c r="A35" s="328" t="s">
        <v>289</v>
      </c>
      <c r="B35" s="330"/>
      <c r="C35" s="330"/>
      <c r="D35" s="330"/>
      <c r="E35" s="330"/>
      <c r="F35" s="330"/>
    </row>
    <row r="36" spans="1:6" ht="15">
      <c r="A36" s="328" t="s">
        <v>290</v>
      </c>
      <c r="B36" s="330"/>
      <c r="C36" s="330"/>
      <c r="D36" s="330"/>
      <c r="E36" s="330"/>
      <c r="F36" s="330"/>
    </row>
    <row r="37" spans="1:6" ht="15">
      <c r="A37" s="328"/>
      <c r="B37" s="330"/>
      <c r="C37" s="330"/>
      <c r="D37" s="330"/>
      <c r="E37" s="330"/>
      <c r="F37" s="330"/>
    </row>
    <row r="38" spans="1:6" ht="15">
      <c r="A38" s="328" t="str">
        <f>CONCATENATE("Additionally, do your ",inputPrYr!C5-1," receipts contain a reimbursement")</f>
        <v>Additionally, do your 2011 receipts contain a reimbursement</v>
      </c>
      <c r="B38" s="330"/>
      <c r="C38" s="330"/>
      <c r="D38" s="330"/>
      <c r="E38" s="330"/>
      <c r="F38" s="330"/>
    </row>
    <row r="39" spans="1:6" ht="15">
      <c r="A39" s="328" t="s">
        <v>291</v>
      </c>
      <c r="B39" s="330"/>
      <c r="C39" s="330"/>
      <c r="D39" s="330"/>
      <c r="E39" s="330"/>
      <c r="F39" s="330"/>
    </row>
    <row r="40" spans="1:6" ht="15">
      <c r="A40" s="328" t="s">
        <v>292</v>
      </c>
      <c r="B40" s="330"/>
      <c r="C40" s="330"/>
      <c r="D40" s="330"/>
      <c r="E40" s="330"/>
      <c r="F40" s="330"/>
    </row>
    <row r="41" spans="1:6" ht="15">
      <c r="A41" s="328"/>
      <c r="B41" s="330"/>
      <c r="C41" s="330"/>
      <c r="D41" s="330"/>
      <c r="E41" s="330"/>
      <c r="F41" s="330"/>
    </row>
    <row r="42" spans="1:6" ht="15">
      <c r="A42" s="328" t="s">
        <v>293</v>
      </c>
      <c r="B42" s="330"/>
      <c r="C42" s="330"/>
      <c r="D42" s="330"/>
      <c r="E42" s="330"/>
      <c r="F42" s="330"/>
    </row>
    <row r="43" spans="1:6" ht="15">
      <c r="A43" s="328" t="s">
        <v>294</v>
      </c>
      <c r="B43" s="330"/>
      <c r="C43" s="330"/>
      <c r="D43" s="330"/>
      <c r="E43" s="330"/>
      <c r="F43" s="330"/>
    </row>
    <row r="44" spans="1:6" ht="15">
      <c r="A44" s="328" t="s">
        <v>295</v>
      </c>
      <c r="B44" s="330"/>
      <c r="C44" s="330"/>
      <c r="D44" s="330"/>
      <c r="E44" s="330"/>
      <c r="F44" s="330"/>
    </row>
    <row r="45" spans="1:6" ht="15">
      <c r="A45" s="328" t="s">
        <v>406</v>
      </c>
      <c r="B45" s="330"/>
      <c r="C45" s="330"/>
      <c r="D45" s="330"/>
      <c r="E45" s="330"/>
      <c r="F45" s="330"/>
    </row>
    <row r="46" spans="1:6" ht="15">
      <c r="A46" s="328" t="s">
        <v>297</v>
      </c>
      <c r="B46" s="330"/>
      <c r="C46" s="330"/>
      <c r="D46" s="330"/>
      <c r="E46" s="330"/>
      <c r="F46" s="330"/>
    </row>
    <row r="47" spans="1:6" ht="15">
      <c r="A47" s="328" t="s">
        <v>407</v>
      </c>
      <c r="B47" s="330"/>
      <c r="C47" s="330"/>
      <c r="D47" s="330"/>
      <c r="E47" s="330"/>
      <c r="F47" s="330"/>
    </row>
    <row r="48" spans="1:6" ht="15">
      <c r="A48" s="328" t="s">
        <v>408</v>
      </c>
      <c r="B48" s="330"/>
      <c r="C48" s="330"/>
      <c r="D48" s="330"/>
      <c r="E48" s="330"/>
      <c r="F48" s="330"/>
    </row>
    <row r="49" spans="1:6" ht="15">
      <c r="A49" s="328" t="s">
        <v>300</v>
      </c>
      <c r="B49" s="330"/>
      <c r="C49" s="330"/>
      <c r="D49" s="330"/>
      <c r="E49" s="330"/>
      <c r="F49" s="330"/>
    </row>
    <row r="50" spans="1:6" ht="15">
      <c r="A50" s="328"/>
      <c r="B50" s="330"/>
      <c r="C50" s="330"/>
      <c r="D50" s="330"/>
      <c r="E50" s="330"/>
      <c r="F50" s="330"/>
    </row>
    <row r="51" spans="1:6" ht="15">
      <c r="A51" s="328" t="s">
        <v>301</v>
      </c>
      <c r="B51" s="330"/>
      <c r="C51" s="330"/>
      <c r="D51" s="330"/>
      <c r="E51" s="330"/>
      <c r="F51" s="330"/>
    </row>
    <row r="52" spans="1:6" ht="15">
      <c r="A52" s="328" t="s">
        <v>302</v>
      </c>
      <c r="B52" s="330"/>
      <c r="C52" s="330"/>
      <c r="D52" s="330"/>
      <c r="E52" s="330"/>
      <c r="F52" s="330"/>
    </row>
    <row r="53" spans="1:6" ht="15">
      <c r="A53" s="328" t="s">
        <v>303</v>
      </c>
      <c r="B53" s="330"/>
      <c r="C53" s="330"/>
      <c r="D53" s="330"/>
      <c r="E53" s="330"/>
      <c r="F53" s="330"/>
    </row>
    <row r="54" spans="1:6" ht="15">
      <c r="A54" s="328"/>
      <c r="B54" s="330"/>
      <c r="C54" s="330"/>
      <c r="D54" s="330"/>
      <c r="E54" s="330"/>
      <c r="F54" s="330"/>
    </row>
    <row r="55" spans="1:6" ht="15">
      <c r="A55" s="328" t="s">
        <v>409</v>
      </c>
      <c r="B55" s="330"/>
      <c r="C55" s="330"/>
      <c r="D55" s="330"/>
      <c r="E55" s="330"/>
      <c r="F55" s="330"/>
    </row>
    <row r="56" spans="1:6" ht="15">
      <c r="A56" s="328" t="s">
        <v>410</v>
      </c>
      <c r="B56" s="330"/>
      <c r="C56" s="330"/>
      <c r="D56" s="330"/>
      <c r="E56" s="330"/>
      <c r="F56" s="330"/>
    </row>
    <row r="57" spans="1:6" ht="15">
      <c r="A57" s="328" t="s">
        <v>411</v>
      </c>
      <c r="B57" s="330"/>
      <c r="C57" s="330"/>
      <c r="D57" s="330"/>
      <c r="E57" s="330"/>
      <c r="F57" s="330"/>
    </row>
    <row r="58" spans="1:6" ht="15">
      <c r="A58" s="328" t="s">
        <v>412</v>
      </c>
      <c r="B58" s="330"/>
      <c r="C58" s="330"/>
      <c r="D58" s="330"/>
      <c r="E58" s="330"/>
      <c r="F58" s="330"/>
    </row>
    <row r="59" spans="1:6" ht="15">
      <c r="A59" s="328" t="s">
        <v>413</v>
      </c>
      <c r="B59" s="330"/>
      <c r="C59" s="330"/>
      <c r="D59" s="330"/>
      <c r="E59" s="330"/>
      <c r="F59" s="330"/>
    </row>
    <row r="60" spans="1:6" ht="15">
      <c r="A60" s="328"/>
      <c r="B60" s="330"/>
      <c r="C60" s="330"/>
      <c r="D60" s="330"/>
      <c r="E60" s="330"/>
      <c r="F60" s="330"/>
    </row>
    <row r="61" spans="1:6" ht="15">
      <c r="A61" s="327" t="s">
        <v>414</v>
      </c>
      <c r="B61" s="330"/>
      <c r="C61" s="330"/>
      <c r="D61" s="330"/>
      <c r="E61" s="330"/>
      <c r="F61" s="330"/>
    </row>
    <row r="62" spans="1:6" ht="15">
      <c r="A62" s="327" t="s">
        <v>415</v>
      </c>
      <c r="B62" s="330"/>
      <c r="C62" s="330"/>
      <c r="D62" s="330"/>
      <c r="E62" s="330"/>
      <c r="F62" s="330"/>
    </row>
    <row r="63" spans="1:6" ht="15">
      <c r="A63" s="327" t="s">
        <v>416</v>
      </c>
      <c r="B63" s="330"/>
      <c r="C63" s="330"/>
      <c r="D63" s="330"/>
      <c r="E63" s="330"/>
      <c r="F63" s="330"/>
    </row>
    <row r="64" ht="15">
      <c r="A64" s="327" t="s">
        <v>417</v>
      </c>
    </row>
    <row r="65" ht="15">
      <c r="A65" s="327" t="s">
        <v>418</v>
      </c>
    </row>
    <row r="66" ht="15">
      <c r="A66" s="327" t="s">
        <v>419</v>
      </c>
    </row>
    <row r="68" ht="15">
      <c r="A68" s="330" t="s">
        <v>420</v>
      </c>
    </row>
    <row r="69" ht="15">
      <c r="A69" s="330" t="s">
        <v>421</v>
      </c>
    </row>
    <row r="70" ht="15">
      <c r="A70" s="330" t="s">
        <v>422</v>
      </c>
    </row>
    <row r="71" ht="15">
      <c r="A71" s="330" t="s">
        <v>423</v>
      </c>
    </row>
    <row r="72" ht="15">
      <c r="A72" s="330" t="s">
        <v>424</v>
      </c>
    </row>
    <row r="73" ht="15">
      <c r="A73" s="330" t="s">
        <v>425</v>
      </c>
    </row>
    <row r="75" ht="15">
      <c r="A75" s="330" t="s">
        <v>330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29" t="s">
        <v>426</v>
      </c>
      <c r="B3" s="329"/>
      <c r="C3" s="329"/>
      <c r="D3" s="329"/>
      <c r="E3" s="329"/>
      <c r="F3" s="329"/>
      <c r="G3" s="329"/>
    </row>
    <row r="4" spans="1:7" ht="15">
      <c r="A4" s="329"/>
      <c r="B4" s="329"/>
      <c r="C4" s="329"/>
      <c r="D4" s="329"/>
      <c r="E4" s="329"/>
      <c r="F4" s="329"/>
      <c r="G4" s="329"/>
    </row>
    <row r="5" ht="15">
      <c r="A5" s="330" t="s">
        <v>332</v>
      </c>
    </row>
    <row r="6" ht="15">
      <c r="A6" s="330" t="str">
        <f>CONCATENATE(inputPrYr!C5," estimated expenditures show that at the end of this year")</f>
        <v>2012 estimated expenditures show that at the end of this year</v>
      </c>
    </row>
    <row r="7" ht="15">
      <c r="A7" s="330" t="s">
        <v>427</v>
      </c>
    </row>
    <row r="8" ht="15">
      <c r="A8" s="330" t="s">
        <v>428</v>
      </c>
    </row>
    <row r="10" ht="15">
      <c r="A10" t="s">
        <v>334</v>
      </c>
    </row>
    <row r="11" ht="15">
      <c r="A11" t="s">
        <v>335</v>
      </c>
    </row>
    <row r="12" ht="15">
      <c r="A12" t="s">
        <v>336</v>
      </c>
    </row>
    <row r="13" spans="1:7" ht="15">
      <c r="A13" s="329"/>
      <c r="B13" s="329"/>
      <c r="C13" s="329"/>
      <c r="D13" s="329"/>
      <c r="E13" s="329"/>
      <c r="F13" s="329"/>
      <c r="G13" s="329"/>
    </row>
    <row r="14" ht="15">
      <c r="A14" s="331" t="s">
        <v>429</v>
      </c>
    </row>
    <row r="15" ht="15">
      <c r="A15" s="330"/>
    </row>
    <row r="16" ht="15">
      <c r="A16" s="330" t="s">
        <v>430</v>
      </c>
    </row>
    <row r="17" ht="15">
      <c r="A17" s="330" t="s">
        <v>431</v>
      </c>
    </row>
    <row r="18" ht="15">
      <c r="A18" s="330" t="s">
        <v>432</v>
      </c>
    </row>
    <row r="19" ht="15">
      <c r="A19" s="330"/>
    </row>
    <row r="20" ht="15">
      <c r="A20" s="330" t="s">
        <v>433</v>
      </c>
    </row>
    <row r="21" ht="15">
      <c r="A21" s="330" t="s">
        <v>434</v>
      </c>
    </row>
    <row r="22" ht="15">
      <c r="A22" s="330" t="s">
        <v>435</v>
      </c>
    </row>
    <row r="23" ht="15">
      <c r="A23" s="330" t="s">
        <v>436</v>
      </c>
    </row>
    <row r="24" ht="15">
      <c r="A24" s="330"/>
    </row>
    <row r="25" ht="15">
      <c r="A25" s="331" t="s">
        <v>398</v>
      </c>
    </row>
    <row r="26" ht="15">
      <c r="A26" s="331"/>
    </row>
    <row r="27" ht="15">
      <c r="A27" s="330" t="s">
        <v>399</v>
      </c>
    </row>
    <row r="28" spans="1:6" ht="15">
      <c r="A28" s="330" t="s">
        <v>400</v>
      </c>
      <c r="B28" s="330"/>
      <c r="C28" s="330"/>
      <c r="D28" s="330"/>
      <c r="E28" s="330"/>
      <c r="F28" s="330"/>
    </row>
    <row r="29" spans="1:6" ht="15">
      <c r="A29" s="330" t="s">
        <v>401</v>
      </c>
      <c r="B29" s="330"/>
      <c r="C29" s="330"/>
      <c r="D29" s="330"/>
      <c r="E29" s="330"/>
      <c r="F29" s="330"/>
    </row>
    <row r="30" spans="1:6" ht="15">
      <c r="A30" s="330" t="s">
        <v>402</v>
      </c>
      <c r="B30" s="330"/>
      <c r="C30" s="330"/>
      <c r="D30" s="330"/>
      <c r="E30" s="330"/>
      <c r="F30" s="330"/>
    </row>
    <row r="31" ht="15">
      <c r="A31" s="330"/>
    </row>
    <row r="32" spans="1:7" ht="15">
      <c r="A32" s="331" t="s">
        <v>403</v>
      </c>
      <c r="B32" s="331"/>
      <c r="C32" s="331"/>
      <c r="D32" s="331"/>
      <c r="E32" s="331"/>
      <c r="F32" s="331"/>
      <c r="G32" s="331"/>
    </row>
    <row r="33" spans="1:7" ht="15">
      <c r="A33" s="331" t="s">
        <v>404</v>
      </c>
      <c r="B33" s="331"/>
      <c r="C33" s="331"/>
      <c r="D33" s="331"/>
      <c r="E33" s="331"/>
      <c r="F33" s="331"/>
      <c r="G33" s="331"/>
    </row>
    <row r="34" spans="1:7" ht="15">
      <c r="A34" s="331"/>
      <c r="B34" s="331"/>
      <c r="C34" s="331"/>
      <c r="D34" s="331"/>
      <c r="E34" s="331"/>
      <c r="F34" s="331"/>
      <c r="G34" s="331"/>
    </row>
    <row r="35" spans="1:7" ht="15">
      <c r="A35" s="330" t="s">
        <v>437</v>
      </c>
      <c r="B35" s="330"/>
      <c r="C35" s="330"/>
      <c r="D35" s="330"/>
      <c r="E35" s="330"/>
      <c r="F35" s="330"/>
      <c r="G35" s="330"/>
    </row>
    <row r="36" spans="1:7" ht="15">
      <c r="A36" s="330" t="s">
        <v>438</v>
      </c>
      <c r="B36" s="330"/>
      <c r="C36" s="330"/>
      <c r="D36" s="330"/>
      <c r="E36" s="330"/>
      <c r="F36" s="330"/>
      <c r="G36" s="330"/>
    </row>
    <row r="37" spans="1:7" ht="15">
      <c r="A37" s="330" t="s">
        <v>439</v>
      </c>
      <c r="B37" s="330"/>
      <c r="C37" s="330"/>
      <c r="D37" s="330"/>
      <c r="E37" s="330"/>
      <c r="F37" s="330"/>
      <c r="G37" s="330"/>
    </row>
    <row r="38" spans="1:7" ht="15">
      <c r="A38" s="330" t="s">
        <v>440</v>
      </c>
      <c r="B38" s="330"/>
      <c r="C38" s="330"/>
      <c r="D38" s="330"/>
      <c r="E38" s="330"/>
      <c r="F38" s="330"/>
      <c r="G38" s="330"/>
    </row>
    <row r="39" spans="1:7" ht="15">
      <c r="A39" s="330" t="s">
        <v>441</v>
      </c>
      <c r="B39" s="330"/>
      <c r="C39" s="330"/>
      <c r="D39" s="330"/>
      <c r="E39" s="330"/>
      <c r="F39" s="330"/>
      <c r="G39" s="330"/>
    </row>
    <row r="40" spans="1:7" ht="15">
      <c r="A40" s="331"/>
      <c r="B40" s="331"/>
      <c r="C40" s="331"/>
      <c r="D40" s="331"/>
      <c r="E40" s="331"/>
      <c r="F40" s="331"/>
      <c r="G40" s="331"/>
    </row>
    <row r="41" spans="1:6" ht="15">
      <c r="A41" s="328" t="str">
        <f>CONCATENATE("So, let's look to see if any of your ",inputPrYr!C5-1," expenditures can")</f>
        <v>So, let's look to see if any of your 2011 expenditures can</v>
      </c>
      <c r="B41" s="330"/>
      <c r="C41" s="330"/>
      <c r="D41" s="330"/>
      <c r="E41" s="330"/>
      <c r="F41" s="330"/>
    </row>
    <row r="42" spans="1:6" ht="15">
      <c r="A42" s="328" t="s">
        <v>405</v>
      </c>
      <c r="B42" s="330"/>
      <c r="C42" s="330"/>
      <c r="D42" s="330"/>
      <c r="E42" s="330"/>
      <c r="F42" s="330"/>
    </row>
    <row r="43" spans="1:6" ht="15">
      <c r="A43" s="328" t="s">
        <v>289</v>
      </c>
      <c r="B43" s="330"/>
      <c r="C43" s="330"/>
      <c r="D43" s="330"/>
      <c r="E43" s="330"/>
      <c r="F43" s="330"/>
    </row>
    <row r="44" spans="1:6" ht="15">
      <c r="A44" s="328" t="s">
        <v>290</v>
      </c>
      <c r="B44" s="330"/>
      <c r="C44" s="330"/>
      <c r="D44" s="330"/>
      <c r="E44" s="330"/>
      <c r="F44" s="330"/>
    </row>
    <row r="45" ht="15">
      <c r="A45" s="330"/>
    </row>
    <row r="46" spans="1:6" ht="15">
      <c r="A46" s="328" t="str">
        <f>CONCATENATE("Additionally, do your ",inputPrYr!C5-1," receipts contain a reimbursement")</f>
        <v>Additionally, do your 2011 receipts contain a reimbursement</v>
      </c>
      <c r="B46" s="330"/>
      <c r="C46" s="330"/>
      <c r="D46" s="330"/>
      <c r="E46" s="330"/>
      <c r="F46" s="330"/>
    </row>
    <row r="47" spans="1:6" ht="15">
      <c r="A47" s="328" t="s">
        <v>291</v>
      </c>
      <c r="B47" s="330"/>
      <c r="C47" s="330"/>
      <c r="D47" s="330"/>
      <c r="E47" s="330"/>
      <c r="F47" s="330"/>
    </row>
    <row r="48" spans="1:6" ht="15">
      <c r="A48" s="328" t="s">
        <v>292</v>
      </c>
      <c r="B48" s="330"/>
      <c r="C48" s="330"/>
      <c r="D48" s="330"/>
      <c r="E48" s="330"/>
      <c r="F48" s="330"/>
    </row>
    <row r="49" spans="1:7" ht="15">
      <c r="A49" s="330"/>
      <c r="B49" s="330"/>
      <c r="C49" s="330"/>
      <c r="D49" s="330"/>
      <c r="E49" s="330"/>
      <c r="F49" s="330"/>
      <c r="G49" s="330"/>
    </row>
    <row r="50" spans="1:7" ht="15">
      <c r="A50" s="330" t="s">
        <v>359</v>
      </c>
      <c r="B50" s="330"/>
      <c r="C50" s="330"/>
      <c r="D50" s="330"/>
      <c r="E50" s="330"/>
      <c r="F50" s="330"/>
      <c r="G50" s="330"/>
    </row>
    <row r="51" spans="1:7" ht="15">
      <c r="A51" s="330" t="s">
        <v>360</v>
      </c>
      <c r="B51" s="330"/>
      <c r="C51" s="330"/>
      <c r="D51" s="330"/>
      <c r="E51" s="330"/>
      <c r="F51" s="330"/>
      <c r="G51" s="330"/>
    </row>
    <row r="52" spans="1:7" ht="15">
      <c r="A52" s="330" t="s">
        <v>361</v>
      </c>
      <c r="B52" s="330"/>
      <c r="C52" s="330"/>
      <c r="D52" s="330"/>
      <c r="E52" s="330"/>
      <c r="F52" s="330"/>
      <c r="G52" s="330"/>
    </row>
    <row r="53" spans="1:7" ht="15">
      <c r="A53" s="330" t="s">
        <v>362</v>
      </c>
      <c r="B53" s="330"/>
      <c r="C53" s="330"/>
      <c r="D53" s="330"/>
      <c r="E53" s="330"/>
      <c r="F53" s="330"/>
      <c r="G53" s="330"/>
    </row>
    <row r="54" spans="1:7" ht="15">
      <c r="A54" s="330" t="s">
        <v>363</v>
      </c>
      <c r="B54" s="330"/>
      <c r="C54" s="330"/>
      <c r="D54" s="330"/>
      <c r="E54" s="330"/>
      <c r="F54" s="330"/>
      <c r="G54" s="330"/>
    </row>
    <row r="55" spans="1:7" ht="15">
      <c r="A55" s="330"/>
      <c r="B55" s="330"/>
      <c r="C55" s="330"/>
      <c r="D55" s="330"/>
      <c r="E55" s="330"/>
      <c r="F55" s="330"/>
      <c r="G55" s="330"/>
    </row>
    <row r="56" spans="1:6" ht="15">
      <c r="A56" s="328" t="s">
        <v>301</v>
      </c>
      <c r="B56" s="330"/>
      <c r="C56" s="330"/>
      <c r="D56" s="330"/>
      <c r="E56" s="330"/>
      <c r="F56" s="330"/>
    </row>
    <row r="57" spans="1:6" ht="15">
      <c r="A57" s="328" t="s">
        <v>302</v>
      </c>
      <c r="B57" s="330"/>
      <c r="C57" s="330"/>
      <c r="D57" s="330"/>
      <c r="E57" s="330"/>
      <c r="F57" s="330"/>
    </row>
    <row r="58" spans="1:6" ht="15">
      <c r="A58" s="328" t="s">
        <v>303</v>
      </c>
      <c r="B58" s="330"/>
      <c r="C58" s="330"/>
      <c r="D58" s="330"/>
      <c r="E58" s="330"/>
      <c r="F58" s="330"/>
    </row>
    <row r="59" spans="1:6" ht="15">
      <c r="A59" s="328"/>
      <c r="B59" s="330"/>
      <c r="C59" s="330"/>
      <c r="D59" s="330"/>
      <c r="E59" s="330"/>
      <c r="F59" s="330"/>
    </row>
    <row r="60" spans="1:7" ht="15">
      <c r="A60" s="330" t="s">
        <v>442</v>
      </c>
      <c r="B60" s="330"/>
      <c r="C60" s="330"/>
      <c r="D60" s="330"/>
      <c r="E60" s="330"/>
      <c r="F60" s="330"/>
      <c r="G60" s="330"/>
    </row>
    <row r="61" spans="1:7" ht="15">
      <c r="A61" s="330" t="s">
        <v>443</v>
      </c>
      <c r="B61" s="330"/>
      <c r="C61" s="330"/>
      <c r="D61" s="330"/>
      <c r="E61" s="330"/>
      <c r="F61" s="330"/>
      <c r="G61" s="330"/>
    </row>
    <row r="62" spans="1:7" ht="15">
      <c r="A62" s="330" t="s">
        <v>444</v>
      </c>
      <c r="B62" s="330"/>
      <c r="C62" s="330"/>
      <c r="D62" s="330"/>
      <c r="E62" s="330"/>
      <c r="F62" s="330"/>
      <c r="G62" s="330"/>
    </row>
    <row r="63" spans="1:7" ht="15">
      <c r="A63" s="330" t="s">
        <v>445</v>
      </c>
      <c r="B63" s="330"/>
      <c r="C63" s="330"/>
      <c r="D63" s="330"/>
      <c r="E63" s="330"/>
      <c r="F63" s="330"/>
      <c r="G63" s="330"/>
    </row>
    <row r="64" spans="1:7" ht="15">
      <c r="A64" s="330" t="s">
        <v>446</v>
      </c>
      <c r="B64" s="330"/>
      <c r="C64" s="330"/>
      <c r="D64" s="330"/>
      <c r="E64" s="330"/>
      <c r="F64" s="330"/>
      <c r="G64" s="330"/>
    </row>
    <row r="66" spans="1:6" ht="15">
      <c r="A66" s="328" t="s">
        <v>409</v>
      </c>
      <c r="B66" s="330"/>
      <c r="C66" s="330"/>
      <c r="D66" s="330"/>
      <c r="E66" s="330"/>
      <c r="F66" s="330"/>
    </row>
    <row r="67" spans="1:6" ht="15">
      <c r="A67" s="328" t="s">
        <v>410</v>
      </c>
      <c r="B67" s="330"/>
      <c r="C67" s="330"/>
      <c r="D67" s="330"/>
      <c r="E67" s="330"/>
      <c r="F67" s="330"/>
    </row>
    <row r="68" spans="1:6" ht="15">
      <c r="A68" s="328" t="s">
        <v>411</v>
      </c>
      <c r="B68" s="330"/>
      <c r="C68" s="330"/>
      <c r="D68" s="330"/>
      <c r="E68" s="330"/>
      <c r="F68" s="330"/>
    </row>
    <row r="69" spans="1:6" ht="15">
      <c r="A69" s="328" t="s">
        <v>412</v>
      </c>
      <c r="B69" s="330"/>
      <c r="C69" s="330"/>
      <c r="D69" s="330"/>
      <c r="E69" s="330"/>
      <c r="F69" s="330"/>
    </row>
    <row r="70" spans="1:6" ht="15">
      <c r="A70" s="328" t="s">
        <v>413</v>
      </c>
      <c r="B70" s="330"/>
      <c r="C70" s="330"/>
      <c r="D70" s="330"/>
      <c r="E70" s="330"/>
      <c r="F70" s="330"/>
    </row>
    <row r="71" ht="15">
      <c r="A71" s="330"/>
    </row>
    <row r="72" ht="15">
      <c r="A72" s="330" t="s">
        <v>330</v>
      </c>
    </row>
    <row r="73" ht="15">
      <c r="A73" s="330"/>
    </row>
    <row r="74" ht="15">
      <c r="A74" s="330"/>
    </row>
    <row r="75" ht="15">
      <c r="A75" s="330"/>
    </row>
    <row r="78" ht="15">
      <c r="A78" s="331"/>
    </row>
    <row r="80" ht="15">
      <c r="A80" s="330"/>
    </row>
    <row r="81" ht="15">
      <c r="A81" s="330"/>
    </row>
    <row r="82" ht="15">
      <c r="A82" s="330"/>
    </row>
    <row r="83" ht="15">
      <c r="A83" s="330"/>
    </row>
    <row r="84" ht="15">
      <c r="A84" s="330"/>
    </row>
    <row r="85" ht="15">
      <c r="A85" s="330"/>
    </row>
    <row r="86" ht="15">
      <c r="A86" s="330"/>
    </row>
    <row r="87" ht="15">
      <c r="A87" s="330"/>
    </row>
    <row r="88" ht="15">
      <c r="A88" s="330"/>
    </row>
    <row r="89" ht="15">
      <c r="A89" s="330"/>
    </row>
    <row r="90" ht="15">
      <c r="A90" s="330"/>
    </row>
    <row r="92" ht="15">
      <c r="A92" s="330"/>
    </row>
    <row r="93" ht="15">
      <c r="A93" s="330"/>
    </row>
    <row r="94" ht="15">
      <c r="A94" s="330"/>
    </row>
    <row r="95" ht="15">
      <c r="A95" s="330"/>
    </row>
    <row r="96" ht="15">
      <c r="A96" s="330"/>
    </row>
    <row r="97" ht="15">
      <c r="A97" s="330"/>
    </row>
    <row r="98" ht="15">
      <c r="A98" s="330"/>
    </row>
    <row r="99" ht="15">
      <c r="A99" s="330"/>
    </row>
    <row r="100" ht="15">
      <c r="A100" s="330"/>
    </row>
    <row r="101" ht="15">
      <c r="A101" s="330"/>
    </row>
    <row r="102" ht="15">
      <c r="A102" s="330"/>
    </row>
    <row r="103" ht="15">
      <c r="A103" s="330"/>
    </row>
    <row r="104" ht="15">
      <c r="A104" s="330"/>
    </row>
    <row r="105" ht="15">
      <c r="A105" s="330"/>
    </row>
    <row r="106" ht="15">
      <c r="A106" s="33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29" t="s">
        <v>447</v>
      </c>
      <c r="B3" s="329"/>
      <c r="C3" s="329"/>
      <c r="D3" s="329"/>
      <c r="E3" s="329"/>
      <c r="F3" s="329"/>
      <c r="G3" s="329"/>
    </row>
    <row r="4" spans="1:7" ht="15">
      <c r="A4" s="329" t="s">
        <v>448</v>
      </c>
      <c r="B4" s="329"/>
      <c r="C4" s="329"/>
      <c r="D4" s="329"/>
      <c r="E4" s="329"/>
      <c r="F4" s="329"/>
      <c r="G4" s="329"/>
    </row>
    <row r="5" spans="1:7" ht="15">
      <c r="A5" s="329"/>
      <c r="B5" s="329"/>
      <c r="C5" s="329"/>
      <c r="D5" s="329"/>
      <c r="E5" s="329"/>
      <c r="F5" s="329"/>
      <c r="G5" s="329"/>
    </row>
    <row r="6" spans="1:7" ht="15">
      <c r="A6" s="329"/>
      <c r="B6" s="329"/>
      <c r="C6" s="329"/>
      <c r="D6" s="329"/>
      <c r="E6" s="329"/>
      <c r="F6" s="329"/>
      <c r="G6" s="329"/>
    </row>
    <row r="7" ht="15">
      <c r="A7" s="330" t="s">
        <v>275</v>
      </c>
    </row>
    <row r="8" ht="15">
      <c r="A8" s="330" t="str">
        <f>CONCATENATE("estimated ",inputPrYr!C5," 'total expenditures' exceed your ",inputPrYr!C5,"")</f>
        <v>estimated 2012 'total expenditures' exceed your 2012</v>
      </c>
    </row>
    <row r="9" ht="15">
      <c r="A9" s="333" t="s">
        <v>449</v>
      </c>
    </row>
    <row r="10" ht="15">
      <c r="A10" s="330"/>
    </row>
    <row r="11" ht="15">
      <c r="A11" s="330" t="s">
        <v>450</v>
      </c>
    </row>
    <row r="12" ht="15">
      <c r="A12" s="330" t="s">
        <v>451</v>
      </c>
    </row>
    <row r="13" ht="15">
      <c r="A13" s="330" t="s">
        <v>452</v>
      </c>
    </row>
    <row r="14" ht="15">
      <c r="A14" s="330"/>
    </row>
    <row r="15" ht="15">
      <c r="A15" s="331" t="s">
        <v>453</v>
      </c>
    </row>
    <row r="16" spans="1:7" ht="15">
      <c r="A16" s="329"/>
      <c r="B16" s="329"/>
      <c r="C16" s="329"/>
      <c r="D16" s="329"/>
      <c r="E16" s="329"/>
      <c r="F16" s="329"/>
      <c r="G16" s="329"/>
    </row>
    <row r="17" spans="1:8" ht="15">
      <c r="A17" s="334" t="s">
        <v>454</v>
      </c>
      <c r="B17" s="335"/>
      <c r="C17" s="335"/>
      <c r="D17" s="335"/>
      <c r="E17" s="335"/>
      <c r="F17" s="335"/>
      <c r="G17" s="335"/>
      <c r="H17" s="335"/>
    </row>
    <row r="18" spans="1:7" ht="15">
      <c r="A18" s="330" t="s">
        <v>455</v>
      </c>
      <c r="B18" s="336"/>
      <c r="C18" s="336"/>
      <c r="D18" s="336"/>
      <c r="E18" s="336"/>
      <c r="F18" s="336"/>
      <c r="G18" s="336"/>
    </row>
    <row r="19" ht="15">
      <c r="A19" s="330" t="s">
        <v>456</v>
      </c>
    </row>
    <row r="20" ht="15">
      <c r="A20" s="330" t="s">
        <v>457</v>
      </c>
    </row>
    <row r="22" ht="15">
      <c r="A22" s="331" t="s">
        <v>458</v>
      </c>
    </row>
    <row r="24" ht="15">
      <c r="A24" s="330" t="s">
        <v>459</v>
      </c>
    </row>
    <row r="25" ht="15">
      <c r="A25" s="330" t="s">
        <v>460</v>
      </c>
    </row>
    <row r="26" ht="15">
      <c r="A26" s="330" t="s">
        <v>461</v>
      </c>
    </row>
    <row r="28" ht="15">
      <c r="A28" s="331" t="s">
        <v>462</v>
      </c>
    </row>
    <row r="30" ht="15">
      <c r="A30" t="s">
        <v>463</v>
      </c>
    </row>
    <row r="31" ht="15">
      <c r="A31" t="s">
        <v>464</v>
      </c>
    </row>
    <row r="32" ht="15">
      <c r="A32" t="s">
        <v>465</v>
      </c>
    </row>
    <row r="33" ht="15">
      <c r="A33" s="330" t="s">
        <v>466</v>
      </c>
    </row>
    <row r="35" ht="15">
      <c r="A35" t="s">
        <v>467</v>
      </c>
    </row>
    <row r="36" ht="15">
      <c r="A36" t="s">
        <v>468</v>
      </c>
    </row>
    <row r="37" ht="15">
      <c r="A37" t="s">
        <v>469</v>
      </c>
    </row>
    <row r="38" ht="15">
      <c r="A38" t="s">
        <v>470</v>
      </c>
    </row>
    <row r="40" ht="15">
      <c r="A40" t="s">
        <v>471</v>
      </c>
    </row>
    <row r="41" ht="15">
      <c r="A41" t="s">
        <v>472</v>
      </c>
    </row>
    <row r="42" ht="15">
      <c r="A42" t="s">
        <v>473</v>
      </c>
    </row>
    <row r="43" ht="15">
      <c r="A43" t="s">
        <v>474</v>
      </c>
    </row>
    <row r="44" ht="15">
      <c r="A44" t="s">
        <v>475</v>
      </c>
    </row>
    <row r="45" ht="15">
      <c r="A45" t="s">
        <v>476</v>
      </c>
    </row>
    <row r="47" ht="15">
      <c r="A47" t="s">
        <v>477</v>
      </c>
    </row>
    <row r="48" ht="15">
      <c r="A48" t="s">
        <v>478</v>
      </c>
    </row>
    <row r="49" ht="15">
      <c r="A49" s="330" t="s">
        <v>479</v>
      </c>
    </row>
    <row r="50" ht="15">
      <c r="A50" s="330" t="s">
        <v>480</v>
      </c>
    </row>
    <row r="52" ht="15">
      <c r="A52" t="s">
        <v>330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J40" sqref="J40"/>
    </sheetView>
  </sheetViews>
  <sheetFormatPr defaultColWidth="8.8984375" defaultRowHeight="15.75" customHeight="1"/>
  <cols>
    <col min="1" max="2" width="3.296875" style="32" customWidth="1"/>
    <col min="3" max="3" width="31.296875" style="32" customWidth="1"/>
    <col min="4" max="4" width="2.296875" style="32" customWidth="1"/>
    <col min="5" max="5" width="15.69921875" style="32" customWidth="1"/>
    <col min="6" max="6" width="2" style="32" customWidth="1"/>
    <col min="7" max="7" width="15.69921875" style="32" customWidth="1"/>
    <col min="8" max="8" width="1.8984375" style="32" customWidth="1"/>
    <col min="9" max="9" width="1.69921875" style="32" customWidth="1"/>
    <col min="10" max="10" width="15.69921875" style="32" customWidth="1"/>
    <col min="11" max="16384" width="8.8984375" style="32" customWidth="1"/>
  </cols>
  <sheetData>
    <row r="1" spans="1:10" ht="15.75" customHeight="1">
      <c r="A1" s="163"/>
      <c r="B1" s="163"/>
      <c r="C1" s="164" t="str">
        <f>inputPrYr!D2</f>
        <v>City of Ellsworth</v>
      </c>
      <c r="D1" s="163"/>
      <c r="E1" s="163"/>
      <c r="F1" s="163"/>
      <c r="G1" s="163"/>
      <c r="H1" s="163"/>
      <c r="I1" s="163"/>
      <c r="J1" s="163">
        <f>inputPrYr!C5</f>
        <v>2012</v>
      </c>
    </row>
    <row r="2" spans="1:10" ht="15.75" customHeight="1">
      <c r="A2" s="163"/>
      <c r="B2" s="163"/>
      <c r="C2" s="163"/>
      <c r="D2" s="163"/>
      <c r="E2" s="163"/>
      <c r="F2" s="163"/>
      <c r="G2" s="163"/>
      <c r="H2" s="163"/>
      <c r="I2" s="163"/>
      <c r="J2" s="163"/>
    </row>
    <row r="3" spans="1:10" ht="15">
      <c r="A3" s="500" t="str">
        <f>CONCATENATE("Computation to Determine Limit for ",J1,"")</f>
        <v>Computation to Determine Limit for 2012</v>
      </c>
      <c r="B3" s="501"/>
      <c r="C3" s="501"/>
      <c r="D3" s="501"/>
      <c r="E3" s="501"/>
      <c r="F3" s="501"/>
      <c r="G3" s="501"/>
      <c r="H3" s="501"/>
      <c r="I3" s="501"/>
      <c r="J3" s="501"/>
    </row>
    <row r="4" spans="1:10" ht="15">
      <c r="A4" s="163"/>
      <c r="B4" s="163"/>
      <c r="C4" s="163"/>
      <c r="D4" s="163"/>
      <c r="E4" s="501"/>
      <c r="F4" s="501"/>
      <c r="G4" s="501"/>
      <c r="H4" s="165"/>
      <c r="I4" s="163"/>
      <c r="J4" s="166" t="s">
        <v>127</v>
      </c>
    </row>
    <row r="5" spans="1:10" ht="15">
      <c r="A5" s="167" t="s">
        <v>128</v>
      </c>
      <c r="B5" s="163" t="str">
        <f>CONCATENATE("Total Tax Levy Amount in ",J1-1," Budget")</f>
        <v>Total Tax Levy Amount in 2011 Budget</v>
      </c>
      <c r="C5" s="163"/>
      <c r="D5" s="163"/>
      <c r="E5" s="168"/>
      <c r="F5" s="168"/>
      <c r="G5" s="168"/>
      <c r="H5" s="169" t="s">
        <v>129</v>
      </c>
      <c r="I5" s="168" t="s">
        <v>130</v>
      </c>
      <c r="J5" s="170">
        <f>inputPrYr!E25</f>
        <v>864303</v>
      </c>
    </row>
    <row r="6" spans="1:10" ht="15">
      <c r="A6" s="167" t="s">
        <v>131</v>
      </c>
      <c r="B6" s="163" t="str">
        <f>CONCATENATE("Debt Service Levy in ",J1-1," Budget")</f>
        <v>Debt Service Levy in 2011 Budget</v>
      </c>
      <c r="C6" s="163"/>
      <c r="D6" s="163"/>
      <c r="E6" s="168"/>
      <c r="F6" s="168"/>
      <c r="G6" s="168"/>
      <c r="H6" s="169" t="s">
        <v>132</v>
      </c>
      <c r="I6" s="168" t="s">
        <v>130</v>
      </c>
      <c r="J6" s="171">
        <f>inputPrYr!E18</f>
        <v>156649</v>
      </c>
    </row>
    <row r="7" spans="1:10" ht="15">
      <c r="A7" s="167" t="s">
        <v>159</v>
      </c>
      <c r="B7" s="172" t="s">
        <v>156</v>
      </c>
      <c r="C7" s="163"/>
      <c r="D7" s="163"/>
      <c r="E7" s="168"/>
      <c r="F7" s="168"/>
      <c r="G7" s="168"/>
      <c r="H7" s="168"/>
      <c r="I7" s="168" t="s">
        <v>130</v>
      </c>
      <c r="J7" s="173">
        <f>J5-J6</f>
        <v>707654</v>
      </c>
    </row>
    <row r="8" spans="1:10" ht="15">
      <c r="A8" s="163"/>
      <c r="B8" s="163"/>
      <c r="C8" s="163"/>
      <c r="D8" s="163"/>
      <c r="E8" s="168"/>
      <c r="F8" s="168"/>
      <c r="G8" s="168"/>
      <c r="H8" s="168"/>
      <c r="I8" s="168"/>
      <c r="J8" s="168"/>
    </row>
    <row r="9" spans="1:10" ht="15">
      <c r="A9" s="163"/>
      <c r="B9" s="172" t="str">
        <f>CONCATENATE("",J1-1," Valuation Information for Valuation Adjustments:")</f>
        <v>2011 Valuation Information for Valuation Adjustments:</v>
      </c>
      <c r="C9" s="163"/>
      <c r="D9" s="163"/>
      <c r="E9" s="168"/>
      <c r="F9" s="168"/>
      <c r="G9" s="168"/>
      <c r="H9" s="168"/>
      <c r="I9" s="168"/>
      <c r="J9" s="168"/>
    </row>
    <row r="10" spans="1:10" ht="15">
      <c r="A10" s="163"/>
      <c r="B10" s="163"/>
      <c r="C10" s="172"/>
      <c r="D10" s="163"/>
      <c r="E10" s="168"/>
      <c r="F10" s="168"/>
      <c r="G10" s="168"/>
      <c r="H10" s="168"/>
      <c r="I10" s="168"/>
      <c r="J10" s="168"/>
    </row>
    <row r="11" spans="1:10" ht="15">
      <c r="A11" s="167" t="s">
        <v>133</v>
      </c>
      <c r="B11" s="172" t="str">
        <f>CONCATENATE("New Improvements for ",J1-1,":")</f>
        <v>New Improvements for 2011:</v>
      </c>
      <c r="C11" s="163"/>
      <c r="D11" s="163"/>
      <c r="E11" s="169"/>
      <c r="F11" s="169" t="s">
        <v>129</v>
      </c>
      <c r="G11" s="174">
        <f>inputOth!E8</f>
        <v>22568</v>
      </c>
      <c r="H11" s="175"/>
      <c r="I11" s="168"/>
      <c r="J11" s="168"/>
    </row>
    <row r="12" spans="1:10" ht="15">
      <c r="A12" s="167"/>
      <c r="B12" s="176"/>
      <c r="C12" s="163"/>
      <c r="D12" s="163"/>
      <c r="E12" s="169"/>
      <c r="F12" s="169"/>
      <c r="G12" s="175"/>
      <c r="H12" s="175"/>
      <c r="I12" s="168"/>
      <c r="J12" s="168"/>
    </row>
    <row r="13" spans="1:10" ht="15">
      <c r="A13" s="167" t="s">
        <v>134</v>
      </c>
      <c r="B13" s="172" t="str">
        <f>CONCATENATE("Increase in Personal Property for ",J1-1,":")</f>
        <v>Increase in Personal Property for 2011:</v>
      </c>
      <c r="C13" s="163"/>
      <c r="D13" s="163"/>
      <c r="E13" s="169"/>
      <c r="F13" s="169"/>
      <c r="G13" s="175"/>
      <c r="H13" s="175"/>
      <c r="I13" s="168"/>
      <c r="J13" s="168"/>
    </row>
    <row r="14" spans="1:10" ht="15">
      <c r="A14" s="177"/>
      <c r="B14" s="163" t="s">
        <v>135</v>
      </c>
      <c r="C14" s="163" t="str">
        <f>CONCATENATE("Personal Property ",J1-1,"")</f>
        <v>Personal Property 2011</v>
      </c>
      <c r="D14" s="176" t="s">
        <v>129</v>
      </c>
      <c r="E14" s="174">
        <f>inputOth!E9</f>
        <v>587174</v>
      </c>
      <c r="F14" s="169"/>
      <c r="G14" s="168"/>
      <c r="H14" s="168"/>
      <c r="I14" s="175"/>
      <c r="J14" s="168"/>
    </row>
    <row r="15" spans="1:10" ht="15">
      <c r="A15" s="176"/>
      <c r="B15" s="163" t="s">
        <v>136</v>
      </c>
      <c r="C15" s="163" t="str">
        <f>CONCATENATE("Personal Property ",J1-2,"")</f>
        <v>Personal Property 2010</v>
      </c>
      <c r="D15" s="176" t="s">
        <v>132</v>
      </c>
      <c r="E15" s="178">
        <f>inputOth!E15</f>
        <v>677530</v>
      </c>
      <c r="F15" s="169"/>
      <c r="G15" s="175"/>
      <c r="H15" s="175"/>
      <c r="I15" s="168"/>
      <c r="J15" s="168"/>
    </row>
    <row r="16" spans="1:10" ht="15">
      <c r="A16" s="176"/>
      <c r="B16" s="163" t="s">
        <v>137</v>
      </c>
      <c r="C16" s="163" t="s">
        <v>158</v>
      </c>
      <c r="D16" s="163"/>
      <c r="E16" s="168"/>
      <c r="F16" s="168" t="s">
        <v>129</v>
      </c>
      <c r="G16" s="170">
        <f>IF(E14&gt;E15,E14-E15,0)</f>
        <v>0</v>
      </c>
      <c r="H16" s="175"/>
      <c r="I16" s="168"/>
      <c r="J16" s="168"/>
    </row>
    <row r="17" spans="1:10" ht="15">
      <c r="A17" s="176"/>
      <c r="B17" s="176"/>
      <c r="C17" s="163"/>
      <c r="D17" s="163"/>
      <c r="E17" s="168"/>
      <c r="F17" s="168"/>
      <c r="G17" s="175" t="s">
        <v>150</v>
      </c>
      <c r="H17" s="175"/>
      <c r="I17" s="168"/>
      <c r="J17" s="168"/>
    </row>
    <row r="18" spans="1:10" ht="15">
      <c r="A18" s="176" t="s">
        <v>138</v>
      </c>
      <c r="B18" s="172" t="str">
        <f>CONCATENATE("Valuation of annexed territory for ",J1-1,"")</f>
        <v>Valuation of annexed territory for 2011</v>
      </c>
      <c r="C18" s="163"/>
      <c r="D18" s="163"/>
      <c r="E18" s="175"/>
      <c r="F18" s="168"/>
      <c r="G18" s="168"/>
      <c r="H18" s="168"/>
      <c r="I18" s="168"/>
      <c r="J18" s="168"/>
    </row>
    <row r="19" spans="1:10" ht="15">
      <c r="A19" s="176"/>
      <c r="B19" s="163" t="s">
        <v>139</v>
      </c>
      <c r="C19" s="163" t="s">
        <v>160</v>
      </c>
      <c r="D19" s="176" t="s">
        <v>129</v>
      </c>
      <c r="E19" s="174">
        <f>inputOth!E11</f>
        <v>0</v>
      </c>
      <c r="F19" s="168"/>
      <c r="G19" s="168"/>
      <c r="H19" s="168"/>
      <c r="I19" s="168"/>
      <c r="J19" s="168"/>
    </row>
    <row r="20" spans="1:10" ht="15">
      <c r="A20" s="176"/>
      <c r="B20" s="163" t="s">
        <v>140</v>
      </c>
      <c r="C20" s="163" t="s">
        <v>161</v>
      </c>
      <c r="D20" s="176" t="s">
        <v>129</v>
      </c>
      <c r="E20" s="174">
        <f>inputOth!E12</f>
        <v>0</v>
      </c>
      <c r="F20" s="168"/>
      <c r="G20" s="175"/>
      <c r="H20" s="175"/>
      <c r="I20" s="168"/>
      <c r="J20" s="168"/>
    </row>
    <row r="21" spans="1:10" ht="15">
      <c r="A21" s="176"/>
      <c r="B21" s="163" t="s">
        <v>141</v>
      </c>
      <c r="C21" s="163" t="s">
        <v>157</v>
      </c>
      <c r="D21" s="176" t="s">
        <v>132</v>
      </c>
      <c r="E21" s="174">
        <f>inputOth!E13</f>
        <v>0</v>
      </c>
      <c r="F21" s="168"/>
      <c r="G21" s="175"/>
      <c r="H21" s="175"/>
      <c r="I21" s="168"/>
      <c r="J21" s="168"/>
    </row>
    <row r="22" spans="1:10" ht="15">
      <c r="A22" s="176"/>
      <c r="B22" s="163" t="s">
        <v>142</v>
      </c>
      <c r="C22" s="163" t="s">
        <v>162</v>
      </c>
      <c r="D22" s="176"/>
      <c r="E22" s="175"/>
      <c r="F22" s="168" t="s">
        <v>129</v>
      </c>
      <c r="G22" s="170">
        <f>E19+E20-E21</f>
        <v>0</v>
      </c>
      <c r="H22" s="175"/>
      <c r="I22" s="168"/>
      <c r="J22" s="168"/>
    </row>
    <row r="23" spans="1:10" ht="15">
      <c r="A23" s="176"/>
      <c r="B23" s="176"/>
      <c r="C23" s="163"/>
      <c r="D23" s="176"/>
      <c r="E23" s="175"/>
      <c r="F23" s="168"/>
      <c r="G23" s="175"/>
      <c r="H23" s="175"/>
      <c r="I23" s="168"/>
      <c r="J23" s="168"/>
    </row>
    <row r="24" spans="1:10" ht="15">
      <c r="A24" s="176" t="s">
        <v>143</v>
      </c>
      <c r="B24" s="172" t="str">
        <f>CONCATENATE("Valuation of Property that has Changed in Use during ",J1-1,"")</f>
        <v>Valuation of Property that has Changed in Use during 2011</v>
      </c>
      <c r="C24" s="163"/>
      <c r="D24" s="163"/>
      <c r="E24" s="168"/>
      <c r="F24" s="168"/>
      <c r="G24" s="85">
        <f>inputOth!E14</f>
        <v>3079</v>
      </c>
      <c r="H24" s="168"/>
      <c r="I24" s="168"/>
      <c r="J24" s="168"/>
    </row>
    <row r="25" spans="1:10" ht="15">
      <c r="A25" s="163" t="s">
        <v>30</v>
      </c>
      <c r="B25" s="163"/>
      <c r="C25" s="163"/>
      <c r="D25" s="176"/>
      <c r="E25" s="175"/>
      <c r="F25" s="168"/>
      <c r="G25" s="179"/>
      <c r="H25" s="175"/>
      <c r="I25" s="168"/>
      <c r="J25" s="168"/>
    </row>
    <row r="26" spans="1:10" ht="15">
      <c r="A26" s="176" t="s">
        <v>144</v>
      </c>
      <c r="B26" s="172" t="s">
        <v>163</v>
      </c>
      <c r="C26" s="163"/>
      <c r="D26" s="163"/>
      <c r="E26" s="168"/>
      <c r="F26" s="168"/>
      <c r="G26" s="170">
        <f>G11+G16+G22+G24</f>
        <v>25647</v>
      </c>
      <c r="H26" s="175"/>
      <c r="I26" s="168"/>
      <c r="J26" s="168"/>
    </row>
    <row r="27" spans="1:10" ht="15">
      <c r="A27" s="176"/>
      <c r="B27" s="176"/>
      <c r="C27" s="172"/>
      <c r="D27" s="163"/>
      <c r="E27" s="168"/>
      <c r="F27" s="168"/>
      <c r="G27" s="175"/>
      <c r="H27" s="175"/>
      <c r="I27" s="168"/>
      <c r="J27" s="168"/>
    </row>
    <row r="28" spans="1:10" ht="15">
      <c r="A28" s="176" t="s">
        <v>145</v>
      </c>
      <c r="B28" s="163" t="str">
        <f>CONCATENATE("Total Estimated Valuation July 1,",J1-1,"")</f>
        <v>Total Estimated Valuation July 1,2011</v>
      </c>
      <c r="C28" s="163"/>
      <c r="D28" s="163"/>
      <c r="E28" s="170">
        <f>inputOth!E7</f>
        <v>11730314</v>
      </c>
      <c r="F28" s="168"/>
      <c r="G28" s="168"/>
      <c r="H28" s="168"/>
      <c r="I28" s="169"/>
      <c r="J28" s="168"/>
    </row>
    <row r="29" spans="1:10" ht="15">
      <c r="A29" s="176"/>
      <c r="B29" s="176"/>
      <c r="C29" s="163"/>
      <c r="D29" s="163"/>
      <c r="E29" s="175"/>
      <c r="F29" s="168"/>
      <c r="G29" s="168"/>
      <c r="H29" s="168"/>
      <c r="I29" s="169"/>
      <c r="J29" s="168"/>
    </row>
    <row r="30" spans="1:10" ht="15">
      <c r="A30" s="176" t="s">
        <v>146</v>
      </c>
      <c r="B30" s="172" t="s">
        <v>164</v>
      </c>
      <c r="C30" s="163"/>
      <c r="D30" s="163"/>
      <c r="E30" s="168"/>
      <c r="F30" s="168"/>
      <c r="G30" s="170">
        <f>E28-G26</f>
        <v>11704667</v>
      </c>
      <c r="H30" s="175"/>
      <c r="I30" s="169"/>
      <c r="J30" s="168"/>
    </row>
    <row r="31" spans="1:10" ht="15">
      <c r="A31" s="176"/>
      <c r="B31" s="176"/>
      <c r="C31" s="172"/>
      <c r="D31" s="163"/>
      <c r="E31" s="163"/>
      <c r="F31" s="163"/>
      <c r="G31" s="180"/>
      <c r="H31" s="181"/>
      <c r="I31" s="176"/>
      <c r="J31" s="163"/>
    </row>
    <row r="32" spans="1:10" ht="15">
      <c r="A32" s="176" t="s">
        <v>147</v>
      </c>
      <c r="B32" s="163" t="s">
        <v>165</v>
      </c>
      <c r="C32" s="163"/>
      <c r="D32" s="163"/>
      <c r="E32" s="163"/>
      <c r="F32" s="163"/>
      <c r="G32" s="182">
        <f>IF(G30&gt;0,G26/G30,0)</f>
        <v>0.0021911772457943487</v>
      </c>
      <c r="H32" s="181"/>
      <c r="I32" s="163"/>
      <c r="J32" s="163"/>
    </row>
    <row r="33" spans="1:10" ht="15">
      <c r="A33" s="176"/>
      <c r="B33" s="176"/>
      <c r="C33" s="163"/>
      <c r="D33" s="163"/>
      <c r="E33" s="163"/>
      <c r="F33" s="163"/>
      <c r="G33" s="181"/>
      <c r="H33" s="181"/>
      <c r="I33" s="163"/>
      <c r="J33" s="163"/>
    </row>
    <row r="34" spans="1:10" ht="15">
      <c r="A34" s="176" t="s">
        <v>148</v>
      </c>
      <c r="B34" s="163" t="s">
        <v>166</v>
      </c>
      <c r="C34" s="163"/>
      <c r="D34" s="163"/>
      <c r="E34" s="163"/>
      <c r="F34" s="163"/>
      <c r="G34" s="181"/>
      <c r="H34" s="183" t="s">
        <v>129</v>
      </c>
      <c r="I34" s="163" t="s">
        <v>130</v>
      </c>
      <c r="J34" s="170">
        <f>ROUND(G32*J7,0)</f>
        <v>1551</v>
      </c>
    </row>
    <row r="35" spans="1:10" ht="15">
      <c r="A35" s="176"/>
      <c r="B35" s="176"/>
      <c r="C35" s="163"/>
      <c r="D35" s="163"/>
      <c r="E35" s="163"/>
      <c r="F35" s="163"/>
      <c r="G35" s="181"/>
      <c r="H35" s="183"/>
      <c r="I35" s="163"/>
      <c r="J35" s="175"/>
    </row>
    <row r="36" spans="1:10" ht="15.75" thickBot="1">
      <c r="A36" s="176" t="s">
        <v>149</v>
      </c>
      <c r="B36" s="172" t="s">
        <v>172</v>
      </c>
      <c r="C36" s="163"/>
      <c r="D36" s="163"/>
      <c r="E36" s="163"/>
      <c r="F36" s="163"/>
      <c r="G36" s="163"/>
      <c r="H36" s="163"/>
      <c r="I36" s="163" t="s">
        <v>130</v>
      </c>
      <c r="J36" s="184">
        <f>J7+J34</f>
        <v>709205</v>
      </c>
    </row>
    <row r="37" spans="1:10" ht="15.75" thickTop="1">
      <c r="A37" s="163"/>
      <c r="B37" s="163"/>
      <c r="C37" s="163"/>
      <c r="D37" s="163"/>
      <c r="E37" s="163"/>
      <c r="F37" s="163"/>
      <c r="G37" s="163"/>
      <c r="H37" s="163"/>
      <c r="I37" s="163"/>
      <c r="J37" s="163"/>
    </row>
    <row r="38" spans="1:10" ht="15">
      <c r="A38" s="176" t="s">
        <v>170</v>
      </c>
      <c r="B38" s="172" t="str">
        <f>CONCATENATE("Debt Service in this ",J1," Budget")</f>
        <v>Debt Service in this 2012 Budget</v>
      </c>
      <c r="C38" s="163"/>
      <c r="D38" s="163"/>
      <c r="E38" s="163"/>
      <c r="F38" s="163"/>
      <c r="G38" s="163"/>
      <c r="H38" s="163"/>
      <c r="I38" s="163"/>
      <c r="J38" s="185">
        <f>'DebtSvs-levy page 8'!E42</f>
        <v>141740</v>
      </c>
    </row>
    <row r="39" spans="1:10" ht="15">
      <c r="A39" s="176"/>
      <c r="B39" s="172"/>
      <c r="C39" s="163"/>
      <c r="D39" s="163"/>
      <c r="E39" s="163"/>
      <c r="F39" s="163"/>
      <c r="G39" s="163"/>
      <c r="H39" s="163"/>
      <c r="I39" s="163"/>
      <c r="J39" s="181"/>
    </row>
    <row r="40" spans="1:10" ht="15.75" thickBot="1">
      <c r="A40" s="176" t="s">
        <v>171</v>
      </c>
      <c r="B40" s="172" t="s">
        <v>173</v>
      </c>
      <c r="C40" s="163"/>
      <c r="D40" s="163"/>
      <c r="E40" s="163"/>
      <c r="F40" s="163"/>
      <c r="G40" s="163"/>
      <c r="H40" s="163"/>
      <c r="I40" s="163"/>
      <c r="J40" s="184">
        <f>J36+J38</f>
        <v>850945</v>
      </c>
    </row>
    <row r="41" spans="1:10" ht="15.75" thickTop="1">
      <c r="A41" s="163"/>
      <c r="B41" s="163"/>
      <c r="C41" s="163"/>
      <c r="D41" s="163"/>
      <c r="E41" s="163"/>
      <c r="F41" s="163"/>
      <c r="G41" s="163"/>
      <c r="H41" s="163"/>
      <c r="I41" s="163"/>
      <c r="J41" s="163"/>
    </row>
    <row r="42" spans="1:10" s="186" customFormat="1" ht="18">
      <c r="A42" s="499" t="str">
        <f>CONCATENATE("If the ",J1," budget includes tax levies exceeding the total on line 15, you must")</f>
        <v>If the 2012 budget includes tax levies exceeding the total on line 15, you must</v>
      </c>
      <c r="B42" s="499"/>
      <c r="C42" s="499"/>
      <c r="D42" s="499"/>
      <c r="E42" s="499"/>
      <c r="F42" s="499"/>
      <c r="G42" s="499"/>
      <c r="H42" s="499"/>
      <c r="I42" s="499"/>
      <c r="J42" s="499"/>
    </row>
    <row r="43" spans="1:10" s="186" customFormat="1" ht="18">
      <c r="A43" s="499" t="s">
        <v>234</v>
      </c>
      <c r="B43" s="499"/>
      <c r="C43" s="499"/>
      <c r="D43" s="499"/>
      <c r="E43" s="499"/>
      <c r="F43" s="499"/>
      <c r="G43" s="499"/>
      <c r="H43" s="499"/>
      <c r="I43" s="499"/>
      <c r="J43" s="499"/>
    </row>
    <row r="44" spans="1:10" s="186" customFormat="1" ht="18">
      <c r="A44" s="499" t="s">
        <v>235</v>
      </c>
      <c r="B44" s="499"/>
      <c r="C44" s="499"/>
      <c r="D44" s="499"/>
      <c r="E44" s="499"/>
      <c r="F44" s="499"/>
      <c r="G44" s="499"/>
      <c r="H44" s="499"/>
      <c r="I44" s="499"/>
      <c r="J44" s="499"/>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89"/>
  <sheetViews>
    <sheetView zoomScalePageLayoutView="0" workbookViewId="0" topLeftCell="A1">
      <selection activeCell="D28" sqref="D28"/>
    </sheetView>
  </sheetViews>
  <sheetFormatPr defaultColWidth="8.8984375" defaultRowHeight="15"/>
  <cols>
    <col min="1" max="1" width="24.296875" style="33" customWidth="1"/>
    <col min="2" max="2" width="10.69921875" style="33" customWidth="1"/>
    <col min="3" max="3" width="5.69921875" style="33" customWidth="1"/>
    <col min="4" max="4" width="14" style="33" customWidth="1"/>
    <col min="5" max="5" width="13.296875" style="33" customWidth="1"/>
    <col min="6" max="6" width="12.296875" style="33" customWidth="1"/>
    <col min="7" max="16384" width="8.8984375" style="94" customWidth="1"/>
  </cols>
  <sheetData>
    <row r="1" spans="1:8" ht="15">
      <c r="A1" s="35"/>
      <c r="B1" s="35"/>
      <c r="C1" s="34" t="s">
        <v>114</v>
      </c>
      <c r="D1" s="35"/>
      <c r="E1" s="35"/>
      <c r="F1" s="126"/>
      <c r="H1" s="32">
        <f>inputPrYr!C5</f>
        <v>2012</v>
      </c>
    </row>
    <row r="2" spans="1:6" ht="15">
      <c r="A2" s="504" t="str">
        <f>CONCATENATE("To the Clerk of ",(inputPrYr!D3),", State of Kansas")</f>
        <v>To the Clerk of Ellsworth County, State of Kansas</v>
      </c>
      <c r="B2" s="491"/>
      <c r="C2" s="491"/>
      <c r="D2" s="491"/>
      <c r="E2" s="491"/>
      <c r="F2" s="491"/>
    </row>
    <row r="3" spans="1:6" ht="15">
      <c r="A3" s="128" t="s">
        <v>488</v>
      </c>
      <c r="B3" s="44"/>
      <c r="C3" s="44"/>
      <c r="D3" s="44"/>
      <c r="E3" s="44"/>
      <c r="F3" s="44"/>
    </row>
    <row r="4" spans="1:6" ht="15">
      <c r="A4" s="502" t="str">
        <f>(inputPrYr!D2)</f>
        <v>City of Ellsworth</v>
      </c>
      <c r="B4" s="503"/>
      <c r="C4" s="503"/>
      <c r="D4" s="503"/>
      <c r="E4" s="503"/>
      <c r="F4" s="503"/>
    </row>
    <row r="5" spans="1:6" ht="15">
      <c r="A5" s="128" t="s">
        <v>28</v>
      </c>
      <c r="B5" s="44"/>
      <c r="C5" s="44"/>
      <c r="D5" s="44"/>
      <c r="E5" s="44"/>
      <c r="F5" s="44"/>
    </row>
    <row r="6" spans="1:6" ht="15">
      <c r="A6" s="128" t="s">
        <v>29</v>
      </c>
      <c r="B6" s="44"/>
      <c r="C6" s="44"/>
      <c r="D6" s="44"/>
      <c r="E6" s="44"/>
      <c r="F6" s="44"/>
    </row>
    <row r="7" spans="1:6" ht="15">
      <c r="A7" s="128" t="str">
        <f>CONCATENATE("maximum expenditures for the various funds for the year ",H1,"; and")</f>
        <v>maximum expenditures for the various funds for the year 2012; and</v>
      </c>
      <c r="B7" s="44"/>
      <c r="C7" s="44"/>
      <c r="D7" s="44"/>
      <c r="E7" s="44"/>
      <c r="F7" s="44"/>
    </row>
    <row r="8" spans="1:6" ht="15">
      <c r="A8" s="128" t="str">
        <f>CONCATENATE("(3) the Amounts(s) of ",H1-1," Ad Valorem Tax are within statutory limitations.")</f>
        <v>(3) the Amounts(s) of 2011 Ad Valorem Tax are within statutory limitations.</v>
      </c>
      <c r="B8" s="44"/>
      <c r="C8" s="44"/>
      <c r="D8" s="44"/>
      <c r="E8" s="44"/>
      <c r="F8" s="44"/>
    </row>
    <row r="9" spans="1:6" ht="15">
      <c r="A9" s="35"/>
      <c r="B9" s="35"/>
      <c r="C9" s="35"/>
      <c r="D9" s="129" t="str">
        <f>CONCATENATE("",H1," Adopted Budget")</f>
        <v>2012 Adopted Budget</v>
      </c>
      <c r="E9" s="130"/>
      <c r="F9" s="131"/>
    </row>
    <row r="10" spans="1:6" ht="21" customHeight="1">
      <c r="A10" s="35"/>
      <c r="B10" s="35"/>
      <c r="C10" s="132"/>
      <c r="D10" s="133" t="s">
        <v>30</v>
      </c>
      <c r="E10" s="134" t="str">
        <f>CONCATENATE("Amount of ",H1-1,"")</f>
        <v>Amount of 2011</v>
      </c>
      <c r="F10" s="134" t="s">
        <v>31</v>
      </c>
    </row>
    <row r="11" spans="1:6" ht="15">
      <c r="A11" s="40"/>
      <c r="B11" s="35"/>
      <c r="C11" s="134" t="s">
        <v>32</v>
      </c>
      <c r="D11" s="409" t="s">
        <v>8</v>
      </c>
      <c r="E11" s="136" t="s">
        <v>217</v>
      </c>
      <c r="F11" s="135" t="s">
        <v>33</v>
      </c>
    </row>
    <row r="12" spans="1:6" ht="15">
      <c r="A12" s="137" t="s">
        <v>34</v>
      </c>
      <c r="B12" s="59"/>
      <c r="C12" s="138" t="s">
        <v>35</v>
      </c>
      <c r="D12" s="410" t="s">
        <v>495</v>
      </c>
      <c r="E12" s="139" t="s">
        <v>218</v>
      </c>
      <c r="F12" s="138" t="s">
        <v>36</v>
      </c>
    </row>
    <row r="13" spans="1:6" ht="15">
      <c r="A13" s="140" t="str">
        <f>CONCATENATE("Computation to Determine Limit for ",H1,"")</f>
        <v>Computation to Determine Limit for 2012</v>
      </c>
      <c r="B13" s="81"/>
      <c r="C13" s="141">
        <v>2</v>
      </c>
      <c r="D13" s="142"/>
      <c r="E13" s="142"/>
      <c r="F13" s="142"/>
    </row>
    <row r="14" spans="1:6" ht="15">
      <c r="A14" s="140" t="s">
        <v>5</v>
      </c>
      <c r="B14" s="59"/>
      <c r="C14" s="138">
        <v>3</v>
      </c>
      <c r="D14" s="135"/>
      <c r="E14" s="135"/>
      <c r="F14" s="135"/>
    </row>
    <row r="15" spans="1:6" ht="15">
      <c r="A15" s="140" t="s">
        <v>178</v>
      </c>
      <c r="B15" s="59"/>
      <c r="C15" s="138">
        <v>4</v>
      </c>
      <c r="D15" s="135"/>
      <c r="E15" s="135"/>
      <c r="F15" s="135"/>
    </row>
    <row r="16" spans="1:6" ht="15">
      <c r="A16" s="140" t="s">
        <v>37</v>
      </c>
      <c r="B16" s="81"/>
      <c r="C16" s="141">
        <v>5</v>
      </c>
      <c r="D16" s="143"/>
      <c r="E16" s="143"/>
      <c r="F16" s="143"/>
    </row>
    <row r="17" spans="1:6" ht="15">
      <c r="A17" s="140" t="s">
        <v>38</v>
      </c>
      <c r="B17" s="81"/>
      <c r="C17" s="141">
        <v>6</v>
      </c>
      <c r="D17" s="143"/>
      <c r="E17" s="143"/>
      <c r="F17" s="143"/>
    </row>
    <row r="18" spans="1:6" ht="15">
      <c r="A18" s="144" t="s">
        <v>39</v>
      </c>
      <c r="B18" s="145" t="s">
        <v>40</v>
      </c>
      <c r="C18" s="146"/>
      <c r="D18" s="147"/>
      <c r="E18" s="147"/>
      <c r="F18" s="147"/>
    </row>
    <row r="19" spans="1:6" ht="15">
      <c r="A19" s="52" t="s">
        <v>23</v>
      </c>
      <c r="B19" s="148" t="str">
        <f>IF(inputPrYr!C17&gt;0,(inputPrYr!C17),"  ")</f>
        <v>12-101a</v>
      </c>
      <c r="C19" s="141">
        <v>7</v>
      </c>
      <c r="D19" s="234">
        <f>IF(general!$E$106&lt;&gt;0,general!$E$106,"  ")</f>
        <v>1986547</v>
      </c>
      <c r="E19" s="473">
        <f>IF(general!$E$113&lt;&gt;0,general!$E$113,0)</f>
        <v>608256</v>
      </c>
      <c r="F19" s="415">
        <f>IF($F$47=0,"",ROUND(E19/$F$47*1000,3))</f>
      </c>
    </row>
    <row r="20" spans="1:6" ht="15">
      <c r="A20" s="52" t="s">
        <v>17</v>
      </c>
      <c r="B20" s="148" t="str">
        <f>IF(inputPrYr!C18&gt;0,(inputPrYr!C18),"  ")</f>
        <v>10-113</v>
      </c>
      <c r="C20" s="141">
        <f>IF('DebtSvs-levy page 8'!C74&gt;0,'DebtSvs-levy page 8'!C74,"  ")</f>
        <v>8</v>
      </c>
      <c r="D20" s="234">
        <f>IF('DebtSvs-levy page 8'!E35&lt;&gt;0,'DebtSvs-levy page 8'!E35,"  ")</f>
        <v>606277</v>
      </c>
      <c r="E20" s="473">
        <f>IF('DebtSvs-levy page 8'!E42&lt;&gt;0,'DebtSvs-levy page 8'!E42,0)</f>
        <v>141740</v>
      </c>
      <c r="F20" s="415">
        <f>IF($F$47=0,"",ROUND(E20/$F$47*1000,3))</f>
      </c>
    </row>
    <row r="21" spans="1:9" ht="15">
      <c r="A21" s="75" t="str">
        <f>IF(inputPrYr!$B20&gt;"  ",(inputPrYr!$B20),"  ")</f>
        <v>Library</v>
      </c>
      <c r="B21" s="148" t="str">
        <f>IF(inputPrYr!C20&gt;0,(inputPrYr!C20),"  ")</f>
        <v>12-1220</v>
      </c>
      <c r="C21" s="141">
        <f>IF('DebtSvs-levy page 8'!C74&gt;0,'DebtSvs-levy page 8'!C74,"  ")</f>
        <v>8</v>
      </c>
      <c r="D21" s="234">
        <f>IF('DebtSvs-levy page 8'!E66&lt;&gt;0,'DebtSvs-levy page 8'!E66,"  ")</f>
        <v>109761</v>
      </c>
      <c r="E21" s="473">
        <f>IF('DebtSvs-levy page 8'!E73&lt;&gt;0,'DebtSvs-levy page 8'!E73,0)</f>
        <v>91347</v>
      </c>
      <c r="F21" s="415">
        <f>IF($F$47=0,"",ROUND(E21/$F$47*1000,3))</f>
      </c>
      <c r="H21" s="455"/>
      <c r="I21" s="455"/>
    </row>
    <row r="22" spans="1:9" ht="15">
      <c r="A22" s="75" t="str">
        <f>IF(inputPrYr!$B21&gt;"  ",(inputPrYr!$B21),"  ")</f>
        <v>Fire/Police</v>
      </c>
      <c r="B22" s="148" t="str">
        <f>IF(inputPrYr!C21&gt;0,(inputPrYr!C21),"  ")</f>
        <v>12-110b</v>
      </c>
      <c r="C22" s="141">
        <f>IF('levy page9'!C77&gt;0,'levy page9'!C77,"  ")</f>
        <v>9</v>
      </c>
      <c r="D22" s="234">
        <f>IF('levy page9'!$E$32&gt;0,'levy page9'!$E$32,"  ")</f>
        <v>49185</v>
      </c>
      <c r="E22" s="473">
        <f>IF('levy page9'!E39&lt;&gt;0,'levy page9'!E39,0)</f>
        <v>36839</v>
      </c>
      <c r="F22" s="415">
        <f>IF($F$47=0,"",ROUND(E22/$F$47*1000,3))</f>
      </c>
      <c r="H22" s="455"/>
      <c r="I22" s="455"/>
    </row>
    <row r="23" spans="1:6" ht="15">
      <c r="A23" s="149" t="str">
        <f>IF(inputPrYr!$B28&gt;"  ",(inputPrYr!$B28),"  ")</f>
        <v>Special Highway</v>
      </c>
      <c r="B23" s="150"/>
      <c r="C23" s="151">
        <f>IF('Sp Hiway'!C67&gt;0,'Sp Hiway'!C67,"  ")</f>
        <v>10</v>
      </c>
      <c r="D23" s="234">
        <f>IF('Sp Hiway'!$E$30&gt;0,'Sp Hiway'!$E$30,"  ")</f>
        <v>104096</v>
      </c>
      <c r="E23" s="234"/>
      <c r="F23" s="146"/>
    </row>
    <row r="24" spans="1:6" ht="15">
      <c r="A24" s="149" t="str">
        <f>IF(inputPrYr!$B29&gt;"  ",(inputPrYr!$B29),"  ")</f>
        <v>Special Parks &amp; Recreation</v>
      </c>
      <c r="B24" s="150"/>
      <c r="C24" s="151">
        <f>IF('Sp Hiway'!C67&gt;0,'Sp Hiway'!C67,"  ")</f>
        <v>10</v>
      </c>
      <c r="D24" s="234">
        <f>IF('Sp Hiway'!$E$61&gt;0,'Sp Hiway'!$E$61,"  ")</f>
        <v>5219</v>
      </c>
      <c r="E24" s="234"/>
      <c r="F24" s="146"/>
    </row>
    <row r="25" spans="1:6" ht="15">
      <c r="A25" s="149" t="str">
        <f>IF(inputPrYr!$B30&gt;"  ",(inputPrYr!$B30),"  ")</f>
        <v>Solid Waste</v>
      </c>
      <c r="B25" s="152"/>
      <c r="C25" s="151">
        <f>IF('no levy page11'!C66&gt;0,'no levy page11'!C66,"  ")</f>
        <v>11</v>
      </c>
      <c r="D25" s="234">
        <f>IF('no levy page11'!$E$19&gt;0,'no levy page11'!$E$19,"  ")</f>
        <v>155187</v>
      </c>
      <c r="E25" s="234"/>
      <c r="F25" s="146"/>
    </row>
    <row r="26" spans="1:6" ht="15">
      <c r="A26" s="149" t="str">
        <f>IF(inputPrYr!$B31&gt;"  ",(inputPrYr!$B31),"  ")</f>
        <v>Capital Improvement</v>
      </c>
      <c r="B26" s="150"/>
      <c r="C26" s="151">
        <f>IF('no levy page11'!C66&gt;0,'no levy page11'!C66,"  ")</f>
        <v>11</v>
      </c>
      <c r="D26" s="234">
        <f>IF('no levy page11'!$E$60&gt;0,'no levy page11'!$E$60,"  ")</f>
        <v>923352</v>
      </c>
      <c r="E26" s="234"/>
      <c r="F26" s="146"/>
    </row>
    <row r="27" spans="1:6" ht="15">
      <c r="A27" s="149" t="str">
        <f>IF(inputPrYr!$B32&gt;"  ",(inputPrYr!$B32),"  ")</f>
        <v>Municipal Equipment Reserve</v>
      </c>
      <c r="B27" s="152"/>
      <c r="C27" s="151">
        <f>IF('no levy page12'!C64&gt;0,'no levy page12'!C64,"  ")</f>
        <v>12</v>
      </c>
      <c r="D27" s="234">
        <f>IF('no levy page12'!$E$34&gt;0,'no levy page12'!$E$34,"  ")</f>
        <v>315079</v>
      </c>
      <c r="E27" s="234"/>
      <c r="F27" s="146"/>
    </row>
    <row r="28" spans="1:6" ht="15">
      <c r="A28" s="149" t="str">
        <f>IF(inputPrYr!$B33&gt;"  ",(inputPrYr!$B33),"  ")</f>
        <v>Tourism &amp; Convention</v>
      </c>
      <c r="B28" s="153"/>
      <c r="C28" s="151">
        <f>IF('no levy page12'!C64&gt;0,'no levy page12'!C64,"  ")</f>
        <v>12</v>
      </c>
      <c r="D28" s="234">
        <f>IF('no levy page12'!$E$58&gt;0,'no levy page12'!$E$58,"  ")</f>
        <v>28170</v>
      </c>
      <c r="E28" s="234"/>
      <c r="F28" s="146"/>
    </row>
    <row r="29" spans="1:6" ht="15">
      <c r="A29" s="149" t="str">
        <f>IF(inputPrYr!$B34&gt;"  ",(inputPrYr!$B34),"  ")</f>
        <v>Transportation District</v>
      </c>
      <c r="B29" s="153"/>
      <c r="C29" s="151">
        <f>IF('no levy page13'!C65&gt;0,'no levy page13'!C65,"  ")</f>
        <v>13</v>
      </c>
      <c r="D29" s="234">
        <f>IF('no levy page13'!$E$28&gt;0,'no levy page13'!$E$28,"  ")</f>
        <v>120000</v>
      </c>
      <c r="E29" s="234"/>
      <c r="F29" s="146"/>
    </row>
    <row r="30" spans="1:6" ht="15">
      <c r="A30" s="149" t="str">
        <f>IF(inputPrYr!$B35&gt;"  ",(inputPrYr!$B35),"  ")</f>
        <v>W/S Emergency Depreciation</v>
      </c>
      <c r="B30" s="153"/>
      <c r="C30" s="151">
        <f>IF('no levy page13'!C65&gt;0,'no levy page13'!C65,"  ")</f>
        <v>13</v>
      </c>
      <c r="D30" s="234">
        <f>IF('no levy page13'!$E$59&gt;0,'no levy page13'!$E$59,"  ")</f>
        <v>119140</v>
      </c>
      <c r="E30" s="234"/>
      <c r="F30" s="146"/>
    </row>
    <row r="31" spans="1:6" ht="15">
      <c r="A31" s="149" t="str">
        <f>IF(inputPrYr!$B36&gt;"  ",(inputPrYr!$B36),"  ")</f>
        <v>2007 TDD Project Fund</v>
      </c>
      <c r="B31" s="150"/>
      <c r="C31" s="151">
        <f>IF('no levy page14'!C65&gt;0,'no levy page14'!C65,"  ")</f>
        <v>14</v>
      </c>
      <c r="D31" s="234">
        <v>0</v>
      </c>
      <c r="E31" s="234"/>
      <c r="F31" s="146"/>
    </row>
    <row r="32" spans="1:6" ht="15">
      <c r="A32" s="149" t="str">
        <f>IF(inputPrYr!$B37&gt;"  ",(inputPrYr!$B37),"  ")</f>
        <v>2007 TDD Debt Service Reserve</v>
      </c>
      <c r="B32" s="150"/>
      <c r="C32" s="151">
        <f>IF('no levy page14'!C65&gt;0,'no levy page14'!C65,"  ")</f>
        <v>14</v>
      </c>
      <c r="D32" s="234">
        <f>IF('no levy page14'!$E$59&gt;0,'no levy page14'!$E$59,"  ")</f>
        <v>205501</v>
      </c>
      <c r="E32" s="234"/>
      <c r="F32" s="146"/>
    </row>
    <row r="33" spans="1:6" ht="15">
      <c r="A33" s="149" t="str">
        <f>IF(inputPrYr!$B38&gt;"  ",(inputPrYr!$B38),"  ")</f>
        <v>2007 TDD Cost of Issuance</v>
      </c>
      <c r="B33" s="150"/>
      <c r="C33" s="151">
        <f>IF('no levy page15'!C65&gt;0,'no levy page15'!C65,"  ")</f>
        <v>15</v>
      </c>
      <c r="D33" s="234">
        <v>0</v>
      </c>
      <c r="E33" s="234"/>
      <c r="F33" s="146"/>
    </row>
    <row r="34" spans="1:6" ht="15">
      <c r="A34" s="149" t="str">
        <f>IF(inputPrYr!$B39&gt;"  ",(inputPrYr!$B39),"  ")</f>
        <v>2007 TDD Prinicpal &amp; Interest</v>
      </c>
      <c r="B34" s="150"/>
      <c r="C34" s="151">
        <f>IF('no levy page15'!C65&gt;0,'no levy page15'!C65,"  ")</f>
        <v>15</v>
      </c>
      <c r="D34" s="234">
        <f>IF('no levy page15'!$E$59&gt;0,'no levy page15'!$E$59,"  ")</f>
        <v>262555</v>
      </c>
      <c r="E34" s="234"/>
      <c r="F34" s="146"/>
    </row>
    <row r="35" spans="1:6" ht="15">
      <c r="A35" s="149" t="str">
        <f>IF(inputPrYr!$B40&gt;"  ",(inputPrYr!$B40),"  ")</f>
        <v>2011 Redemption</v>
      </c>
      <c r="B35" s="150"/>
      <c r="C35" s="151">
        <f>IF('no levy page16'!C65&gt;0,'no levy page16'!C65,"  ")</f>
        <v>16</v>
      </c>
      <c r="D35" s="234">
        <v>0</v>
      </c>
      <c r="E35" s="234"/>
      <c r="F35" s="146"/>
    </row>
    <row r="36" spans="1:6" ht="15">
      <c r="A36" s="149" t="str">
        <f>IF(inputPrYr!$B41&gt;"  ",(inputPrYr!$B41),"  ")</f>
        <v>2011 Cost of Issuance</v>
      </c>
      <c r="B36" s="150"/>
      <c r="C36" s="151">
        <f>IF('no levy page16'!C65&gt;0,'no levy page16'!C65,"  ")</f>
        <v>16</v>
      </c>
      <c r="D36" s="234">
        <v>0</v>
      </c>
      <c r="E36" s="234"/>
      <c r="F36" s="146"/>
    </row>
    <row r="37" spans="1:6" ht="15">
      <c r="A37" s="149" t="str">
        <f>IF(inputPrYr!$B42&gt;"  ",(inputPrYr!$B42),"  ")</f>
        <v>2011 Bond Compliance</v>
      </c>
      <c r="B37" s="150"/>
      <c r="C37" s="151">
        <f>IF('no levy page17'!C65&gt;0,'no levy page17'!C65,"  ")</f>
        <v>17</v>
      </c>
      <c r="D37" s="234">
        <f>IF('no levy page17'!$E$28&gt;0,'no levy page17'!$E$28,"  ")</f>
        <v>3641</v>
      </c>
      <c r="E37" s="234"/>
      <c r="F37" s="146"/>
    </row>
    <row r="38" spans="1:6" ht="15">
      <c r="A38" s="149" t="str">
        <f>IF(inputPrYr!$B43&gt;"  ",(inputPrYr!$B43),"  ")</f>
        <v>Water/Sewer Improvement</v>
      </c>
      <c r="B38" s="477"/>
      <c r="C38" s="151">
        <f>IF('no levy page17'!C65&gt;0,'no levy page17'!C65,"  ")</f>
        <v>17</v>
      </c>
      <c r="D38" s="234">
        <f>IF('no levy page17'!$E$59&gt;0,'no levy page17'!$E$59,"  ")</f>
        <v>378845</v>
      </c>
      <c r="E38" s="234"/>
      <c r="F38" s="146"/>
    </row>
    <row r="39" spans="1:6" ht="15">
      <c r="A39" s="149" t="str">
        <f>IF(inputPrYr!$B44&gt;"  ",(inputPrYr!$B44),"  ")</f>
        <v>W/W Treatment Plant Imp</v>
      </c>
      <c r="B39" s="153"/>
      <c r="C39" s="151">
        <f>IF('no levy page18'!C65&gt;0,'no levy page18'!C65,"  ")</f>
        <v>18</v>
      </c>
      <c r="D39" s="234">
        <v>0</v>
      </c>
      <c r="E39" s="234"/>
      <c r="F39" s="146"/>
    </row>
    <row r="40" spans="1:6" ht="15">
      <c r="A40" s="149" t="str">
        <f>IF(inputPrYr!$B45&gt;"  ",(inputPrYr!$B45),"  ")</f>
        <v>2009 Temp Note Debt Service</v>
      </c>
      <c r="B40" s="153"/>
      <c r="C40" s="151">
        <f>IF('no levy page18'!C65&gt;0,'no levy page18'!C65,"  ")</f>
        <v>18</v>
      </c>
      <c r="D40" s="234">
        <v>0</v>
      </c>
      <c r="E40" s="234"/>
      <c r="F40" s="146"/>
    </row>
    <row r="41" spans="1:6" ht="15">
      <c r="A41" s="149" t="str">
        <f>IF(inputPrYr!$B46&gt;"  ",(inputPrYr!$B46),"  ")</f>
        <v>2009 Temp Note Cost of Issuance</v>
      </c>
      <c r="B41" s="153"/>
      <c r="C41" s="151">
        <f>IF('no levy page19'!C65&gt;0,'no levy page19'!C65,"  ")</f>
        <v>19</v>
      </c>
      <c r="D41" s="234">
        <v>0</v>
      </c>
      <c r="E41" s="234"/>
      <c r="F41" s="146"/>
    </row>
    <row r="42" spans="1:6" ht="15">
      <c r="A42" s="149" t="str">
        <f>IF(inputPrYr!$B47&gt;"  ",(inputPrYr!$B47),"  ")</f>
        <v>2009 Temp Note Improvement</v>
      </c>
      <c r="B42" s="153"/>
      <c r="C42" s="151">
        <f>IF('no levy page19'!C65&gt;0,'no levy page19'!C65,"  ")</f>
        <v>19</v>
      </c>
      <c r="D42" s="234">
        <v>0</v>
      </c>
      <c r="E42" s="234"/>
      <c r="F42" s="146"/>
    </row>
    <row r="43" spans="1:6" ht="15">
      <c r="A43" s="149" t="str">
        <f>IF(inputPrYr!$B50&gt;"  ",(inputPrYr!$B50),"  ")</f>
        <v>Water/Sewer</v>
      </c>
      <c r="B43" s="150"/>
      <c r="C43" s="151">
        <v>20</v>
      </c>
      <c r="D43" s="234">
        <f>IF(SinNoLevy20!$E$66&gt;0,SinNoLevy20!$E$66,"  ")</f>
        <v>1209370</v>
      </c>
      <c r="E43" s="234"/>
      <c r="F43" s="146"/>
    </row>
    <row r="44" spans="1:6" ht="15">
      <c r="A44" s="149" t="str">
        <f>IF(inputPrYr!$B51&gt;"  ",(inputPrYr!$B51),"  ")</f>
        <v>Recreation &amp; Pool</v>
      </c>
      <c r="B44" s="150"/>
      <c r="C44" s="151">
        <f>IF(SinNoLevy21!C52&gt;0,SinNoLevy21!C52,"  ")</f>
        <v>21</v>
      </c>
      <c r="D44" s="234">
        <f>IF(SinNoLevy21!$E$46&gt;0,SinNoLevy21!$E$46,"  ")</f>
        <v>195226</v>
      </c>
      <c r="E44" s="234"/>
      <c r="F44" s="146"/>
    </row>
    <row r="45" spans="1:6" ht="15">
      <c r="A45" s="375" t="s">
        <v>502</v>
      </c>
      <c r="B45" s="81"/>
      <c r="C45" s="252" t="s">
        <v>42</v>
      </c>
      <c r="D45" s="419">
        <f>SUM(D19:D44)</f>
        <v>6777151</v>
      </c>
      <c r="E45" s="419">
        <f>SUM(E19:E44)</f>
        <v>878182</v>
      </c>
      <c r="F45" s="420">
        <f>IF(SUM(F19:F44)=0,"",SUM(F19:F44))</f>
      </c>
    </row>
    <row r="46" spans="1:6" ht="15">
      <c r="A46" s="154" t="s">
        <v>250</v>
      </c>
      <c r="B46" s="155"/>
      <c r="C46" s="156"/>
      <c r="D46" s="157"/>
      <c r="E46" s="158" t="str">
        <f>IF(E45&gt;computation!J40,"Yes","No")</f>
        <v>Yes</v>
      </c>
      <c r="F46" s="407" t="s">
        <v>182</v>
      </c>
    </row>
    <row r="47" spans="1:6" ht="15">
      <c r="A47" s="140" t="s">
        <v>249</v>
      </c>
      <c r="B47" s="81"/>
      <c r="C47" s="141">
        <f>summ!D59</f>
        <v>22</v>
      </c>
      <c r="D47" s="35"/>
      <c r="E47" s="35"/>
      <c r="F47" s="421"/>
    </row>
    <row r="48" spans="1:6" ht="15">
      <c r="A48" s="140" t="s">
        <v>11</v>
      </c>
      <c r="B48" s="81"/>
      <c r="C48" s="141">
        <f>IF(nhood!C33&gt;0,nhood!C33,"")</f>
        <v>23</v>
      </c>
      <c r="D48" s="35"/>
      <c r="E48" s="35"/>
      <c r="F48" s="507" t="str">
        <f>CONCATENATE("Nov 1, ",H1-1," Total Assessed Valuation")</f>
        <v>Nov 1, 2011 Total Assessed Valuation</v>
      </c>
    </row>
    <row r="49" spans="1:6" ht="15">
      <c r="A49" s="64"/>
      <c r="B49" s="64"/>
      <c r="C49" s="64"/>
      <c r="D49" s="64"/>
      <c r="E49" s="64"/>
      <c r="F49" s="508"/>
    </row>
    <row r="50" spans="1:6" ht="15">
      <c r="A50" s="63" t="s">
        <v>43</v>
      </c>
      <c r="B50" s="64"/>
      <c r="C50" s="35"/>
      <c r="D50" s="283"/>
      <c r="E50" s="64"/>
      <c r="F50" s="64"/>
    </row>
    <row r="51" spans="1:6" ht="15">
      <c r="A51" s="315"/>
      <c r="B51" s="64"/>
      <c r="C51" s="35"/>
      <c r="D51" s="283"/>
      <c r="E51" s="64"/>
      <c r="F51" s="64"/>
    </row>
    <row r="52" spans="1:6" ht="15">
      <c r="A52" s="316"/>
      <c r="B52" s="35"/>
      <c r="C52" s="348"/>
      <c r="D52" s="347"/>
      <c r="E52" s="101"/>
      <c r="F52" s="101"/>
    </row>
    <row r="53" spans="1:6" ht="15">
      <c r="A53" s="63" t="s">
        <v>196</v>
      </c>
      <c r="B53" s="64"/>
      <c r="C53" s="60"/>
      <c r="D53" s="480"/>
      <c r="E53" s="480"/>
      <c r="F53" s="480"/>
    </row>
    <row r="54" spans="1:6" ht="15">
      <c r="A54" s="315"/>
      <c r="B54" s="159"/>
      <c r="C54" s="101"/>
      <c r="D54" s="101"/>
      <c r="E54" s="408"/>
      <c r="F54" s="408"/>
    </row>
    <row r="55" spans="1:6" ht="15">
      <c r="A55" s="316"/>
      <c r="B55" s="159"/>
      <c r="C55" s="60"/>
      <c r="D55" s="60"/>
      <c r="E55" s="481"/>
      <c r="F55" s="481"/>
    </row>
    <row r="56" spans="1:6" ht="15">
      <c r="A56" s="316"/>
      <c r="B56" s="160"/>
      <c r="C56" s="60"/>
      <c r="D56" s="60"/>
      <c r="E56" s="483"/>
      <c r="F56" s="483"/>
    </row>
    <row r="57" spans="1:6" ht="15">
      <c r="A57" s="459" t="s">
        <v>2</v>
      </c>
      <c r="B57" s="161">
        <f>H1-1</f>
        <v>2011</v>
      </c>
      <c r="C57" s="64"/>
      <c r="D57" s="64"/>
      <c r="E57" s="482"/>
      <c r="F57" s="482"/>
    </row>
    <row r="58" spans="1:6" ht="15">
      <c r="A58" s="283"/>
      <c r="B58" s="161"/>
      <c r="C58" s="64"/>
      <c r="D58" s="64"/>
      <c r="E58" s="128"/>
      <c r="F58" s="35"/>
    </row>
    <row r="59" spans="1:6" ht="15">
      <c r="A59" s="460"/>
      <c r="B59" s="35"/>
      <c r="C59" s="64"/>
      <c r="D59" s="64"/>
      <c r="E59" s="64"/>
      <c r="F59" s="64"/>
    </row>
    <row r="60" spans="1:6" ht="15">
      <c r="A60" s="127" t="s">
        <v>45</v>
      </c>
      <c r="B60" s="35"/>
      <c r="C60" s="505" t="s">
        <v>44</v>
      </c>
      <c r="D60" s="506"/>
      <c r="E60" s="506"/>
      <c r="F60" s="506"/>
    </row>
    <row r="61" ht="15">
      <c r="A61" s="32"/>
    </row>
    <row r="71" spans="1:6" ht="15">
      <c r="A71" s="94"/>
      <c r="B71" s="94"/>
      <c r="C71" s="94"/>
      <c r="D71" s="94"/>
      <c r="E71" s="94"/>
      <c r="F71" s="94"/>
    </row>
    <row r="72" spans="1:6" ht="15">
      <c r="A72" s="94"/>
      <c r="B72" s="94"/>
      <c r="C72" s="94"/>
      <c r="D72" s="94"/>
      <c r="E72" s="94"/>
      <c r="F72" s="94"/>
    </row>
    <row r="73" spans="1:6" ht="15">
      <c r="A73" s="94"/>
      <c r="B73" s="94"/>
      <c r="C73" s="94"/>
      <c r="D73" s="94"/>
      <c r="E73" s="94"/>
      <c r="F73" s="94"/>
    </row>
    <row r="74" spans="1:6" ht="15">
      <c r="A74" s="94"/>
      <c r="B74" s="94"/>
      <c r="C74" s="94"/>
      <c r="D74" s="94"/>
      <c r="E74" s="94"/>
      <c r="F74" s="94"/>
    </row>
    <row r="75" spans="1:6" ht="15">
      <c r="A75" s="94"/>
      <c r="B75" s="94"/>
      <c r="C75" s="94"/>
      <c r="D75" s="94"/>
      <c r="E75" s="94"/>
      <c r="F75" s="94"/>
    </row>
    <row r="76" spans="1:6" ht="15">
      <c r="A76" s="94"/>
      <c r="B76" s="94"/>
      <c r="C76" s="94"/>
      <c r="D76" s="94"/>
      <c r="E76" s="94"/>
      <c r="F76" s="94"/>
    </row>
    <row r="77" spans="1:6" ht="15">
      <c r="A77" s="94"/>
      <c r="B77" s="94"/>
      <c r="C77" s="94"/>
      <c r="D77" s="94"/>
      <c r="E77" s="94"/>
      <c r="F77" s="94"/>
    </row>
    <row r="78" spans="1:6" ht="15">
      <c r="A78" s="94"/>
      <c r="B78" s="94"/>
      <c r="C78" s="94"/>
      <c r="D78" s="94"/>
      <c r="E78" s="94"/>
      <c r="F78" s="94"/>
    </row>
    <row r="79" spans="1:6" ht="15">
      <c r="A79" s="94"/>
      <c r="B79" s="94"/>
      <c r="C79" s="94"/>
      <c r="D79" s="94"/>
      <c r="E79" s="94"/>
      <c r="F79" s="94"/>
    </row>
    <row r="80" spans="1:6" ht="15">
      <c r="A80" s="94"/>
      <c r="B80" s="94"/>
      <c r="C80" s="94"/>
      <c r="D80" s="94"/>
      <c r="E80" s="94"/>
      <c r="F80" s="94"/>
    </row>
    <row r="81" spans="1:6" ht="15">
      <c r="A81" s="94"/>
      <c r="B81" s="94"/>
      <c r="C81" s="94"/>
      <c r="D81" s="94"/>
      <c r="E81" s="94"/>
      <c r="F81" s="94"/>
    </row>
    <row r="82" spans="1:6" ht="15">
      <c r="A82" s="94"/>
      <c r="B82" s="94"/>
      <c r="C82" s="94"/>
      <c r="D82" s="94"/>
      <c r="E82" s="94"/>
      <c r="F82" s="94"/>
    </row>
    <row r="83" spans="1:6" ht="15">
      <c r="A83" s="94"/>
      <c r="B83" s="94"/>
      <c r="C83" s="94"/>
      <c r="D83" s="94"/>
      <c r="E83" s="94"/>
      <c r="F83" s="94"/>
    </row>
    <row r="84" spans="1:6" ht="15">
      <c r="A84" s="94"/>
      <c r="B84" s="94"/>
      <c r="C84" s="94"/>
      <c r="D84" s="94"/>
      <c r="E84" s="94"/>
      <c r="F84" s="94"/>
    </row>
    <row r="85" spans="1:6" ht="15">
      <c r="A85" s="94"/>
      <c r="B85" s="94"/>
      <c r="C85" s="94"/>
      <c r="D85" s="94"/>
      <c r="E85" s="94"/>
      <c r="F85" s="94"/>
    </row>
    <row r="86" spans="1:6" ht="15">
      <c r="A86" s="94"/>
      <c r="B86" s="94"/>
      <c r="C86" s="94"/>
      <c r="D86" s="94"/>
      <c r="E86" s="94"/>
      <c r="F86" s="94"/>
    </row>
    <row r="89" spans="1:6" ht="15">
      <c r="A89" s="32"/>
      <c r="B89" s="32"/>
      <c r="C89" s="32"/>
      <c r="D89" s="32"/>
      <c r="E89" s="32"/>
      <c r="F89" s="32"/>
    </row>
  </sheetData>
  <sheetProtection/>
  <mergeCells count="4">
    <mergeCell ref="A4:F4"/>
    <mergeCell ref="A2:F2"/>
    <mergeCell ref="C60:F60"/>
    <mergeCell ref="F48:F49"/>
  </mergeCells>
  <printOptions/>
  <pageMargins left="0.5" right="0.5" top="1" bottom="0.5" header="0.5" footer="0.25"/>
  <pageSetup blackAndWhite="1" fitToHeight="1" fitToWidth="1" horizontalDpi="120" verticalDpi="120" orientation="portrait" scale="73"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B16" sqref="B16"/>
    </sheetView>
  </sheetViews>
  <sheetFormatPr defaultColWidth="8.8984375" defaultRowHeight="15"/>
  <cols>
    <col min="1" max="1" width="17.8984375" style="33" customWidth="1"/>
    <col min="2" max="2" width="16.09765625" style="33" customWidth="1"/>
    <col min="3" max="5" width="12.69921875" style="33" customWidth="1"/>
    <col min="6" max="6" width="10.19921875" style="33" customWidth="1"/>
    <col min="7" max="16384" width="8.8984375" style="33" customWidth="1"/>
  </cols>
  <sheetData>
    <row r="1" spans="1:6" ht="15">
      <c r="A1" s="187" t="str">
        <f>inputPrYr!D2</f>
        <v>City of Ellsworth</v>
      </c>
      <c r="B1" s="187"/>
      <c r="C1" s="35"/>
      <c r="D1" s="35"/>
      <c r="E1" s="35"/>
      <c r="F1" s="35">
        <f>inputPrYr!C5</f>
        <v>2012</v>
      </c>
    </row>
    <row r="2" spans="1:6" ht="15">
      <c r="A2" s="35"/>
      <c r="B2" s="35"/>
      <c r="C2" s="35"/>
      <c r="D2" s="35"/>
      <c r="E2" s="35"/>
      <c r="F2" s="35"/>
    </row>
    <row r="3" spans="1:6" ht="15">
      <c r="A3" s="509" t="s">
        <v>6</v>
      </c>
      <c r="B3" s="509"/>
      <c r="C3" s="509"/>
      <c r="D3" s="509"/>
      <c r="E3" s="509"/>
      <c r="F3" s="35"/>
    </row>
    <row r="4" spans="1:6" ht="15">
      <c r="A4" s="35"/>
      <c r="B4" s="188"/>
      <c r="C4" s="188"/>
      <c r="D4" s="188"/>
      <c r="E4" s="35"/>
      <c r="F4" s="35"/>
    </row>
    <row r="5" spans="1:6" ht="21" customHeight="1">
      <c r="A5" s="189" t="s">
        <v>233</v>
      </c>
      <c r="B5" s="190" t="s">
        <v>232</v>
      </c>
      <c r="C5" s="510" t="str">
        <f>CONCATENATE("Allocation for Year ",F1,"")</f>
        <v>Allocation for Year 2012</v>
      </c>
      <c r="D5" s="511"/>
      <c r="E5" s="511"/>
      <c r="F5" s="512"/>
    </row>
    <row r="6" spans="1:6" ht="15">
      <c r="A6" s="191" t="str">
        <f>CONCATENATE("for ",F1-1,"")</f>
        <v>for 2011</v>
      </c>
      <c r="B6" s="191" t="str">
        <f>CONCATENATE("for ",F1-2,"")</f>
        <v>for 2010</v>
      </c>
      <c r="C6" s="138" t="s">
        <v>123</v>
      </c>
      <c r="D6" s="138" t="s">
        <v>124</v>
      </c>
      <c r="E6" s="138" t="s">
        <v>122</v>
      </c>
      <c r="F6" s="146" t="s">
        <v>204</v>
      </c>
    </row>
    <row r="7" spans="1:6" ht="15">
      <c r="A7" s="75" t="str">
        <f>(inputPrYr!B17)</f>
        <v>General</v>
      </c>
      <c r="B7" s="141">
        <f>(inputPrYr!E17)</f>
        <v>619298</v>
      </c>
      <c r="C7" s="141">
        <f>IF(inputPrYr!E17=0,0,C14-SUM(C8:C11))</f>
        <v>99350</v>
      </c>
      <c r="D7" s="141">
        <f>IF(inputPrYr!E17=0,0,D15-SUM(D8:D11))</f>
        <v>1726</v>
      </c>
      <c r="E7" s="141">
        <f>IF(inputPrYr!E17=0,0,E16-SUM(E8:E11))</f>
        <v>882</v>
      </c>
      <c r="F7" s="141">
        <f>IF(inputPrYr!E17=0,0,F17-SUM(F8:F11))</f>
        <v>0</v>
      </c>
    </row>
    <row r="8" spans="1:6" ht="15">
      <c r="A8" s="75" t="str">
        <f>IF(inputPrYr!$B18&gt;"  ",(inputPrYr!$B18),"  ")</f>
        <v>Debt Service</v>
      </c>
      <c r="B8" s="141">
        <f>IF(inputPrYr!$E18&gt;0,(inputPrYr!$E18),"  ")</f>
        <v>156649</v>
      </c>
      <c r="C8" s="141">
        <f>IF(inputPrYr!E18&gt;0,ROUND(B8*$C$18,0),"  ")</f>
        <v>25130</v>
      </c>
      <c r="D8" s="141">
        <f>IF(inputPrYr!E18&gt;0,ROUND(+B8*D$19,0)," ")</f>
        <v>436</v>
      </c>
      <c r="E8" s="141">
        <f>IF(inputPrYr!E18&gt;0,ROUND(B8*E$20,0)," ")</f>
        <v>223</v>
      </c>
      <c r="F8" s="141">
        <f>IF(inputPrYr!E18&gt;0,ROUND(B8*F$21,0)," ")</f>
        <v>0</v>
      </c>
    </row>
    <row r="9" spans="1:6" ht="15">
      <c r="A9" s="75" t="str">
        <f>IF(inputPrYr!$B20&gt;"  ",(inputPrYr!$B20),"  ")</f>
        <v>Library</v>
      </c>
      <c r="B9" s="141">
        <f>IF(inputPrYr!$E20&gt;0,(inputPrYr!$E20),"  ")</f>
        <v>84856</v>
      </c>
      <c r="C9" s="141">
        <f>IF(inputPrYr!E20&gt;0,ROUND(B9*$C$18,0),"  ")</f>
        <v>13613</v>
      </c>
      <c r="D9" s="141">
        <f>IF(inputPrYr!E20&gt;0,ROUND(+B9*D$19,0)," ")</f>
        <v>236</v>
      </c>
      <c r="E9" s="141">
        <f>IF(inputPrYr!E20&gt;0,ROUND(+B9*E$20,0)," ")</f>
        <v>121</v>
      </c>
      <c r="F9" s="141">
        <f>IF(inputPrYr!E20&gt;0,ROUND(+B9*F$21,0)," ")</f>
        <v>0</v>
      </c>
    </row>
    <row r="10" spans="1:6" ht="15">
      <c r="A10" s="75" t="str">
        <f>IF(inputPrYr!$B21&gt;"  ",(inputPrYr!$B21),"  ")</f>
        <v>Fire/Police</v>
      </c>
      <c r="B10" s="141">
        <f>IF(inputPrYr!$E21&gt;0,(inputPrYr!$E21),"  ")</f>
        <v>3500</v>
      </c>
      <c r="C10" s="141">
        <f>IF(inputPrYr!E21&gt;0,ROUND(B10*$C$18,0),"  ")</f>
        <v>561</v>
      </c>
      <c r="D10" s="141">
        <f>IF(inputPrYr!E21&gt;0,ROUND(+B10*D$19,0)," ")</f>
        <v>10</v>
      </c>
      <c r="E10" s="141">
        <f>IF(inputPrYr!E21&gt;0,ROUND(+B10*E$20,0)," ")</f>
        <v>5</v>
      </c>
      <c r="F10" s="141">
        <f>IF(inputPrYr!E21&gt;0,ROUND(+B10*F$21,0)," ")</f>
        <v>0</v>
      </c>
    </row>
    <row r="11" spans="1:6" ht="15">
      <c r="A11" s="75" t="str">
        <f>IF(inputPrYr!$B22&gt;"  ",(inputPrYr!$B22),"  ")</f>
        <v>  </v>
      </c>
      <c r="B11" s="141" t="str">
        <f>IF(inputPrYr!$E22&gt;0,(inputPrYr!$E22),"  ")</f>
        <v>  </v>
      </c>
      <c r="C11" s="141" t="str">
        <f>IF(inputPrYr!E22&gt;0,ROUND(B11*$C$18,0),"  ")</f>
        <v>  </v>
      </c>
      <c r="D11" s="141" t="str">
        <f>IF(inputPrYr!E22&gt;0,ROUND(+B11*D$19,0)," ")</f>
        <v> </v>
      </c>
      <c r="E11" s="141" t="str">
        <f>IF(inputPrYr!E22&gt;0,ROUND(+B11*E$20,0)," ")</f>
        <v> </v>
      </c>
      <c r="F11" s="141" t="str">
        <f>IF(inputPrYr!E22&gt;0,ROUND(+B11*F$21,0)," ")</f>
        <v> </v>
      </c>
    </row>
    <row r="12" spans="1:6" ht="15.75" thickBot="1">
      <c r="A12" s="35" t="s">
        <v>48</v>
      </c>
      <c r="B12" s="192">
        <f>SUM(B7:B11)</f>
        <v>864303</v>
      </c>
      <c r="C12" s="192">
        <f>SUM(C7:C11)</f>
        <v>138654</v>
      </c>
      <c r="D12" s="192">
        <f>SUM(D7:D11)</f>
        <v>2408</v>
      </c>
      <c r="E12" s="192">
        <f>SUM(E7:E11)</f>
        <v>1231</v>
      </c>
      <c r="F12" s="193">
        <f>SUM(F7:F11)</f>
        <v>0</v>
      </c>
    </row>
    <row r="13" spans="1:6" ht="15.75" thickTop="1">
      <c r="A13" s="35"/>
      <c r="B13" s="65"/>
      <c r="C13" s="65"/>
      <c r="D13" s="65"/>
      <c r="E13" s="65"/>
      <c r="F13" s="35"/>
    </row>
    <row r="14" spans="1:6" ht="15">
      <c r="A14" s="40" t="s">
        <v>49</v>
      </c>
      <c r="B14" s="194"/>
      <c r="C14" s="195">
        <f>(inputOth!E33)</f>
        <v>138654</v>
      </c>
      <c r="D14" s="194"/>
      <c r="E14" s="35"/>
      <c r="F14" s="35"/>
    </row>
    <row r="15" spans="1:6" ht="15">
      <c r="A15" s="40" t="s">
        <v>50</v>
      </c>
      <c r="B15" s="35"/>
      <c r="C15" s="35"/>
      <c r="D15" s="195">
        <f>(inputOth!E34)</f>
        <v>2408</v>
      </c>
      <c r="E15" s="35"/>
      <c r="F15" s="35"/>
    </row>
    <row r="16" spans="1:6" ht="15">
      <c r="A16" s="40" t="s">
        <v>125</v>
      </c>
      <c r="B16" s="35"/>
      <c r="C16" s="35"/>
      <c r="D16" s="35"/>
      <c r="E16" s="195">
        <f>inputOth!E35</f>
        <v>1231</v>
      </c>
      <c r="F16" s="35"/>
    </row>
    <row r="17" spans="1:6" ht="15">
      <c r="A17" s="40" t="s">
        <v>3</v>
      </c>
      <c r="B17" s="35"/>
      <c r="C17" s="35"/>
      <c r="D17" s="35"/>
      <c r="E17" s="65"/>
      <c r="F17" s="174">
        <f>inputOth!E38</f>
        <v>0</v>
      </c>
    </row>
    <row r="18" spans="1:6" ht="15">
      <c r="A18" s="40" t="s">
        <v>51</v>
      </c>
      <c r="B18" s="35"/>
      <c r="C18" s="196">
        <f>IF(B12=0,0,C14/B12)</f>
        <v>0.16042290724433445</v>
      </c>
      <c r="D18" s="35"/>
      <c r="E18" s="35"/>
      <c r="F18" s="35"/>
    </row>
    <row r="19" spans="1:6" ht="15">
      <c r="A19" s="35"/>
      <c r="B19" s="40" t="s">
        <v>52</v>
      </c>
      <c r="C19" s="35"/>
      <c r="D19" s="196">
        <f>IF(B12=0,0,D15/B12)</f>
        <v>0.0027860599812797133</v>
      </c>
      <c r="E19" s="35"/>
      <c r="F19" s="35"/>
    </row>
    <row r="20" spans="1:6" ht="15">
      <c r="A20" s="35"/>
      <c r="B20" s="35"/>
      <c r="C20" s="40" t="s">
        <v>126</v>
      </c>
      <c r="D20" s="35"/>
      <c r="E20" s="196">
        <f>IF(B12=0,0,E16/B12)</f>
        <v>0.0014242690352804514</v>
      </c>
      <c r="F20" s="35"/>
    </row>
    <row r="21" spans="1:6" ht="15">
      <c r="A21" s="35"/>
      <c r="B21" s="35"/>
      <c r="C21" s="35"/>
      <c r="D21" s="35" t="s">
        <v>4</v>
      </c>
      <c r="E21" s="35"/>
      <c r="F21" s="196">
        <f>IF(B12=0,0,F17/B12)</f>
        <v>0</v>
      </c>
    </row>
    <row r="22" spans="1:6" ht="15">
      <c r="A22" s="56"/>
      <c r="B22" s="56"/>
      <c r="C22" s="56"/>
      <c r="D22" s="56"/>
      <c r="E22" s="56"/>
      <c r="F22" s="56"/>
    </row>
  </sheetData>
  <sheetProtection/>
  <mergeCells count="2">
    <mergeCell ref="A3:E3"/>
    <mergeCell ref="C5:F5"/>
  </mergeCells>
  <printOptions/>
  <pageMargins left="0.5" right="0.5" top="1" bottom="0.5" header="0.5" footer="0.5"/>
  <pageSetup blackAndWhite="1" fitToHeight="1" fitToWidth="1" horizontalDpi="120" verticalDpi="120" orientation="portrait" scale="97" r:id="rId1"/>
  <headerFooter alignWithMargins="0">
    <oddHeader>&amp;RState of Kansas
City
</oddHeader>
    <oddFooter>&amp;CPage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44"/>
  <sheetViews>
    <sheetView zoomScalePageLayoutView="0" workbookViewId="0" topLeftCell="A22">
      <selection activeCell="E39" sqref="E39"/>
    </sheetView>
  </sheetViews>
  <sheetFormatPr defaultColWidth="8.8984375" defaultRowHeight="15"/>
  <cols>
    <col min="1" max="1" width="22.59765625" style="32" customWidth="1"/>
    <col min="2" max="2" width="21" style="32" customWidth="1"/>
    <col min="3" max="5" width="12.69921875" style="32" customWidth="1"/>
    <col min="6" max="6" width="16.296875" style="32" customWidth="1"/>
    <col min="7" max="16384" width="8.8984375" style="32" customWidth="1"/>
  </cols>
  <sheetData>
    <row r="1" spans="1:6" ht="15">
      <c r="A1" s="164" t="str">
        <f>inputPrYr!D2</f>
        <v>City of Ellsworth</v>
      </c>
      <c r="B1" s="164"/>
      <c r="C1" s="163"/>
      <c r="D1" s="163"/>
      <c r="E1" s="163"/>
      <c r="F1" s="163">
        <f>inputPrYr!$C$5</f>
        <v>2012</v>
      </c>
    </row>
    <row r="2" spans="1:6" ht="15">
      <c r="A2" s="163"/>
      <c r="B2" s="163"/>
      <c r="C2" s="163"/>
      <c r="D2" s="163"/>
      <c r="E2" s="163"/>
      <c r="F2" s="163"/>
    </row>
    <row r="3" spans="1:6" ht="15">
      <c r="A3" s="513" t="s">
        <v>178</v>
      </c>
      <c r="B3" s="513"/>
      <c r="C3" s="513"/>
      <c r="D3" s="513"/>
      <c r="E3" s="513"/>
      <c r="F3" s="513"/>
    </row>
    <row r="4" spans="1:6" ht="15">
      <c r="A4" s="197"/>
      <c r="B4" s="197"/>
      <c r="C4" s="197"/>
      <c r="D4" s="197"/>
      <c r="E4" s="197"/>
      <c r="F4" s="197"/>
    </row>
    <row r="5" spans="1:6" ht="15">
      <c r="A5" s="198" t="s">
        <v>484</v>
      </c>
      <c r="B5" s="198" t="s">
        <v>485</v>
      </c>
      <c r="C5" s="198" t="s">
        <v>74</v>
      </c>
      <c r="D5" s="198" t="s">
        <v>194</v>
      </c>
      <c r="E5" s="198" t="s">
        <v>195</v>
      </c>
      <c r="F5" s="198" t="s">
        <v>224</v>
      </c>
    </row>
    <row r="6" spans="1:6" ht="15">
      <c r="A6" s="199" t="s">
        <v>486</v>
      </c>
      <c r="B6" s="199" t="s">
        <v>487</v>
      </c>
      <c r="C6" s="199" t="s">
        <v>225</v>
      </c>
      <c r="D6" s="199" t="s">
        <v>225</v>
      </c>
      <c r="E6" s="199" t="s">
        <v>225</v>
      </c>
      <c r="F6" s="199" t="s">
        <v>226</v>
      </c>
    </row>
    <row r="7" spans="1:6" ht="15" customHeight="1">
      <c r="A7" s="200" t="s">
        <v>227</v>
      </c>
      <c r="B7" s="200" t="s">
        <v>228</v>
      </c>
      <c r="C7" s="201">
        <f>F1-2</f>
        <v>2010</v>
      </c>
      <c r="D7" s="201">
        <f>F1-1</f>
        <v>2011</v>
      </c>
      <c r="E7" s="201">
        <f>F1</f>
        <v>2012</v>
      </c>
      <c r="F7" s="200" t="s">
        <v>229</v>
      </c>
    </row>
    <row r="8" spans="1:6" ht="14.25" customHeight="1">
      <c r="A8" s="202" t="s">
        <v>690</v>
      </c>
      <c r="B8" s="202" t="s">
        <v>694</v>
      </c>
      <c r="C8" s="203">
        <v>25000</v>
      </c>
      <c r="D8" s="203">
        <v>5000</v>
      </c>
      <c r="E8" s="203">
        <v>3000</v>
      </c>
      <c r="F8" s="204" t="s">
        <v>691</v>
      </c>
    </row>
    <row r="9" spans="1:6" ht="15" customHeight="1">
      <c r="A9" s="205" t="s">
        <v>690</v>
      </c>
      <c r="B9" s="205" t="s">
        <v>692</v>
      </c>
      <c r="C9" s="206">
        <v>4000</v>
      </c>
      <c r="D9" s="206">
        <v>2500</v>
      </c>
      <c r="E9" s="206">
        <v>1500</v>
      </c>
      <c r="F9" s="204" t="s">
        <v>695</v>
      </c>
    </row>
    <row r="10" spans="1:6" ht="15" customHeight="1">
      <c r="A10" s="205" t="s">
        <v>693</v>
      </c>
      <c r="B10" s="205" t="s">
        <v>694</v>
      </c>
      <c r="C10" s="206">
        <v>1000</v>
      </c>
      <c r="D10" s="206">
        <v>5000</v>
      </c>
      <c r="E10" s="206">
        <v>1000</v>
      </c>
      <c r="F10" s="204" t="s">
        <v>691</v>
      </c>
    </row>
    <row r="11" spans="1:6" ht="15" customHeight="1">
      <c r="A11" s="205" t="s">
        <v>693</v>
      </c>
      <c r="B11" s="205" t="s">
        <v>692</v>
      </c>
      <c r="C11" s="206">
        <v>16000</v>
      </c>
      <c r="D11" s="206">
        <v>500</v>
      </c>
      <c r="E11" s="206">
        <v>1000</v>
      </c>
      <c r="F11" s="204" t="s">
        <v>695</v>
      </c>
    </row>
    <row r="12" spans="1:6" ht="15" customHeight="1">
      <c r="A12" s="205" t="s">
        <v>696</v>
      </c>
      <c r="B12" s="205" t="s">
        <v>694</v>
      </c>
      <c r="C12" s="206">
        <v>1500</v>
      </c>
      <c r="D12" s="206">
        <v>1500</v>
      </c>
      <c r="E12" s="206">
        <v>1500</v>
      </c>
      <c r="F12" s="204" t="s">
        <v>691</v>
      </c>
    </row>
    <row r="13" spans="1:6" ht="15" customHeight="1">
      <c r="A13" s="205" t="s">
        <v>696</v>
      </c>
      <c r="B13" s="205" t="s">
        <v>692</v>
      </c>
      <c r="C13" s="206">
        <v>15500</v>
      </c>
      <c r="D13" s="206">
        <v>5000</v>
      </c>
      <c r="E13" s="206">
        <v>3000</v>
      </c>
      <c r="F13" s="204" t="s">
        <v>695</v>
      </c>
    </row>
    <row r="14" spans="1:6" ht="15" customHeight="1">
      <c r="A14" s="205" t="s">
        <v>697</v>
      </c>
      <c r="B14" s="205" t="s">
        <v>694</v>
      </c>
      <c r="C14" s="206">
        <v>50000</v>
      </c>
      <c r="D14" s="206">
        <v>150000</v>
      </c>
      <c r="E14" s="206">
        <v>160000</v>
      </c>
      <c r="F14" s="204" t="s">
        <v>698</v>
      </c>
    </row>
    <row r="15" spans="1:6" ht="15" customHeight="1">
      <c r="A15" s="205" t="s">
        <v>697</v>
      </c>
      <c r="B15" s="205" t="s">
        <v>692</v>
      </c>
      <c r="C15" s="206">
        <v>38500</v>
      </c>
      <c r="D15" s="206">
        <v>17500</v>
      </c>
      <c r="E15" s="206">
        <v>12000</v>
      </c>
      <c r="F15" s="204" t="s">
        <v>695</v>
      </c>
    </row>
    <row r="16" spans="1:6" ht="15" customHeight="1">
      <c r="A16" s="205" t="s">
        <v>699</v>
      </c>
      <c r="B16" s="205" t="s">
        <v>694</v>
      </c>
      <c r="C16" s="206">
        <v>3500</v>
      </c>
      <c r="D16" s="206">
        <v>1500</v>
      </c>
      <c r="E16" s="206">
        <v>4000</v>
      </c>
      <c r="F16" s="204" t="s">
        <v>691</v>
      </c>
    </row>
    <row r="17" spans="1:6" ht="15" customHeight="1">
      <c r="A17" s="205" t="s">
        <v>699</v>
      </c>
      <c r="B17" s="205" t="s">
        <v>692</v>
      </c>
      <c r="C17" s="206">
        <v>9100</v>
      </c>
      <c r="D17" s="206">
        <v>4500</v>
      </c>
      <c r="E17" s="206">
        <v>1500</v>
      </c>
      <c r="F17" s="204" t="s">
        <v>695</v>
      </c>
    </row>
    <row r="18" spans="1:6" ht="15" customHeight="1">
      <c r="A18" s="205" t="s">
        <v>700</v>
      </c>
      <c r="B18" s="205" t="s">
        <v>694</v>
      </c>
      <c r="C18" s="206">
        <v>300</v>
      </c>
      <c r="D18" s="206">
        <v>0</v>
      </c>
      <c r="E18" s="206">
        <v>0</v>
      </c>
      <c r="F18" s="204" t="s">
        <v>691</v>
      </c>
    </row>
    <row r="19" spans="1:6" ht="15" customHeight="1">
      <c r="A19" s="205" t="s">
        <v>700</v>
      </c>
      <c r="B19" s="205" t="s">
        <v>692</v>
      </c>
      <c r="C19" s="206">
        <v>300</v>
      </c>
      <c r="D19" s="206">
        <v>500</v>
      </c>
      <c r="E19" s="206">
        <v>500</v>
      </c>
      <c r="F19" s="204" t="s">
        <v>695</v>
      </c>
    </row>
    <row r="20" spans="1:6" ht="15" customHeight="1">
      <c r="A20" s="205" t="s">
        <v>701</v>
      </c>
      <c r="B20" s="205" t="s">
        <v>694</v>
      </c>
      <c r="C20" s="206">
        <v>20976</v>
      </c>
      <c r="D20" s="206">
        <v>21750</v>
      </c>
      <c r="E20" s="206">
        <v>24000</v>
      </c>
      <c r="F20" s="204" t="s">
        <v>691</v>
      </c>
    </row>
    <row r="21" spans="1:6" ht="15" customHeight="1">
      <c r="A21" s="205" t="s">
        <v>702</v>
      </c>
      <c r="B21" s="205" t="s">
        <v>529</v>
      </c>
      <c r="C21" s="206">
        <v>53000</v>
      </c>
      <c r="D21" s="206">
        <v>47000</v>
      </c>
      <c r="E21" s="206">
        <v>46000</v>
      </c>
      <c r="F21" s="204" t="s">
        <v>703</v>
      </c>
    </row>
    <row r="22" spans="1:6" ht="15" customHeight="1">
      <c r="A22" s="205" t="s">
        <v>704</v>
      </c>
      <c r="B22" s="205" t="s">
        <v>694</v>
      </c>
      <c r="C22" s="206">
        <v>4500</v>
      </c>
      <c r="D22" s="206">
        <v>2000</v>
      </c>
      <c r="E22" s="206">
        <v>2000</v>
      </c>
      <c r="F22" s="204" t="s">
        <v>691</v>
      </c>
    </row>
    <row r="23" spans="1:6" ht="15" customHeight="1">
      <c r="A23" s="205" t="s">
        <v>704</v>
      </c>
      <c r="B23" s="205" t="s">
        <v>692</v>
      </c>
      <c r="C23" s="206">
        <v>34375</v>
      </c>
      <c r="D23" s="206">
        <v>5333</v>
      </c>
      <c r="E23" s="206">
        <v>10000</v>
      </c>
      <c r="F23" s="204" t="s">
        <v>695</v>
      </c>
    </row>
    <row r="24" spans="1:6" ht="15" customHeight="1">
      <c r="A24" s="205" t="s">
        <v>153</v>
      </c>
      <c r="B24" s="205" t="s">
        <v>694</v>
      </c>
      <c r="C24" s="206">
        <v>8000</v>
      </c>
      <c r="D24" s="206">
        <v>7000</v>
      </c>
      <c r="E24" s="206">
        <v>7000</v>
      </c>
      <c r="F24" s="204" t="s">
        <v>691</v>
      </c>
    </row>
    <row r="25" spans="1:6" ht="15" customHeight="1">
      <c r="A25" s="205" t="s">
        <v>153</v>
      </c>
      <c r="B25" s="205" t="s">
        <v>692</v>
      </c>
      <c r="C25" s="206">
        <v>10000</v>
      </c>
      <c r="D25" s="206">
        <v>3850</v>
      </c>
      <c r="E25" s="206">
        <v>3850</v>
      </c>
      <c r="F25" s="204" t="s">
        <v>695</v>
      </c>
    </row>
    <row r="26" spans="1:6" ht="15" customHeight="1">
      <c r="A26" s="205" t="s">
        <v>705</v>
      </c>
      <c r="B26" s="205" t="s">
        <v>694</v>
      </c>
      <c r="C26" s="206">
        <v>25000</v>
      </c>
      <c r="D26" s="206">
        <v>30000</v>
      </c>
      <c r="E26" s="206">
        <v>50000</v>
      </c>
      <c r="F26" s="204" t="s">
        <v>691</v>
      </c>
    </row>
    <row r="27" spans="1:6" ht="15" customHeight="1">
      <c r="A27" s="205" t="s">
        <v>705</v>
      </c>
      <c r="B27" s="205" t="s">
        <v>692</v>
      </c>
      <c r="C27" s="206">
        <v>59000</v>
      </c>
      <c r="D27" s="206">
        <v>65000</v>
      </c>
      <c r="E27" s="206">
        <v>21000</v>
      </c>
      <c r="F27" s="204" t="s">
        <v>695</v>
      </c>
    </row>
    <row r="28" spans="1:6" ht="15" customHeight="1">
      <c r="A28" s="205" t="s">
        <v>706</v>
      </c>
      <c r="B28" s="205" t="s">
        <v>694</v>
      </c>
      <c r="C28" s="206">
        <v>7000</v>
      </c>
      <c r="D28" s="206">
        <v>20000</v>
      </c>
      <c r="E28" s="206">
        <v>35000</v>
      </c>
      <c r="F28" s="204" t="s">
        <v>691</v>
      </c>
    </row>
    <row r="29" spans="1:6" ht="15" customHeight="1">
      <c r="A29" s="205" t="s">
        <v>706</v>
      </c>
      <c r="B29" s="205" t="s">
        <v>692</v>
      </c>
      <c r="C29" s="206">
        <v>18000</v>
      </c>
      <c r="D29" s="206">
        <v>24000</v>
      </c>
      <c r="E29" s="206">
        <v>15000</v>
      </c>
      <c r="F29" s="204" t="s">
        <v>695</v>
      </c>
    </row>
    <row r="30" spans="1:6" ht="15" customHeight="1">
      <c r="A30" s="205" t="s">
        <v>708</v>
      </c>
      <c r="B30" s="205" t="s">
        <v>520</v>
      </c>
      <c r="C30" s="206">
        <v>5000</v>
      </c>
      <c r="D30" s="206">
        <v>15000</v>
      </c>
      <c r="E30" s="206">
        <v>5000</v>
      </c>
      <c r="F30" s="204" t="s">
        <v>707</v>
      </c>
    </row>
    <row r="31" spans="1:6" ht="15" customHeight="1">
      <c r="A31" s="205" t="s">
        <v>708</v>
      </c>
      <c r="B31" s="205" t="s">
        <v>709</v>
      </c>
      <c r="C31" s="206">
        <v>0</v>
      </c>
      <c r="D31" s="206">
        <v>0</v>
      </c>
      <c r="E31" s="206">
        <v>225000</v>
      </c>
      <c r="F31" s="204" t="s">
        <v>707</v>
      </c>
    </row>
    <row r="32" spans="1:6" ht="15" customHeight="1">
      <c r="A32" s="205" t="s">
        <v>708</v>
      </c>
      <c r="B32" s="205" t="s">
        <v>710</v>
      </c>
      <c r="C32" s="206">
        <v>59000</v>
      </c>
      <c r="D32" s="206">
        <v>70000</v>
      </c>
      <c r="E32" s="206">
        <v>75000</v>
      </c>
      <c r="F32" s="204" t="s">
        <v>707</v>
      </c>
    </row>
    <row r="33" spans="1:6" ht="15" customHeight="1">
      <c r="A33" s="205" t="s">
        <v>708</v>
      </c>
      <c r="B33" s="205" t="s">
        <v>529</v>
      </c>
      <c r="C33" s="206">
        <v>63000</v>
      </c>
      <c r="D33" s="206">
        <v>65000</v>
      </c>
      <c r="E33" s="206">
        <v>63000</v>
      </c>
      <c r="F33" s="204" t="s">
        <v>707</v>
      </c>
    </row>
    <row r="34" spans="1:6" ht="15" customHeight="1">
      <c r="A34" s="205" t="s">
        <v>708</v>
      </c>
      <c r="B34" s="205" t="s">
        <v>711</v>
      </c>
      <c r="C34" s="206">
        <v>307083</v>
      </c>
      <c r="D34" s="206">
        <v>230000</v>
      </c>
      <c r="E34" s="206">
        <v>50000</v>
      </c>
      <c r="F34" s="204" t="s">
        <v>707</v>
      </c>
    </row>
    <row r="35" spans="1:6" ht="15" customHeight="1">
      <c r="A35" s="205" t="s">
        <v>712</v>
      </c>
      <c r="B35" s="205" t="s">
        <v>694</v>
      </c>
      <c r="C35" s="206">
        <v>12700</v>
      </c>
      <c r="D35" s="206">
        <v>19000</v>
      </c>
      <c r="E35" s="206">
        <v>10000</v>
      </c>
      <c r="F35" s="204" t="s">
        <v>691</v>
      </c>
    </row>
    <row r="36" spans="1:6" ht="15" customHeight="1">
      <c r="A36" s="205" t="s">
        <v>712</v>
      </c>
      <c r="B36" s="205" t="s">
        <v>692</v>
      </c>
      <c r="C36" s="206">
        <v>10000</v>
      </c>
      <c r="D36" s="206">
        <v>8000</v>
      </c>
      <c r="E36" s="206">
        <v>4000</v>
      </c>
      <c r="F36" s="204" t="s">
        <v>695</v>
      </c>
    </row>
    <row r="37" spans="1:6" ht="15" customHeight="1">
      <c r="A37" s="205" t="s">
        <v>713</v>
      </c>
      <c r="B37" s="205" t="s">
        <v>694</v>
      </c>
      <c r="C37" s="206">
        <v>2000</v>
      </c>
      <c r="D37" s="206">
        <v>4000</v>
      </c>
      <c r="E37" s="206">
        <v>3000</v>
      </c>
      <c r="F37" s="204" t="s">
        <v>691</v>
      </c>
    </row>
    <row r="38" spans="1:6" ht="15" customHeight="1">
      <c r="A38" s="205"/>
      <c r="B38" s="205"/>
      <c r="C38" s="206"/>
      <c r="D38" s="206"/>
      <c r="E38" s="206"/>
      <c r="F38" s="204"/>
    </row>
    <row r="39" spans="1:6" ht="15" customHeight="1">
      <c r="A39" s="86"/>
      <c r="B39" s="207" t="s">
        <v>41</v>
      </c>
      <c r="C39" s="208">
        <f>SUM(C8:C38)</f>
        <v>863334</v>
      </c>
      <c r="D39" s="208">
        <f>SUM(D8:D38)</f>
        <v>830433</v>
      </c>
      <c r="E39" s="208">
        <f>SUM(E8:E38)</f>
        <v>837850</v>
      </c>
      <c r="F39" s="209"/>
    </row>
    <row r="40" spans="1:6" ht="15" customHeight="1">
      <c r="A40" s="86"/>
      <c r="B40" s="210" t="s">
        <v>230</v>
      </c>
      <c r="C40" s="146"/>
      <c r="D40" s="211"/>
      <c r="E40" s="211"/>
      <c r="F40" s="209"/>
    </row>
    <row r="41" spans="1:6" ht="15" customHeight="1">
      <c r="A41" s="86"/>
      <c r="B41" s="207" t="s">
        <v>231</v>
      </c>
      <c r="C41" s="208">
        <f>C39</f>
        <v>863334</v>
      </c>
      <c r="D41" s="208">
        <f>SUM(D39-D40)</f>
        <v>830433</v>
      </c>
      <c r="E41" s="208">
        <f>SUM(E39-E40)</f>
        <v>837850</v>
      </c>
      <c r="F41" s="209"/>
    </row>
    <row r="42" spans="1:6" ht="15" customHeight="1">
      <c r="A42" s="86"/>
      <c r="B42" s="86"/>
      <c r="C42" s="86"/>
      <c r="D42" s="86"/>
      <c r="E42" s="86"/>
      <c r="F42" s="86"/>
    </row>
    <row r="43" spans="1:6" ht="15" customHeight="1">
      <c r="A43" s="86"/>
      <c r="B43" s="86"/>
      <c r="C43" s="86"/>
      <c r="D43" s="86"/>
      <c r="E43" s="86"/>
      <c r="F43" s="86"/>
    </row>
    <row r="44" spans="1:6" ht="15" customHeight="1">
      <c r="A44" s="338" t="s">
        <v>483</v>
      </c>
      <c r="B44" s="339" t="str">
        <f>CONCATENATE("Adjustments are required only if the transfer is being made in ",D7," and/or ",E7," from a non-budgeted fund.")</f>
        <v>Adjustments are required only if the transfer is being made in 2011 and/or 2012 from a non-budgeted fund.</v>
      </c>
      <c r="C44" s="86"/>
      <c r="D44" s="86"/>
      <c r="E44" s="86"/>
      <c r="F44" s="86"/>
    </row>
    <row r="45" ht="15" customHeight="1"/>
  </sheetData>
  <sheetProtection/>
  <mergeCells count="1">
    <mergeCell ref="A3:F3"/>
  </mergeCells>
  <printOptions/>
  <pageMargins left="0.75" right="0.75" top="1" bottom="1" header="0.5" footer="0.5"/>
  <pageSetup blackAndWhite="1" fitToHeight="1" fitToWidth="1" horizontalDpi="600" verticalDpi="600" orientation="landscape" scale="71" r:id="rId1"/>
  <headerFooter alignWithMargins="0">
    <oddHeader>&amp;RState of Kansas
City</oddHeader>
    <oddFooter>&amp;CPage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
      <selection activeCell="H48" sqref="H48"/>
    </sheetView>
  </sheetViews>
  <sheetFormatPr defaultColWidth="8.8984375" defaultRowHeight="15"/>
  <cols>
    <col min="1" max="1" width="20.69921875" style="33" customWidth="1"/>
    <col min="2" max="2" width="9.296875" style="33" customWidth="1"/>
    <col min="3" max="4" width="8.69921875" style="33" customWidth="1"/>
    <col min="5" max="5" width="12.69921875" style="33" customWidth="1"/>
    <col min="6" max="6" width="14.296875" style="33" customWidth="1"/>
    <col min="7" max="7" width="12" style="33" customWidth="1"/>
    <col min="8" max="12" width="9.69921875" style="33" customWidth="1"/>
    <col min="13" max="16384" width="8.8984375" style="33" customWidth="1"/>
  </cols>
  <sheetData>
    <row r="1" spans="1:12" ht="15">
      <c r="A1" s="187" t="str">
        <f>inputPrYr!$D$2</f>
        <v>City of Ellsworth</v>
      </c>
      <c r="B1" s="35"/>
      <c r="C1" s="35"/>
      <c r="D1" s="35"/>
      <c r="E1" s="35"/>
      <c r="F1" s="35"/>
      <c r="G1" s="35"/>
      <c r="H1" s="35"/>
      <c r="I1" s="35"/>
      <c r="J1" s="35"/>
      <c r="K1" s="35"/>
      <c r="L1" s="212">
        <f>inputPrYr!$C$5</f>
        <v>2012</v>
      </c>
    </row>
    <row r="2" spans="1:12" ht="15">
      <c r="A2" s="187"/>
      <c r="B2" s="35"/>
      <c r="C2" s="35"/>
      <c r="D2" s="35"/>
      <c r="E2" s="35"/>
      <c r="F2" s="35"/>
      <c r="G2" s="35"/>
      <c r="H2" s="35"/>
      <c r="I2" s="35"/>
      <c r="J2" s="35"/>
      <c r="K2" s="35"/>
      <c r="L2" s="159"/>
    </row>
    <row r="3" spans="1:12" ht="15">
      <c r="A3" s="213" t="s">
        <v>121</v>
      </c>
      <c r="B3" s="44"/>
      <c r="C3" s="44"/>
      <c r="D3" s="44"/>
      <c r="E3" s="44"/>
      <c r="F3" s="44"/>
      <c r="G3" s="44"/>
      <c r="H3" s="44"/>
      <c r="I3" s="44"/>
      <c r="J3" s="44"/>
      <c r="K3" s="44"/>
      <c r="L3" s="44"/>
    </row>
    <row r="4" spans="1:12" ht="10.5" customHeight="1">
      <c r="A4" s="35"/>
      <c r="B4" s="214"/>
      <c r="C4" s="214"/>
      <c r="D4" s="214"/>
      <c r="E4" s="214"/>
      <c r="F4" s="214"/>
      <c r="G4" s="214"/>
      <c r="H4" s="214"/>
      <c r="I4" s="214"/>
      <c r="J4" s="214"/>
      <c r="K4" s="214"/>
      <c r="L4" s="214"/>
    </row>
    <row r="5" spans="1:12" ht="18" customHeight="1">
      <c r="A5" s="35"/>
      <c r="B5" s="189" t="s">
        <v>89</v>
      </c>
      <c r="C5" s="189" t="s">
        <v>89</v>
      </c>
      <c r="D5" s="189" t="s">
        <v>104</v>
      </c>
      <c r="E5" s="189"/>
      <c r="F5" s="189" t="s">
        <v>219</v>
      </c>
      <c r="G5" s="35"/>
      <c r="H5" s="35"/>
      <c r="I5" s="215" t="s">
        <v>90</v>
      </c>
      <c r="J5" s="216"/>
      <c r="K5" s="215" t="s">
        <v>90</v>
      </c>
      <c r="L5" s="216"/>
    </row>
    <row r="6" spans="1:12" ht="15">
      <c r="A6" s="35"/>
      <c r="B6" s="217" t="s">
        <v>91</v>
      </c>
      <c r="C6" s="217" t="s">
        <v>220</v>
      </c>
      <c r="D6" s="217" t="s">
        <v>92</v>
      </c>
      <c r="E6" s="217" t="s">
        <v>46</v>
      </c>
      <c r="F6" s="217" t="s">
        <v>221</v>
      </c>
      <c r="G6" s="514" t="s">
        <v>93</v>
      </c>
      <c r="H6" s="515"/>
      <c r="I6" s="516">
        <f>L1-1</f>
        <v>2011</v>
      </c>
      <c r="J6" s="517"/>
      <c r="K6" s="516">
        <f>L1</f>
        <v>2012</v>
      </c>
      <c r="L6" s="517"/>
    </row>
    <row r="7" spans="1:12" ht="15">
      <c r="A7" s="219" t="s">
        <v>94</v>
      </c>
      <c r="B7" s="191" t="s">
        <v>95</v>
      </c>
      <c r="C7" s="191" t="s">
        <v>222</v>
      </c>
      <c r="D7" s="191" t="s">
        <v>69</v>
      </c>
      <c r="E7" s="191" t="s">
        <v>96</v>
      </c>
      <c r="F7" s="218" t="str">
        <f>CONCATENATE("Jan 1,",L1-1,"")</f>
        <v>Jan 1,2011</v>
      </c>
      <c r="G7" s="146" t="s">
        <v>104</v>
      </c>
      <c r="H7" s="146" t="s">
        <v>106</v>
      </c>
      <c r="I7" s="146" t="s">
        <v>104</v>
      </c>
      <c r="J7" s="146" t="s">
        <v>106</v>
      </c>
      <c r="K7" s="146" t="s">
        <v>104</v>
      </c>
      <c r="L7" s="146" t="s">
        <v>106</v>
      </c>
    </row>
    <row r="8" spans="1:12" ht="15">
      <c r="A8" s="219" t="s">
        <v>97</v>
      </c>
      <c r="B8" s="53"/>
      <c r="C8" s="53"/>
      <c r="D8" s="220"/>
      <c r="E8" s="221"/>
      <c r="F8" s="221"/>
      <c r="G8" s="53"/>
      <c r="H8" s="53"/>
      <c r="I8" s="221"/>
      <c r="J8" s="221"/>
      <c r="K8" s="221"/>
      <c r="L8" s="221"/>
    </row>
    <row r="9" spans="1:12" ht="15">
      <c r="A9" s="57" t="s">
        <v>719</v>
      </c>
      <c r="B9" s="340">
        <v>38565</v>
      </c>
      <c r="C9" s="340">
        <v>42339</v>
      </c>
      <c r="D9" s="222">
        <v>3.99</v>
      </c>
      <c r="E9" s="223">
        <v>2085500</v>
      </c>
      <c r="F9" s="224">
        <v>1155000</v>
      </c>
      <c r="G9" s="222" t="s">
        <v>720</v>
      </c>
      <c r="H9" s="225">
        <v>40878</v>
      </c>
      <c r="I9" s="224">
        <v>54365</v>
      </c>
      <c r="J9" s="224">
        <v>325000</v>
      </c>
      <c r="K9" s="224">
        <v>55625</v>
      </c>
      <c r="L9" s="224">
        <v>325000</v>
      </c>
    </row>
    <row r="10" spans="1:12" ht="15">
      <c r="A10" s="57"/>
      <c r="B10" s="340"/>
      <c r="C10" s="340"/>
      <c r="D10" s="222"/>
      <c r="E10" s="223"/>
      <c r="F10" s="224"/>
      <c r="G10" s="222"/>
      <c r="H10" s="225"/>
      <c r="I10" s="224"/>
      <c r="J10" s="224"/>
      <c r="K10" s="224"/>
      <c r="L10" s="224"/>
    </row>
    <row r="11" spans="1:12" ht="15">
      <c r="A11" s="57"/>
      <c r="B11" s="340"/>
      <c r="C11" s="340"/>
      <c r="D11" s="222"/>
      <c r="E11" s="223"/>
      <c r="F11" s="224"/>
      <c r="G11" s="225"/>
      <c r="H11" s="225"/>
      <c r="I11" s="224"/>
      <c r="J11" s="224"/>
      <c r="K11" s="224"/>
      <c r="L11" s="224"/>
    </row>
    <row r="12" spans="1:12" ht="15">
      <c r="A12" s="57"/>
      <c r="B12" s="340"/>
      <c r="C12" s="340"/>
      <c r="D12" s="222"/>
      <c r="E12" s="223"/>
      <c r="F12" s="224"/>
      <c r="G12" s="225"/>
      <c r="H12" s="225"/>
      <c r="I12" s="224"/>
      <c r="J12" s="224"/>
      <c r="K12" s="224"/>
      <c r="L12" s="224"/>
    </row>
    <row r="13" spans="1:12" ht="15">
      <c r="A13" s="57"/>
      <c r="B13" s="340"/>
      <c r="C13" s="340"/>
      <c r="D13" s="222"/>
      <c r="E13" s="223"/>
      <c r="F13" s="224"/>
      <c r="G13" s="225"/>
      <c r="H13" s="225"/>
      <c r="I13" s="224"/>
      <c r="J13" s="224"/>
      <c r="K13" s="224"/>
      <c r="L13" s="224"/>
    </row>
    <row r="14" spans="1:12" ht="15">
      <c r="A14" s="57"/>
      <c r="B14" s="340"/>
      <c r="C14" s="340"/>
      <c r="D14" s="222"/>
      <c r="E14" s="223"/>
      <c r="F14" s="224"/>
      <c r="G14" s="225"/>
      <c r="H14" s="225"/>
      <c r="I14" s="224"/>
      <c r="J14" s="224"/>
      <c r="K14" s="224"/>
      <c r="L14" s="224"/>
    </row>
    <row r="15" spans="1:12" ht="15">
      <c r="A15" s="57"/>
      <c r="B15" s="340"/>
      <c r="C15" s="340"/>
      <c r="D15" s="222"/>
      <c r="E15" s="223"/>
      <c r="F15" s="224"/>
      <c r="G15" s="225"/>
      <c r="H15" s="225"/>
      <c r="I15" s="224"/>
      <c r="J15" s="224"/>
      <c r="K15" s="224"/>
      <c r="L15" s="224"/>
    </row>
    <row r="16" spans="1:12" ht="15">
      <c r="A16" s="57"/>
      <c r="B16" s="340"/>
      <c r="C16" s="340"/>
      <c r="D16" s="222"/>
      <c r="E16" s="223"/>
      <c r="F16" s="224"/>
      <c r="G16" s="225"/>
      <c r="H16" s="225"/>
      <c r="I16" s="224"/>
      <c r="J16" s="224"/>
      <c r="K16" s="224"/>
      <c r="L16" s="224"/>
    </row>
    <row r="17" spans="1:12" ht="15">
      <c r="A17" s="57"/>
      <c r="B17" s="340"/>
      <c r="C17" s="340"/>
      <c r="D17" s="222"/>
      <c r="E17" s="223"/>
      <c r="F17" s="224"/>
      <c r="G17" s="225"/>
      <c r="H17" s="225"/>
      <c r="I17" s="224"/>
      <c r="J17" s="224"/>
      <c r="K17" s="224"/>
      <c r="L17" s="224"/>
    </row>
    <row r="18" spans="1:12" ht="15">
      <c r="A18" s="57"/>
      <c r="B18" s="340"/>
      <c r="C18" s="340"/>
      <c r="D18" s="222"/>
      <c r="E18" s="223"/>
      <c r="F18" s="224"/>
      <c r="G18" s="225"/>
      <c r="H18" s="225"/>
      <c r="I18" s="224"/>
      <c r="J18" s="224"/>
      <c r="K18" s="224"/>
      <c r="L18" s="224"/>
    </row>
    <row r="19" spans="1:12" ht="15">
      <c r="A19" s="57"/>
      <c r="B19" s="340"/>
      <c r="C19" s="340"/>
      <c r="D19" s="222"/>
      <c r="E19" s="223"/>
      <c r="F19" s="224"/>
      <c r="G19" s="225"/>
      <c r="H19" s="225"/>
      <c r="I19" s="224"/>
      <c r="J19" s="224"/>
      <c r="K19" s="224"/>
      <c r="L19" s="224"/>
    </row>
    <row r="20" spans="1:12" ht="15">
      <c r="A20" s="226" t="s">
        <v>98</v>
      </c>
      <c r="B20" s="227"/>
      <c r="C20" s="227"/>
      <c r="D20" s="228"/>
      <c r="E20" s="229"/>
      <c r="F20" s="230">
        <f>SUM(F9:F19)</f>
        <v>1155000</v>
      </c>
      <c r="G20" s="231"/>
      <c r="H20" s="231"/>
      <c r="I20" s="230">
        <f>SUM(I9:I19)</f>
        <v>54365</v>
      </c>
      <c r="J20" s="230">
        <f>SUM(J9:J19)</f>
        <v>325000</v>
      </c>
      <c r="K20" s="230">
        <f>SUM(K9:K19)</f>
        <v>55625</v>
      </c>
      <c r="L20" s="230">
        <f>SUM(L9:L19)</f>
        <v>325000</v>
      </c>
    </row>
    <row r="21" spans="1:12" ht="15">
      <c r="A21" s="219" t="s">
        <v>99</v>
      </c>
      <c r="B21" s="232"/>
      <c r="C21" s="232"/>
      <c r="D21" s="233"/>
      <c r="E21" s="234"/>
      <c r="F21" s="234"/>
      <c r="G21" s="235"/>
      <c r="H21" s="235"/>
      <c r="I21" s="234"/>
      <c r="J21" s="234"/>
      <c r="K21" s="234"/>
      <c r="L21" s="234"/>
    </row>
    <row r="22" spans="1:12" ht="15">
      <c r="A22" s="57"/>
      <c r="B22" s="340"/>
      <c r="C22" s="340"/>
      <c r="D22" s="222"/>
      <c r="E22" s="223"/>
      <c r="F22" s="224"/>
      <c r="G22" s="225"/>
      <c r="H22" s="225"/>
      <c r="I22" s="224"/>
      <c r="J22" s="224"/>
      <c r="K22" s="224"/>
      <c r="L22" s="224"/>
    </row>
    <row r="23" spans="1:12" ht="15">
      <c r="A23" s="57"/>
      <c r="B23" s="340"/>
      <c r="C23" s="340"/>
      <c r="D23" s="222"/>
      <c r="E23" s="223"/>
      <c r="F23" s="224"/>
      <c r="G23" s="225"/>
      <c r="H23" s="225"/>
      <c r="I23" s="224"/>
      <c r="J23" s="224"/>
      <c r="K23" s="224"/>
      <c r="L23" s="224"/>
    </row>
    <row r="24" spans="1:12" ht="15">
      <c r="A24" s="57"/>
      <c r="B24" s="340"/>
      <c r="C24" s="340"/>
      <c r="D24" s="222"/>
      <c r="E24" s="223"/>
      <c r="F24" s="224"/>
      <c r="G24" s="225"/>
      <c r="H24" s="225"/>
      <c r="I24" s="224"/>
      <c r="J24" s="224"/>
      <c r="K24" s="224"/>
      <c r="L24" s="224"/>
    </row>
    <row r="25" spans="1:12" ht="15">
      <c r="A25" s="57"/>
      <c r="B25" s="340"/>
      <c r="C25" s="340"/>
      <c r="D25" s="222"/>
      <c r="E25" s="223"/>
      <c r="F25" s="224"/>
      <c r="G25" s="225"/>
      <c r="H25" s="225"/>
      <c r="I25" s="224"/>
      <c r="J25" s="224"/>
      <c r="K25" s="224"/>
      <c r="L25" s="224"/>
    </row>
    <row r="26" spans="1:12" ht="15">
      <c r="A26" s="57"/>
      <c r="B26" s="340"/>
      <c r="C26" s="340"/>
      <c r="D26" s="222"/>
      <c r="E26" s="223"/>
      <c r="F26" s="224"/>
      <c r="G26" s="225"/>
      <c r="H26" s="225"/>
      <c r="I26" s="224"/>
      <c r="J26" s="224"/>
      <c r="K26" s="224"/>
      <c r="L26" s="224"/>
    </row>
    <row r="27" spans="1:12" ht="15">
      <c r="A27" s="57"/>
      <c r="B27" s="340"/>
      <c r="C27" s="340"/>
      <c r="D27" s="222"/>
      <c r="E27" s="223"/>
      <c r="F27" s="224"/>
      <c r="G27" s="225"/>
      <c r="H27" s="225"/>
      <c r="I27" s="224"/>
      <c r="J27" s="224"/>
      <c r="K27" s="224"/>
      <c r="L27" s="224"/>
    </row>
    <row r="28" spans="1:12" ht="15">
      <c r="A28" s="57"/>
      <c r="B28" s="340"/>
      <c r="C28" s="340"/>
      <c r="D28" s="222"/>
      <c r="E28" s="223"/>
      <c r="F28" s="224"/>
      <c r="G28" s="225"/>
      <c r="H28" s="225"/>
      <c r="I28" s="224"/>
      <c r="J28" s="224"/>
      <c r="K28" s="224"/>
      <c r="L28" s="224"/>
    </row>
    <row r="29" spans="1:12" ht="15">
      <c r="A29" s="57"/>
      <c r="B29" s="340"/>
      <c r="C29" s="340"/>
      <c r="D29" s="222"/>
      <c r="E29" s="223"/>
      <c r="F29" s="224"/>
      <c r="G29" s="225"/>
      <c r="H29" s="225"/>
      <c r="I29" s="224"/>
      <c r="J29" s="224"/>
      <c r="K29" s="224"/>
      <c r="L29" s="224"/>
    </row>
    <row r="30" spans="1:12" ht="15">
      <c r="A30" s="57"/>
      <c r="B30" s="340"/>
      <c r="C30" s="340"/>
      <c r="D30" s="222"/>
      <c r="E30" s="223"/>
      <c r="F30" s="224"/>
      <c r="G30" s="225"/>
      <c r="H30" s="225"/>
      <c r="I30" s="224"/>
      <c r="J30" s="224"/>
      <c r="K30" s="224"/>
      <c r="L30" s="224"/>
    </row>
    <row r="31" spans="1:12" ht="15">
      <c r="A31" s="57"/>
      <c r="B31" s="340"/>
      <c r="C31" s="340"/>
      <c r="D31" s="222"/>
      <c r="E31" s="223"/>
      <c r="F31" s="224"/>
      <c r="G31" s="225"/>
      <c r="H31" s="225"/>
      <c r="I31" s="224"/>
      <c r="J31" s="224"/>
      <c r="K31" s="224"/>
      <c r="L31" s="224"/>
    </row>
    <row r="32" spans="1:12" ht="15">
      <c r="A32" s="226" t="s">
        <v>100</v>
      </c>
      <c r="B32" s="227"/>
      <c r="C32" s="227"/>
      <c r="D32" s="236"/>
      <c r="E32" s="229"/>
      <c r="F32" s="237">
        <f>SUM(F22:F31)</f>
        <v>0</v>
      </c>
      <c r="G32" s="231"/>
      <c r="H32" s="231"/>
      <c r="I32" s="237">
        <f>SUM(I22:I31)</f>
        <v>0</v>
      </c>
      <c r="J32" s="237">
        <f>SUM(J22:J31)</f>
        <v>0</v>
      </c>
      <c r="K32" s="230">
        <f>SUM(K22:K31)</f>
        <v>0</v>
      </c>
      <c r="L32" s="237">
        <f>SUM(L22:L31)</f>
        <v>0</v>
      </c>
    </row>
    <row r="33" spans="1:12" ht="15">
      <c r="A33" s="219" t="s">
        <v>101</v>
      </c>
      <c r="B33" s="232"/>
      <c r="C33" s="232"/>
      <c r="D33" s="233"/>
      <c r="E33" s="234"/>
      <c r="F33" s="238"/>
      <c r="G33" s="235"/>
      <c r="H33" s="235"/>
      <c r="I33" s="234"/>
      <c r="J33" s="234"/>
      <c r="K33" s="234"/>
      <c r="L33" s="234"/>
    </row>
    <row r="34" spans="1:12" ht="15">
      <c r="A34" s="57" t="s">
        <v>721</v>
      </c>
      <c r="B34" s="340" t="s">
        <v>722</v>
      </c>
      <c r="C34" s="340">
        <v>45139</v>
      </c>
      <c r="D34" s="222">
        <v>4.2</v>
      </c>
      <c r="E34" s="223">
        <v>2041438</v>
      </c>
      <c r="F34" s="224">
        <v>1449477</v>
      </c>
      <c r="G34" s="225" t="s">
        <v>723</v>
      </c>
      <c r="H34" s="225" t="s">
        <v>726</v>
      </c>
      <c r="I34" s="224">
        <v>62376</v>
      </c>
      <c r="J34" s="224">
        <v>89354</v>
      </c>
      <c r="K34" s="224">
        <v>58429</v>
      </c>
      <c r="L34" s="224">
        <v>93301</v>
      </c>
    </row>
    <row r="35" spans="1:12" ht="15">
      <c r="A35" s="57" t="s">
        <v>724</v>
      </c>
      <c r="B35" s="340">
        <v>39664</v>
      </c>
      <c r="C35" s="340">
        <v>47362</v>
      </c>
      <c r="D35" s="222">
        <v>2.27</v>
      </c>
      <c r="E35" s="223">
        <v>1500000</v>
      </c>
      <c r="F35" s="224">
        <v>1411683</v>
      </c>
      <c r="G35" s="225" t="s">
        <v>725</v>
      </c>
      <c r="H35" s="225" t="s">
        <v>725</v>
      </c>
      <c r="I35" s="224">
        <v>35194</v>
      </c>
      <c r="J35" s="224">
        <v>60749</v>
      </c>
      <c r="K35" s="224">
        <v>0</v>
      </c>
      <c r="L35" s="224">
        <v>0</v>
      </c>
    </row>
    <row r="36" spans="1:12" ht="15">
      <c r="A36" s="57" t="s">
        <v>727</v>
      </c>
      <c r="B36" s="340">
        <v>40070</v>
      </c>
      <c r="C36" s="340">
        <v>40787</v>
      </c>
      <c r="D36" s="222">
        <v>3</v>
      </c>
      <c r="E36" s="223">
        <v>1000000</v>
      </c>
      <c r="F36" s="224">
        <v>1000000</v>
      </c>
      <c r="G36" s="225" t="s">
        <v>725</v>
      </c>
      <c r="H36" s="225" t="s">
        <v>725</v>
      </c>
      <c r="I36" s="224">
        <v>13833</v>
      </c>
      <c r="J36" s="224">
        <v>15000</v>
      </c>
      <c r="K36" s="224">
        <v>0</v>
      </c>
      <c r="L36" s="224">
        <v>0</v>
      </c>
    </row>
    <row r="37" spans="1:12" ht="15">
      <c r="A37" s="57"/>
      <c r="B37" s="340"/>
      <c r="C37" s="340"/>
      <c r="D37" s="222"/>
      <c r="E37" s="223"/>
      <c r="F37" s="224"/>
      <c r="G37" s="225"/>
      <c r="H37" s="225"/>
      <c r="I37" s="224"/>
      <c r="J37" s="224"/>
      <c r="K37" s="224"/>
      <c r="L37" s="224"/>
    </row>
    <row r="38" spans="1:12" ht="15">
      <c r="A38" s="57"/>
      <c r="B38" s="340"/>
      <c r="C38" s="340"/>
      <c r="D38" s="222"/>
      <c r="E38" s="223"/>
      <c r="F38" s="224"/>
      <c r="G38" s="225"/>
      <c r="H38" s="225"/>
      <c r="I38" s="224"/>
      <c r="J38" s="224"/>
      <c r="K38" s="224"/>
      <c r="L38" s="224"/>
    </row>
    <row r="39" spans="1:12" ht="15">
      <c r="A39" s="57"/>
      <c r="B39" s="340"/>
      <c r="C39" s="340"/>
      <c r="D39" s="222"/>
      <c r="E39" s="223"/>
      <c r="F39" s="224"/>
      <c r="G39" s="225"/>
      <c r="H39" s="225"/>
      <c r="I39" s="224"/>
      <c r="J39" s="224"/>
      <c r="K39" s="224"/>
      <c r="L39" s="224"/>
    </row>
    <row r="40" spans="1:12" ht="15">
      <c r="A40" s="57"/>
      <c r="B40" s="340"/>
      <c r="C40" s="340"/>
      <c r="D40" s="222"/>
      <c r="E40" s="223"/>
      <c r="F40" s="224"/>
      <c r="G40" s="225"/>
      <c r="H40" s="225"/>
      <c r="I40" s="224"/>
      <c r="J40" s="224"/>
      <c r="K40" s="224"/>
      <c r="L40" s="224"/>
    </row>
    <row r="41" spans="1:28" ht="15">
      <c r="A41" s="57"/>
      <c r="B41" s="340"/>
      <c r="C41" s="340"/>
      <c r="D41" s="222"/>
      <c r="E41" s="223"/>
      <c r="F41" s="224"/>
      <c r="G41" s="225"/>
      <c r="H41" s="225"/>
      <c r="I41" s="224"/>
      <c r="J41" s="224"/>
      <c r="K41" s="224"/>
      <c r="L41" s="224"/>
      <c r="M41" s="32"/>
      <c r="N41" s="32"/>
      <c r="O41" s="32"/>
      <c r="P41" s="32"/>
      <c r="Q41" s="32"/>
      <c r="R41" s="32"/>
      <c r="S41" s="32"/>
      <c r="T41" s="32"/>
      <c r="U41" s="32"/>
      <c r="V41" s="32"/>
      <c r="W41" s="32"/>
      <c r="X41" s="32"/>
      <c r="Y41" s="32"/>
      <c r="Z41" s="32"/>
      <c r="AA41" s="32"/>
      <c r="AB41" s="32"/>
    </row>
    <row r="42" spans="1:12" ht="15">
      <c r="A42" s="226" t="s">
        <v>223</v>
      </c>
      <c r="B42" s="207"/>
      <c r="C42" s="207"/>
      <c r="D42" s="236"/>
      <c r="E42" s="229"/>
      <c r="F42" s="237">
        <f>SUM(F34:F41)</f>
        <v>3861160</v>
      </c>
      <c r="G42" s="229"/>
      <c r="H42" s="229"/>
      <c r="I42" s="237">
        <f>SUM(I34:I41)</f>
        <v>111403</v>
      </c>
      <c r="J42" s="237">
        <f>SUM(J34:J41)</f>
        <v>165103</v>
      </c>
      <c r="K42" s="237">
        <f>SUM(K34:K41)</f>
        <v>58429</v>
      </c>
      <c r="L42" s="237">
        <f>SUM(L34:L41)</f>
        <v>93301</v>
      </c>
    </row>
    <row r="43" spans="1:12" ht="15">
      <c r="A43" s="226" t="s">
        <v>102</v>
      </c>
      <c r="B43" s="207"/>
      <c r="C43" s="207"/>
      <c r="D43" s="207"/>
      <c r="E43" s="229"/>
      <c r="F43" s="237">
        <f>SUM(F20+F32+F42)</f>
        <v>5016160</v>
      </c>
      <c r="G43" s="229"/>
      <c r="H43" s="229"/>
      <c r="I43" s="237">
        <f>SUM(I20+I32+I42)</f>
        <v>165768</v>
      </c>
      <c r="J43" s="237">
        <f>SUM(J20+J32+J42)</f>
        <v>490103</v>
      </c>
      <c r="K43" s="237">
        <f>SUM(K20+K32+K42)</f>
        <v>114054</v>
      </c>
      <c r="L43" s="237">
        <f>SUM(L20+L32+L42)</f>
        <v>418301</v>
      </c>
    </row>
    <row r="44" spans="1:12" ht="15">
      <c r="A44" s="32"/>
      <c r="B44" s="32"/>
      <c r="C44" s="32"/>
      <c r="D44" s="32"/>
      <c r="E44" s="32"/>
      <c r="F44" s="32"/>
      <c r="G44" s="32"/>
      <c r="H44" s="32"/>
      <c r="I44" s="32"/>
      <c r="J44" s="32"/>
      <c r="K44" s="32"/>
      <c r="L44" s="32"/>
    </row>
    <row r="45" spans="5:12" ht="15">
      <c r="E45" s="239"/>
      <c r="F45" s="239"/>
      <c r="I45" s="239"/>
      <c r="J45" s="239"/>
      <c r="K45" s="239"/>
      <c r="L45" s="239"/>
    </row>
    <row r="46" spans="5:13" ht="15">
      <c r="E46" s="32"/>
      <c r="G46" s="240"/>
      <c r="M46" s="32"/>
    </row>
    <row r="47" spans="1:12" ht="15">
      <c r="A47" s="32"/>
      <c r="B47" s="32"/>
      <c r="C47" s="32"/>
      <c r="D47" s="32"/>
      <c r="E47" s="32"/>
      <c r="F47" s="32"/>
      <c r="G47" s="32"/>
      <c r="H47" s="32"/>
      <c r="I47" s="32"/>
      <c r="J47" s="32"/>
      <c r="K47" s="32"/>
      <c r="L47" s="32"/>
    </row>
    <row r="48" spans="1:12" ht="15">
      <c r="A48" s="32"/>
      <c r="B48" s="32"/>
      <c r="C48" s="32"/>
      <c r="D48" s="32"/>
      <c r="E48" s="32"/>
      <c r="F48" s="32"/>
      <c r="G48" s="32"/>
      <c r="H48" s="32"/>
      <c r="I48" s="32"/>
      <c r="J48" s="32"/>
      <c r="K48" s="32"/>
      <c r="L48" s="32"/>
    </row>
  </sheetData>
  <sheetProtection/>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G10" sqref="G10"/>
    </sheetView>
  </sheetViews>
  <sheetFormatPr defaultColWidth="8.8984375" defaultRowHeight="15"/>
  <cols>
    <col min="1" max="1" width="23.69921875" style="2" customWidth="1"/>
    <col min="2" max="4" width="9.69921875" style="2" customWidth="1"/>
    <col min="5" max="5" width="18.296875" style="2" customWidth="1"/>
    <col min="6" max="8" width="15.69921875" style="2" customWidth="1"/>
    <col min="9" max="16384" width="8.8984375" style="2" customWidth="1"/>
  </cols>
  <sheetData>
    <row r="1" spans="1:8" ht="15">
      <c r="A1" s="10" t="str">
        <f>inputPrYr!$D$2</f>
        <v>City of Ellsworth</v>
      </c>
      <c r="B1" s="5"/>
      <c r="C1" s="5"/>
      <c r="D1" s="5"/>
      <c r="E1" s="5"/>
      <c r="F1" s="5"/>
      <c r="G1" s="5"/>
      <c r="H1" s="21">
        <f>inputPrYr!C5</f>
        <v>2012</v>
      </c>
    </row>
    <row r="2" spans="1:8" ht="15">
      <c r="A2" s="10"/>
      <c r="B2" s="5"/>
      <c r="C2" s="5"/>
      <c r="D2" s="5"/>
      <c r="E2" s="5"/>
      <c r="F2" s="5"/>
      <c r="G2" s="5"/>
      <c r="H2" s="7"/>
    </row>
    <row r="3" spans="1:8" ht="15">
      <c r="A3" s="5"/>
      <c r="B3" s="5"/>
      <c r="C3" s="5"/>
      <c r="D3" s="5"/>
      <c r="E3" s="5"/>
      <c r="F3" s="5"/>
      <c r="G3" s="5"/>
      <c r="H3" s="6"/>
    </row>
    <row r="4" spans="1:8" ht="15">
      <c r="A4" s="11" t="s">
        <v>115</v>
      </c>
      <c r="B4" s="8"/>
      <c r="C4" s="8"/>
      <c r="D4" s="8"/>
      <c r="E4" s="8"/>
      <c r="F4" s="8"/>
      <c r="G4" s="8"/>
      <c r="H4" s="8"/>
    </row>
    <row r="5" spans="1:8" ht="15">
      <c r="A5" s="4"/>
      <c r="B5" s="16"/>
      <c r="C5" s="16"/>
      <c r="D5" s="16"/>
      <c r="E5" s="16"/>
      <c r="F5" s="16"/>
      <c r="G5" s="16"/>
      <c r="H5" s="16"/>
    </row>
    <row r="6" spans="1:8" ht="15">
      <c r="A6" s="5"/>
      <c r="B6" s="9"/>
      <c r="C6" s="9"/>
      <c r="D6" s="9"/>
      <c r="E6" s="12" t="s">
        <v>25</v>
      </c>
      <c r="F6" s="9"/>
      <c r="G6" s="9"/>
      <c r="H6" s="9"/>
    </row>
    <row r="7" spans="1:8" ht="15">
      <c r="A7" s="5"/>
      <c r="B7" s="13"/>
      <c r="C7" s="13" t="s">
        <v>103</v>
      </c>
      <c r="D7" s="13" t="s">
        <v>104</v>
      </c>
      <c r="E7" s="13" t="s">
        <v>46</v>
      </c>
      <c r="F7" s="13" t="s">
        <v>106</v>
      </c>
      <c r="G7" s="13" t="s">
        <v>107</v>
      </c>
      <c r="H7" s="13" t="s">
        <v>107</v>
      </c>
    </row>
    <row r="8" spans="1:8" ht="15">
      <c r="A8" s="5"/>
      <c r="B8" s="13" t="s">
        <v>108</v>
      </c>
      <c r="C8" s="13" t="s">
        <v>109</v>
      </c>
      <c r="D8" s="13" t="s">
        <v>92</v>
      </c>
      <c r="E8" s="13" t="s">
        <v>110</v>
      </c>
      <c r="F8" s="13" t="s">
        <v>155</v>
      </c>
      <c r="G8" s="13" t="s">
        <v>111</v>
      </c>
      <c r="H8" s="13" t="s">
        <v>111</v>
      </c>
    </row>
    <row r="9" spans="1:8" ht="15">
      <c r="A9" s="17" t="s">
        <v>112</v>
      </c>
      <c r="B9" s="14" t="s">
        <v>89</v>
      </c>
      <c r="C9" s="19" t="s">
        <v>113</v>
      </c>
      <c r="D9" s="14" t="s">
        <v>69</v>
      </c>
      <c r="E9" s="19" t="s">
        <v>179</v>
      </c>
      <c r="F9" s="15" t="str">
        <f>CONCATENATE("Jan 1,",H1-1,"")</f>
        <v>Jan 1,2011</v>
      </c>
      <c r="G9" s="14">
        <f>H1-1</f>
        <v>2011</v>
      </c>
      <c r="H9" s="14">
        <f>H1</f>
        <v>2012</v>
      </c>
    </row>
    <row r="10" spans="1:8" ht="15">
      <c r="A10" s="3" t="s">
        <v>718</v>
      </c>
      <c r="B10" s="29">
        <v>38549</v>
      </c>
      <c r="C10" s="24">
        <v>96</v>
      </c>
      <c r="D10" s="22">
        <v>4.5</v>
      </c>
      <c r="E10" s="23">
        <v>182282</v>
      </c>
      <c r="F10" s="23">
        <v>66258</v>
      </c>
      <c r="G10" s="23">
        <v>34417</v>
      </c>
      <c r="H10" s="23">
        <v>35417</v>
      </c>
    </row>
    <row r="11" spans="1:8" ht="15">
      <c r="A11" s="3"/>
      <c r="B11" s="29"/>
      <c r="C11" s="24"/>
      <c r="D11" s="22"/>
      <c r="E11" s="23"/>
      <c r="F11" s="23"/>
      <c r="G11" s="23"/>
      <c r="H11" s="23"/>
    </row>
    <row r="12" spans="1:8" ht="15">
      <c r="A12" s="3"/>
      <c r="B12" s="29"/>
      <c r="C12" s="24"/>
      <c r="D12" s="22"/>
      <c r="E12" s="23"/>
      <c r="F12" s="23"/>
      <c r="G12" s="23"/>
      <c r="H12" s="23"/>
    </row>
    <row r="13" spans="1:8" ht="15">
      <c r="A13" s="3"/>
      <c r="B13" s="29"/>
      <c r="C13" s="24"/>
      <c r="D13" s="22"/>
      <c r="E13" s="23"/>
      <c r="F13" s="23"/>
      <c r="G13" s="23"/>
      <c r="H13" s="23"/>
    </row>
    <row r="14" spans="1:8" ht="15">
      <c r="A14" s="3"/>
      <c r="B14" s="29"/>
      <c r="C14" s="24"/>
      <c r="D14" s="22"/>
      <c r="E14" s="23"/>
      <c r="F14" s="23"/>
      <c r="G14" s="23"/>
      <c r="H14" s="23"/>
    </row>
    <row r="15" spans="1:8" ht="15">
      <c r="A15" s="3"/>
      <c r="B15" s="29"/>
      <c r="C15" s="24"/>
      <c r="D15" s="22"/>
      <c r="E15" s="23"/>
      <c r="F15" s="23"/>
      <c r="G15" s="23"/>
      <c r="H15" s="23"/>
    </row>
    <row r="16" spans="1:8" ht="15">
      <c r="A16" s="3"/>
      <c r="B16" s="29"/>
      <c r="C16" s="24"/>
      <c r="D16" s="22"/>
      <c r="E16" s="23"/>
      <c r="F16" s="23"/>
      <c r="G16" s="23"/>
      <c r="H16" s="23"/>
    </row>
    <row r="17" spans="1:8" ht="15">
      <c r="A17" s="3"/>
      <c r="B17" s="29"/>
      <c r="C17" s="24"/>
      <c r="D17" s="22"/>
      <c r="E17" s="23"/>
      <c r="F17" s="23"/>
      <c r="G17" s="23"/>
      <c r="H17" s="23"/>
    </row>
    <row r="18" spans="1:8" ht="15">
      <c r="A18" s="3"/>
      <c r="B18" s="29"/>
      <c r="C18" s="24"/>
      <c r="D18" s="22"/>
      <c r="E18" s="23"/>
      <c r="F18" s="23"/>
      <c r="G18" s="23"/>
      <c r="H18" s="23"/>
    </row>
    <row r="19" spans="1:8" ht="15">
      <c r="A19" s="3"/>
      <c r="B19" s="29"/>
      <c r="C19" s="24"/>
      <c r="D19" s="22"/>
      <c r="E19" s="23"/>
      <c r="F19" s="23"/>
      <c r="G19" s="23"/>
      <c r="H19" s="23"/>
    </row>
    <row r="20" spans="1:8" ht="15">
      <c r="A20" s="3"/>
      <c r="B20" s="29"/>
      <c r="C20" s="24"/>
      <c r="D20" s="22"/>
      <c r="E20" s="23"/>
      <c r="F20" s="23"/>
      <c r="G20" s="23"/>
      <c r="H20" s="23"/>
    </row>
    <row r="21" spans="1:8" ht="15">
      <c r="A21" s="3"/>
      <c r="B21" s="29"/>
      <c r="C21" s="24"/>
      <c r="D21" s="22"/>
      <c r="E21" s="23"/>
      <c r="F21" s="23"/>
      <c r="G21" s="23"/>
      <c r="H21" s="23"/>
    </row>
    <row r="22" spans="1:8" ht="15">
      <c r="A22" s="3"/>
      <c r="B22" s="29"/>
      <c r="C22" s="24"/>
      <c r="D22" s="22"/>
      <c r="E22" s="23"/>
      <c r="F22" s="23"/>
      <c r="G22" s="23"/>
      <c r="H22" s="23"/>
    </row>
    <row r="23" spans="1:8" ht="15">
      <c r="A23" s="3"/>
      <c r="B23" s="29"/>
      <c r="C23" s="24"/>
      <c r="D23" s="22"/>
      <c r="E23" s="23"/>
      <c r="F23" s="23"/>
      <c r="G23" s="23"/>
      <c r="H23" s="23"/>
    </row>
    <row r="24" spans="1:8" ht="15">
      <c r="A24" s="3"/>
      <c r="B24" s="29"/>
      <c r="C24" s="24"/>
      <c r="D24" s="22"/>
      <c r="E24" s="23"/>
      <c r="F24" s="23"/>
      <c r="G24" s="23"/>
      <c r="H24" s="23"/>
    </row>
    <row r="25" spans="1:8" ht="15">
      <c r="A25" s="3"/>
      <c r="B25" s="29"/>
      <c r="C25" s="24"/>
      <c r="D25" s="22"/>
      <c r="E25" s="23"/>
      <c r="F25" s="23"/>
      <c r="G25" s="23"/>
      <c r="H25" s="23"/>
    </row>
    <row r="26" spans="1:8" ht="15">
      <c r="A26" s="3"/>
      <c r="B26" s="29"/>
      <c r="C26" s="24"/>
      <c r="D26" s="22"/>
      <c r="E26" s="23"/>
      <c r="F26" s="23"/>
      <c r="G26" s="23"/>
      <c r="H26" s="23"/>
    </row>
    <row r="27" spans="1:8" ht="15">
      <c r="A27" s="3"/>
      <c r="B27" s="29"/>
      <c r="C27" s="24"/>
      <c r="D27" s="22"/>
      <c r="E27" s="23"/>
      <c r="F27" s="23"/>
      <c r="G27" s="23"/>
      <c r="H27" s="23"/>
    </row>
    <row r="28" spans="1:8" ht="15.75" thickBot="1">
      <c r="A28" s="18" t="s">
        <v>41</v>
      </c>
      <c r="B28" s="20"/>
      <c r="C28" s="20"/>
      <c r="D28" s="20"/>
      <c r="E28" s="20"/>
      <c r="F28" s="28">
        <f>SUM(F10:F27)</f>
        <v>66258</v>
      </c>
      <c r="G28" s="28">
        <f>SUM(G10:G27)</f>
        <v>34417</v>
      </c>
      <c r="H28" s="28">
        <f>SUM(H10:H27)</f>
        <v>35417</v>
      </c>
    </row>
    <row r="29" spans="1:8" ht="15.75" thickTop="1">
      <c r="A29" s="5"/>
      <c r="B29" s="5"/>
      <c r="C29" s="5"/>
      <c r="D29" s="5"/>
      <c r="E29" s="5"/>
      <c r="F29" s="5"/>
      <c r="G29" s="10"/>
      <c r="H29" s="10"/>
    </row>
    <row r="30" spans="1:8" ht="15">
      <c r="A30" s="30" t="s">
        <v>15</v>
      </c>
      <c r="B30" s="31"/>
      <c r="C30" s="31"/>
      <c r="D30" s="31"/>
      <c r="E30" s="31"/>
      <c r="F30" s="31"/>
      <c r="G30" s="10"/>
      <c r="H30" s="10"/>
    </row>
  </sheetData>
  <sheetProtection/>
  <printOptions/>
  <pageMargins left="0.25" right="0.25" top="1" bottom="0.5" header="0.5" footer="0.5"/>
  <pageSetup blackAndWhite="1" fitToHeight="1" fitToWidth="1" horizontalDpi="120" verticalDpi="120" orientation="landscape" scale="84" r:id="rId1"/>
  <headerFooter alignWithMargins="0">
    <oddHeader>&amp;RState of Kansas
City</oddHeader>
    <oddFooter>&amp;CPage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Jan</cp:lastModifiedBy>
  <cp:lastPrinted>2011-08-22T19:12:36Z</cp:lastPrinted>
  <dcterms:created xsi:type="dcterms:W3CDTF">1999-08-03T13:11:47Z</dcterms:created>
  <dcterms:modified xsi:type="dcterms:W3CDTF">2011-11-22T19:54:12Z</dcterms:modified>
  <cp:category/>
  <cp:version/>
  <cp:contentType/>
  <cp:contentStatus/>
</cp:coreProperties>
</file>