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2.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4"/>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DebtSvs-levy page 8"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summ" sheetId="24" r:id="rId24"/>
    <sheet name="no levy page17" sheetId="25" r:id="rId25"/>
    <sheet name="no levy page18" sheetId="26" r:id="rId26"/>
    <sheet name="no levy page19" sheetId="27" r:id="rId27"/>
    <sheet name="no levy page20" sheetId="28" r:id="rId28"/>
    <sheet name="no levy page21" sheetId="29" r:id="rId29"/>
    <sheet name="SinNoLevy22" sheetId="30" r:id="rId30"/>
    <sheet name="SinNoLevy23" sheetId="31" r:id="rId31"/>
    <sheet name="SinNoLevy24" sheetId="32" r:id="rId32"/>
    <sheet name="SinNoLevy25" sheetId="33" r:id="rId33"/>
    <sheet name="NonBudA" sheetId="34" r:id="rId34"/>
    <sheet name="NonBudB" sheetId="35" r:id="rId35"/>
    <sheet name="NonBudC" sheetId="36" r:id="rId36"/>
    <sheet name="NonBudD" sheetId="37" r:id="rId37"/>
    <sheet name="NonBudFunds" sheetId="38" r:id="rId38"/>
    <sheet name="nhood" sheetId="39" r:id="rId39"/>
    <sheet name="ProofPub" sheetId="40" r:id="rId40"/>
    <sheet name="ordinance" sheetId="41" r:id="rId41"/>
    <sheet name="Tab A" sheetId="42" r:id="rId42"/>
    <sheet name="Tab B" sheetId="43" r:id="rId43"/>
    <sheet name="Tab C" sheetId="44" r:id="rId44"/>
    <sheet name="Tab D" sheetId="45" r:id="rId45"/>
    <sheet name="Tab E" sheetId="46" r:id="rId46"/>
    <sheet name="Mill Rate Computation" sheetId="47" r:id="rId47"/>
    <sheet name="Helpful Links" sheetId="48" r:id="rId48"/>
    <sheet name="legend" sheetId="49" r:id="rId49"/>
  </sheets>
  <definedNames>
    <definedName name="_xlnm.Print_Area" localSheetId="14">'DebtSvs-levy page 8'!$B$1:$E$77</definedName>
    <definedName name="_xlnm.Print_Area" localSheetId="12">'general'!$B$1:$E$120</definedName>
    <definedName name="_xlnm.Print_Area" localSheetId="1">'inputPrYr'!$A$1:$E$125</definedName>
    <definedName name="_xlnm.Print_Area" localSheetId="16">'levy page10'!$B$1:$E$78</definedName>
    <definedName name="_xlnm.Print_Area" localSheetId="11">'lpform'!$A$1:$H$38</definedName>
    <definedName name="_xlnm.Print_Area" localSheetId="46">'Mill Rate Computation'!$B$1:$W$149</definedName>
    <definedName name="_xlnm.Print_Area" localSheetId="23">'summ'!$A$1:$H$70</definedName>
  </definedNames>
  <calcPr fullCalcOnLoad="1"/>
</workbook>
</file>

<file path=xl/sharedStrings.xml><?xml version="1.0" encoding="utf-8"?>
<sst xmlns="http://schemas.openxmlformats.org/spreadsheetml/2006/main" count="2156" uniqueCount="933">
  <si>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</si>
  <si>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</si>
  <si>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</si>
  <si>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</si>
  <si>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</si>
  <si>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</si>
  <si>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</si>
  <si>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</si>
  <si>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</si>
  <si>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</si>
  <si>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</si>
  <si>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</si>
  <si>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</si>
  <si>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</si>
  <si>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</si>
  <si>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</si>
  <si>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</si>
  <si>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</si>
  <si>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</si>
  <si>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</si>
  <si>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</si>
  <si>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</si>
  <si>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</si>
  <si>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</si>
  <si>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</si>
  <si>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</si>
  <si>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</si>
  <si>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</si>
  <si>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</si>
  <si>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</si>
  <si>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</si>
  <si>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</si>
  <si>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</si>
  <si>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</si>
  <si>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</si>
  <si>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</si>
  <si>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</si>
  <si>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</si>
  <si>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</si>
  <si>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</si>
  <si>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</si>
  <si>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</si>
  <si>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</si>
  <si>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</si>
  <si>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</si>
  <si>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</si>
  <si>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</si>
  <si>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</si>
  <si>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</si>
  <si>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</si>
  <si>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</si>
  <si>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</si>
  <si>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</si>
  <si>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</si>
  <si>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</si>
  <si>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</si>
  <si>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</si>
  <si>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</si>
  <si>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</si>
  <si>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</si>
  <si>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</si>
  <si>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</si>
  <si>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</si>
  <si>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</si>
  <si>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</si>
  <si>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</si>
  <si>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</si>
  <si>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</si>
  <si>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</si>
  <si>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</si>
  <si>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</si>
  <si>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</si>
  <si>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</si>
  <si>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</si>
  <si>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</si>
  <si>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</si>
  <si>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</si>
  <si>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</si>
  <si>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</si>
  <si>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</si>
  <si>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</si>
  <si>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</si>
  <si>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</si>
  <si>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</si>
  <si>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</si>
  <si>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</si>
  <si>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</si>
  <si>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</si>
  <si>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</si>
  <si>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</si>
  <si>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</si>
  <si>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</si>
  <si>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</si>
  <si>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</si>
  <si>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</si>
  <si>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</si>
  <si>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</si>
  <si>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</si>
  <si>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</si>
  <si>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</si>
  <si>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</si>
  <si>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</si>
  <si>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</si>
  <si>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</si>
  <si>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</si>
  <si>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</si>
  <si>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</si>
  <si>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</si>
  <si>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</si>
  <si>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</si>
  <si>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</si>
  <si>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</si>
  <si>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</si>
  <si>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</si>
  <si>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</si>
  <si>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</si>
  <si>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</si>
  <si>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</si>
  <si>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</si>
  <si>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</si>
  <si>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</si>
  <si>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</si>
  <si>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</si>
  <si>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</si>
  <si>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</si>
  <si>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</si>
  <si>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</si>
  <si>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</si>
  <si>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</si>
  <si>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</si>
  <si>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</si>
  <si>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</si>
  <si>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</si>
  <si>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</si>
  <si>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</si>
  <si>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</si>
  <si>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</si>
  <si>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</si>
  <si>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</si>
  <si>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</si>
  <si>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</si>
  <si>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</si>
  <si>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</si>
  <si>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</si>
  <si>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</si>
  <si>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</si>
  <si>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</si>
  <si>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</si>
  <si>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</si>
  <si>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</si>
  <si>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</si>
  <si>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</si>
  <si>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</si>
  <si>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</si>
  <si>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</si>
  <si>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</si>
  <si>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</si>
  <si>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</si>
  <si>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</si>
  <si>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</si>
  <si>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</si>
  <si>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</si>
  <si>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</si>
  <si>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</si>
  <si>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</si>
  <si>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</si>
  <si>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</si>
  <si>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</si>
  <si>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</si>
  <si>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</si>
  <si>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</si>
  <si>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</si>
  <si>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</si>
  <si>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</si>
  <si>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</si>
  <si>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</si>
  <si>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</si>
  <si>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</si>
  <si>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</si>
  <si>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</si>
  <si>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</si>
  <si>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</si>
  <si>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</si>
  <si>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</si>
  <si>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</si>
  <si>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</si>
  <si>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</si>
  <si>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</si>
  <si>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</si>
  <si>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</si>
  <si>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</si>
  <si>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</si>
  <si>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</si>
  <si>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</si>
  <si>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</si>
  <si>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</si>
  <si>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</si>
  <si>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</si>
  <si>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</si>
  <si>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</si>
  <si>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</si>
  <si>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</si>
  <si>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</si>
  <si>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</si>
  <si>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</si>
  <si>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</si>
  <si>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</si>
  <si>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</si>
  <si>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</si>
  <si>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</si>
  <si>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</si>
  <si>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</si>
  <si>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</si>
  <si>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</si>
  <si>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</si>
  <si>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</si>
  <si>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</si>
  <si>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</si>
  <si>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</si>
  <si>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</si>
  <si>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</si>
  <si>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</si>
  <si>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</si>
  <si>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</si>
  <si>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</si>
  <si>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</si>
  <si>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</si>
  <si>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</si>
  <si>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</si>
  <si>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</si>
  <si>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</si>
  <si>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</si>
  <si>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</si>
  <si>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</si>
  <si>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</si>
  <si>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</si>
  <si>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</si>
  <si>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</si>
  <si>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</si>
  <si>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</si>
  <si>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</si>
  <si>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</si>
  <si>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</si>
  <si>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</si>
  <si>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</si>
  <si>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</si>
  <si>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</si>
  <si>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</si>
  <si>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</si>
  <si>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</si>
  <si>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</si>
  <si>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</si>
  <si>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</si>
  <si>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</si>
  <si>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</si>
  <si>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</si>
  <si>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</si>
  <si>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</si>
  <si>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</si>
  <si>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</si>
  <si>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</si>
  <si>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</si>
  <si>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</si>
  <si>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</si>
  <si>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</si>
  <si>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</si>
  <si>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</si>
  <si>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</si>
  <si>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</si>
  <si>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</si>
  <si>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</si>
  <si>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</si>
  <si>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</si>
  <si>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</si>
  <si>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</si>
  <si>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</si>
  <si>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</si>
  <si>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</si>
  <si>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</si>
  <si>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</si>
  <si>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</si>
  <si>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</si>
  <si>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</si>
  <si>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</si>
  <si>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</si>
  <si>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</si>
  <si>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</si>
  <si>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</si>
  <si>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</si>
  <si>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</si>
  <si>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</si>
  <si>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</si>
  <si>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</si>
  <si>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</si>
  <si>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</si>
  <si>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</si>
  <si>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</si>
  <si>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</si>
  <si>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</si>
  <si>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</si>
  <si>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</si>
  <si>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</si>
  <si>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</si>
  <si>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</si>
  <si>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</si>
  <si>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</si>
  <si>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</si>
  <si>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</si>
  <si>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</si>
  <si>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</si>
  <si>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</si>
  <si>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</si>
  <si>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</si>
  <si>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</si>
  <si>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</si>
  <si>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</si>
  <si>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</si>
  <si>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</si>
  <si>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</si>
  <si>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</si>
  <si>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</si>
  <si>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</si>
  <si>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</si>
  <si>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</si>
  <si>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</si>
  <si>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</si>
  <si>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</si>
  <si>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</si>
  <si>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</si>
  <si>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</si>
  <si>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</si>
  <si>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</si>
  <si>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</si>
  <si>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</si>
  <si>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</si>
  <si>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</si>
  <si>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</si>
  <si>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</si>
  <si>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</si>
  <si>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</si>
  <si>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</si>
  <si>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</si>
  <si>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</si>
  <si>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</si>
  <si>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</si>
  <si>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</si>
  <si>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</si>
  <si>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</si>
  <si>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</si>
  <si>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</si>
  <si>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</si>
  <si>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</si>
  <si>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</si>
  <si>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</si>
  <si>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</si>
  <si>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</si>
  <si>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</si>
  <si>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</si>
  <si>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</si>
  <si>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</si>
  <si>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</si>
  <si>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</si>
  <si>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</si>
  <si>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</si>
  <si>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</si>
  <si>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</si>
  <si>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</si>
  <si>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</si>
  <si>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</si>
  <si>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</si>
  <si>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</si>
  <si>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</si>
  <si>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</si>
  <si>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</si>
  <si>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</si>
  <si>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</si>
  <si>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</si>
  <si>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</si>
  <si>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</si>
  <si>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</si>
  <si>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</si>
  <si>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</si>
  <si>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</si>
  <si>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</si>
  <si>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</si>
  <si>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</si>
  <si>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</si>
  <si>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</si>
  <si>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</si>
  <si>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</si>
  <si>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</si>
  <si>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</si>
  <si>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</si>
  <si>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</si>
  <si>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</si>
  <si>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Harvey Siemens</t>
  </si>
  <si>
    <t>5265 Idle Banks</t>
  </si>
  <si>
    <t>Valley Center, Ks. 67147</t>
  </si>
  <si>
    <t>Elbing City</t>
  </si>
  <si>
    <t>Butler County</t>
  </si>
  <si>
    <t>Water Utility</t>
  </si>
  <si>
    <t>Water Reserve Fd</t>
  </si>
  <si>
    <t>Sewer Utility</t>
  </si>
  <si>
    <t>Sewer Replace Acct. Reserve</t>
  </si>
  <si>
    <t>Sewer Reserve Account</t>
  </si>
  <si>
    <t>WWRCFD</t>
  </si>
  <si>
    <t>Refuse Reciepts</t>
  </si>
  <si>
    <t>General Administration</t>
  </si>
  <si>
    <t>Street &amp; Alley</t>
  </si>
  <si>
    <t>Street Lights</t>
  </si>
  <si>
    <t>Firehouse</t>
  </si>
  <si>
    <t>Ambulance</t>
  </si>
  <si>
    <t>FICA / Unemployment</t>
  </si>
  <si>
    <t>Siren Maintenance &amp; Electricity</t>
  </si>
  <si>
    <t>Insurance</t>
  </si>
  <si>
    <t>Refuse Charrges</t>
  </si>
  <si>
    <t>Sale of Equip.</t>
  </si>
  <si>
    <t>Recylcing</t>
  </si>
  <si>
    <t>Dividend</t>
  </si>
  <si>
    <t>Permits</t>
  </si>
  <si>
    <t xml:space="preserve">Equipment </t>
  </si>
  <si>
    <t>Cash Basis</t>
  </si>
  <si>
    <t>Capital Improvements</t>
  </si>
  <si>
    <t>Sale of Culverts</t>
  </si>
  <si>
    <t>Street Repair &amp; Maint.</t>
  </si>
  <si>
    <t>Charges to Customers</t>
  </si>
  <si>
    <t>Water Plan Fee</t>
  </si>
  <si>
    <t>Security Deposits</t>
  </si>
  <si>
    <t>Operation &amp; Maintenance</t>
  </si>
  <si>
    <t>Purchase of Water</t>
  </si>
  <si>
    <t>Sales Tax</t>
  </si>
  <si>
    <t>Refund Security Deposit</t>
  </si>
  <si>
    <t>Transfer to Water Reserve</t>
  </si>
  <si>
    <t>Transfer from Water Utility</t>
  </si>
  <si>
    <t>Water Tower Maintenance</t>
  </si>
  <si>
    <t>Sewer Collections</t>
  </si>
  <si>
    <t>Operations &amp; Maintenance</t>
  </si>
  <si>
    <t>Loan Payment</t>
  </si>
  <si>
    <t>Transfer to Sewer Replacement Account</t>
  </si>
  <si>
    <t>Improvements</t>
  </si>
  <si>
    <t>Transfer from Sewer Fd.</t>
  </si>
  <si>
    <t>Bond Series 2000</t>
  </si>
  <si>
    <t>2/1  8/1</t>
  </si>
  <si>
    <t>Revolving Loan Fund</t>
  </si>
  <si>
    <t>3/1 9/1</t>
  </si>
  <si>
    <t>NONE</t>
  </si>
  <si>
    <t>Water Reserve</t>
  </si>
  <si>
    <t>12-825d</t>
  </si>
  <si>
    <t>Sewer Reserve Replacement</t>
  </si>
  <si>
    <t>August 1st 2011</t>
  </si>
  <si>
    <t>7:00 pm</t>
  </si>
  <si>
    <t>the City Building</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</si>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</sst>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58">
    <font>
      <sz val="12"/>
      <name val="Courier"/>
      <family val="0"/>
    </font>
    <font>
      <sz val="11"/>
      <color indexed="8"/>
      <name val="Calibri"/>
      <family val="2"/>
    </font>
    <font>
      <b/>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right/>
      <top style="thin"/>
      <bottom style="thin"/>
    </border>
    <border>
      <left/>
      <right style="thin"/>
      <top/>
      <bottom style="thin"/>
    </border>
    <border>
      <left/>
      <right style="thin"/>
      <top style="thin"/>
      <bottom style="thin"/>
    </border>
    <border>
      <left/>
      <right/>
      <top style="thin"/>
      <bottom/>
    </border>
    <border>
      <left style="thin"/>
      <right/>
      <top style="thin"/>
      <bottom style="thin"/>
    </border>
    <border>
      <left/>
      <right style="thin"/>
      <top/>
      <bottom/>
    </border>
    <border>
      <left/>
      <right style="thin"/>
      <top style="thin"/>
      <bottom/>
    </border>
    <border>
      <left/>
      <right/>
      <top/>
      <bottom style="double"/>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48" fillId="15" borderId="0" applyNumberFormat="0" applyBorder="0" applyAlignment="0" applyProtection="0"/>
    <xf numFmtId="0" fontId="52" fillId="16" borderId="1" applyNumberFormat="0" applyAlignment="0" applyProtection="0"/>
    <xf numFmtId="0" fontId="5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47"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50" fillId="7" borderId="1" applyNumberFormat="0" applyAlignment="0" applyProtection="0"/>
    <xf numFmtId="0" fontId="53" fillId="0" borderId="6" applyNumberFormat="0" applyFill="0" applyAlignment="0" applyProtection="0"/>
    <xf numFmtId="0" fontId="49" fillId="7"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1" fillId="1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56" fillId="0" borderId="9" applyNumberFormat="0" applyFill="0" applyAlignment="0" applyProtection="0"/>
    <xf numFmtId="0" fontId="53" fillId="0" borderId="0" applyNumberFormat="0" applyFill="0" applyBorder="0" applyAlignment="0" applyProtection="0"/>
  </cellStyleXfs>
  <cellXfs count="755">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0" fontId="4" fillId="4" borderId="11" xfId="0" applyFont="1" applyFill="1" applyBorder="1" applyAlignment="1" applyProtection="1">
      <alignment/>
      <protection/>
    </xf>
    <xf numFmtId="0" fontId="4" fillId="4" borderId="0" xfId="0"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0" fontId="4" fillId="4" borderId="0" xfId="0" applyFont="1" applyFill="1" applyAlignment="1" applyProtection="1">
      <alignment horizontal="centerContinuous"/>
      <protection/>
    </xf>
    <xf numFmtId="0" fontId="4" fillId="4" borderId="12" xfId="0" applyFont="1" applyFill="1" applyBorder="1" applyAlignment="1" applyProtection="1">
      <alignment/>
      <protection/>
    </xf>
    <xf numFmtId="37" fontId="4" fillId="4" borderId="0" xfId="0" applyNumberFormat="1" applyFont="1" applyFill="1" applyAlignment="1" applyProtection="1">
      <alignment/>
      <protection/>
    </xf>
    <xf numFmtId="0" fontId="3" fillId="4" borderId="0" xfId="340" applyFont="1" applyFill="1" applyAlignment="1" applyProtection="1">
      <alignment horizontal="centerContinuous"/>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4" xfId="0" applyFont="1" applyFill="1" applyBorder="1" applyAlignment="1" applyProtection="1">
      <alignment horizontal="center"/>
      <protection/>
    </xf>
    <xf numFmtId="14" fontId="4" fillId="4" borderId="14" xfId="0" applyNumberFormat="1" applyFont="1" applyFill="1" applyBorder="1" applyAlignment="1" applyProtection="1" quotePrefix="1">
      <alignment horizontal="center"/>
      <protection/>
    </xf>
    <xf numFmtId="0" fontId="4" fillId="4" borderId="11" xfId="0" applyFont="1" applyFill="1" applyBorder="1" applyAlignment="1" applyProtection="1">
      <alignment horizontal="fill"/>
      <protection/>
    </xf>
    <xf numFmtId="0" fontId="4" fillId="4" borderId="11" xfId="0" applyFont="1" applyFill="1" applyBorder="1" applyAlignment="1" applyProtection="1">
      <alignment horizontal="left"/>
      <protection/>
    </xf>
    <xf numFmtId="0" fontId="3" fillId="4" borderId="0" xfId="0" applyFont="1" applyFill="1" applyAlignment="1" applyProtection="1">
      <alignment horizontal="left"/>
      <protection/>
    </xf>
    <xf numFmtId="0" fontId="7" fillId="4" borderId="14" xfId="0" applyFont="1" applyFill="1" applyBorder="1" applyAlignment="1" applyProtection="1">
      <alignment horizontal="center"/>
      <protection/>
    </xf>
    <xf numFmtId="0" fontId="4" fillId="4" borderId="0" xfId="0" applyFont="1" applyFill="1" applyAlignment="1" applyProtection="1">
      <alignment horizontal="center"/>
      <protection/>
    </xf>
    <xf numFmtId="0" fontId="4" fillId="4" borderId="0" xfId="0" applyNumberFormat="1" applyFont="1" applyFill="1" applyAlignment="1" applyProtection="1">
      <alignment horizontal="right"/>
      <protection/>
    </xf>
    <xf numFmtId="2" fontId="4" fillId="18" borderId="10" xfId="0" applyNumberFormat="1" applyFont="1" applyFill="1" applyBorder="1" applyAlignment="1" applyProtection="1">
      <alignment horizontal="center"/>
      <protection locked="0"/>
    </xf>
    <xf numFmtId="3" fontId="4" fillId="18" borderId="10" xfId="0" applyNumberFormat="1" applyFont="1" applyFill="1" applyBorder="1" applyAlignment="1" applyProtection="1">
      <alignment horizontal="center"/>
      <protection locked="0"/>
    </xf>
    <xf numFmtId="1" fontId="4" fillId="18" borderId="10"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7" borderId="15" xfId="0" applyNumberFormat="1" applyFont="1" applyFill="1" applyBorder="1" applyAlignment="1" applyProtection="1">
      <alignment horizontal="center"/>
      <protection/>
    </xf>
    <xf numFmtId="14" fontId="4" fillId="18" borderId="10" xfId="0" applyNumberFormat="1" applyFont="1" applyFill="1" applyBorder="1" applyAlignment="1" applyProtection="1">
      <alignment horizontal="center"/>
      <protection locked="0"/>
    </xf>
    <xf numFmtId="0" fontId="4" fillId="14" borderId="0" xfId="339" applyFont="1" applyFill="1" applyProtection="1">
      <alignment/>
      <protection/>
    </xf>
    <xf numFmtId="0" fontId="4" fillId="14" borderId="0" xfId="0" applyFont="1" applyFill="1" applyAlignment="1" applyProtection="1">
      <alignment/>
      <protection/>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6" fillId="0" borderId="0" xfId="0" applyFont="1" applyAlignment="1">
      <alignment vertical="center" wrapText="1"/>
    </xf>
    <xf numFmtId="0" fontId="4" fillId="18" borderId="0" xfId="0" applyFont="1" applyFill="1" applyAlignment="1">
      <alignment vertical="center"/>
    </xf>
    <xf numFmtId="0" fontId="4" fillId="0" borderId="0" xfId="0" applyFont="1" applyFill="1" applyAlignment="1">
      <alignment vertical="center"/>
    </xf>
    <xf numFmtId="0" fontId="4" fillId="4" borderId="0" xfId="0" applyFont="1" applyFill="1" applyAlignment="1">
      <alignment vertical="center" wrapText="1"/>
    </xf>
    <xf numFmtId="0" fontId="4" fillId="0" borderId="0" xfId="0" applyFont="1" applyFill="1" applyAlignment="1">
      <alignment vertical="center" wrapText="1"/>
    </xf>
    <xf numFmtId="0" fontId="4" fillId="19" borderId="0" xfId="0" applyFont="1" applyFill="1" applyAlignment="1">
      <alignment vertical="center" wrapText="1"/>
    </xf>
    <xf numFmtId="0" fontId="4" fillId="14"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37" fontId="3"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37" fontId="4" fillId="18" borderId="11" xfId="0" applyNumberFormat="1" applyFont="1" applyFill="1" applyBorder="1" applyAlignment="1" applyProtection="1">
      <alignment horizontal="left" vertical="center"/>
      <protection locked="0"/>
    </xf>
    <xf numFmtId="0" fontId="4" fillId="18" borderId="11" xfId="0" applyFont="1" applyFill="1" applyBorder="1" applyAlignment="1" applyProtection="1">
      <alignment vertical="center"/>
      <protection/>
    </xf>
    <xf numFmtId="37" fontId="4" fillId="18" borderId="16" xfId="0" applyNumberFormat="1" applyFont="1" applyFill="1" applyBorder="1" applyAlignment="1" applyProtection="1">
      <alignment horizontal="left" vertical="center"/>
      <protection locked="0"/>
    </xf>
    <xf numFmtId="0" fontId="4" fillId="18" borderId="16" xfId="0"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locked="0"/>
    </xf>
    <xf numFmtId="0" fontId="3" fillId="18" borderId="10" xfId="0" applyFont="1" applyFill="1" applyBorder="1" applyAlignment="1" applyProtection="1">
      <alignment horizontal="center" vertical="center"/>
      <protection locked="0"/>
    </xf>
    <xf numFmtId="37" fontId="3"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3"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3"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19" borderId="12" xfId="0" applyNumberFormat="1" applyFont="1" applyFill="1" applyBorder="1" applyAlignment="1" applyProtection="1">
      <alignment horizontal="center" vertical="center"/>
      <protection/>
    </xf>
    <xf numFmtId="37" fontId="4" fillId="4" borderId="17" xfId="0" applyNumberFormat="1" applyFont="1" applyFill="1" applyBorder="1" applyAlignment="1" applyProtection="1">
      <alignment horizontal="center" vertical="center"/>
      <protection/>
    </xf>
    <xf numFmtId="37" fontId="4" fillId="19" borderId="14"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18" borderId="14" xfId="0" applyNumberFormat="1"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0" fillId="4" borderId="0" xfId="0" applyFill="1" applyAlignment="1">
      <alignment vertical="center"/>
    </xf>
    <xf numFmtId="0" fontId="4" fillId="18" borderId="10" xfId="0"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0" fontId="4" fillId="4" borderId="16" xfId="0" applyFont="1" applyFill="1" applyBorder="1" applyAlignment="1" applyProtection="1">
      <alignment vertical="center"/>
      <protection/>
    </xf>
    <xf numFmtId="37" fontId="4" fillId="4" borderId="18" xfId="0" applyNumberFormat="1" applyFont="1" applyFill="1" applyBorder="1" applyAlignment="1" applyProtection="1">
      <alignment vertical="center"/>
      <protection/>
    </xf>
    <xf numFmtId="37" fontId="4" fillId="7" borderId="18"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18" borderId="10" xfId="0" applyNumberFormat="1" applyFont="1" applyFill="1" applyBorder="1" applyAlignment="1" applyProtection="1">
      <alignment vertical="center"/>
      <protection locked="0"/>
    </xf>
    <xf numFmtId="164" fontId="4" fillId="4" borderId="10" xfId="0" applyNumberFormat="1" applyFont="1" applyFill="1" applyBorder="1" applyAlignment="1" applyProtection="1">
      <alignment vertical="center"/>
      <protection locked="0"/>
    </xf>
    <xf numFmtId="164" fontId="4" fillId="4" borderId="11" xfId="0" applyNumberFormat="1"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164" fontId="4" fillId="4" borderId="14"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center" vertical="center"/>
      <protection/>
    </xf>
    <xf numFmtId="0" fontId="4" fillId="20" borderId="11" xfId="0" applyFont="1" applyFill="1" applyBorder="1" applyAlignment="1">
      <alignment horizontal="center" vertical="center"/>
    </xf>
    <xf numFmtId="37" fontId="4" fillId="4" borderId="10" xfId="0" applyNumberFormat="1" applyFont="1" applyFill="1" applyBorder="1" applyAlignment="1" applyProtection="1">
      <alignment vertical="center"/>
      <protection/>
    </xf>
    <xf numFmtId="164" fontId="4" fillId="7" borderId="10" xfId="0" applyNumberFormat="1" applyFont="1" applyFill="1" applyBorder="1" applyAlignment="1" applyProtection="1">
      <alignment vertical="center"/>
      <protection/>
    </xf>
    <xf numFmtId="37" fontId="4" fillId="19" borderId="11" xfId="0" applyNumberFormat="1" applyFont="1" applyFill="1" applyBorder="1" applyAlignment="1" applyProtection="1">
      <alignment horizontal="left" vertical="center"/>
      <protection/>
    </xf>
    <xf numFmtId="0" fontId="4" fillId="19" borderId="11" xfId="0" applyFont="1" applyFill="1" applyBorder="1" applyAlignment="1" applyProtection="1">
      <alignment vertical="center"/>
      <protection/>
    </xf>
    <xf numFmtId="37" fontId="4" fillId="19" borderId="16" xfId="0" applyNumberFormat="1" applyFont="1" applyFill="1" applyBorder="1" applyAlignment="1" applyProtection="1">
      <alignment horizontal="left" vertical="center"/>
      <protection/>
    </xf>
    <xf numFmtId="0" fontId="4" fillId="19" borderId="16" xfId="0" applyFont="1" applyFill="1" applyBorder="1" applyAlignment="1" applyProtection="1">
      <alignment vertical="center"/>
      <protection/>
    </xf>
    <xf numFmtId="0" fontId="4" fillId="4" borderId="18" xfId="0" applyFont="1" applyFill="1" applyBorder="1" applyAlignment="1" applyProtection="1">
      <alignment vertical="center"/>
      <protection/>
    </xf>
    <xf numFmtId="37" fontId="12" fillId="20" borderId="0" xfId="0" applyNumberFormat="1" applyFont="1" applyFill="1" applyAlignment="1" applyProtection="1">
      <alignment horizontal="left" vertical="center"/>
      <protection/>
    </xf>
    <xf numFmtId="0" fontId="5" fillId="19" borderId="0" xfId="0" applyFont="1" applyFill="1" applyAlignment="1" applyProtection="1">
      <alignment vertical="center"/>
      <protection/>
    </xf>
    <xf numFmtId="0" fontId="5" fillId="4" borderId="0" xfId="0" applyFont="1" applyFill="1" applyAlignment="1" applyProtection="1">
      <alignment horizontal="center" vertical="center"/>
      <protection/>
    </xf>
    <xf numFmtId="3" fontId="4" fillId="4" borderId="0" xfId="0" applyNumberFormat="1" applyFont="1" applyFill="1" applyAlignment="1" applyProtection="1">
      <alignment vertical="center"/>
      <protection/>
    </xf>
    <xf numFmtId="0" fontId="4" fillId="4" borderId="0" xfId="0" applyFont="1" applyFill="1" applyAlignment="1" applyProtection="1">
      <alignment vertical="center"/>
      <protection locked="0"/>
    </xf>
    <xf numFmtId="0" fontId="4" fillId="4" borderId="11"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locked="0"/>
    </xf>
    <xf numFmtId="0" fontId="4" fillId="20"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20" borderId="16" xfId="0" applyFont="1" applyFill="1" applyBorder="1" applyAlignment="1" applyProtection="1">
      <alignment vertical="center"/>
      <protection/>
    </xf>
    <xf numFmtId="0" fontId="4" fillId="4" borderId="18" xfId="0" applyFont="1" applyFill="1" applyBorder="1" applyAlignment="1" applyProtection="1">
      <alignment vertical="center"/>
      <protection locked="0"/>
    </xf>
    <xf numFmtId="0" fontId="0" fillId="0" borderId="0" xfId="0" applyAlignment="1">
      <alignment vertical="center"/>
    </xf>
    <xf numFmtId="37" fontId="4" fillId="4" borderId="16" xfId="0" applyNumberFormat="1" applyFont="1" applyFill="1" applyBorder="1" applyAlignment="1" applyProtection="1">
      <alignment horizontal="left" vertical="center"/>
      <protection/>
    </xf>
    <xf numFmtId="37" fontId="4" fillId="18" borderId="10" xfId="0" applyNumberFormat="1" applyFont="1" applyFill="1" applyBorder="1" applyAlignment="1" applyProtection="1">
      <alignment vertical="center"/>
      <protection locked="0"/>
    </xf>
    <xf numFmtId="37" fontId="3" fillId="4" borderId="16" xfId="0" applyNumberFormat="1" applyFont="1" applyFill="1" applyBorder="1" applyAlignment="1" applyProtection="1">
      <alignment horizontal="left" vertical="center"/>
      <protection/>
    </xf>
    <xf numFmtId="0" fontId="12" fillId="4" borderId="0" xfId="0" applyFont="1" applyFill="1" applyBorder="1" applyAlignment="1" applyProtection="1">
      <alignment horizontal="center" vertical="center"/>
      <protection/>
    </xf>
    <xf numFmtId="171" fontId="4" fillId="18" borderId="11" xfId="0" applyNumberFormat="1" applyFont="1" applyFill="1" applyBorder="1" applyAlignment="1" applyProtection="1">
      <alignment vertical="center"/>
      <protection locked="0"/>
    </xf>
    <xf numFmtId="171" fontId="4" fillId="18" borderId="16"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71" fontId="4" fillId="18"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1" fontId="4" fillId="4" borderId="10" xfId="0" applyNumberFormat="1" applyFont="1" applyFill="1" applyBorder="1" applyAlignment="1" applyProtection="1">
      <alignment vertical="center"/>
      <protection/>
    </xf>
    <xf numFmtId="0" fontId="0" fillId="4" borderId="11" xfId="0" applyFill="1" applyBorder="1" applyAlignment="1" applyProtection="1">
      <alignment vertical="center"/>
      <protection/>
    </xf>
    <xf numFmtId="37" fontId="3" fillId="20" borderId="0" xfId="0" applyNumberFormat="1" applyFont="1" applyFill="1" applyAlignment="1" applyProtection="1">
      <alignment horizontal="left" vertical="center"/>
      <protection/>
    </xf>
    <xf numFmtId="3" fontId="4" fillId="20" borderId="0" xfId="0" applyNumberFormat="1" applyFont="1" applyFill="1" applyAlignment="1" applyProtection="1">
      <alignment vertical="center"/>
      <protection/>
    </xf>
    <xf numFmtId="3" fontId="4" fillId="4" borderId="17"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0" fontId="3" fillId="20" borderId="0" xfId="0" applyFont="1" applyFill="1" applyAlignment="1">
      <alignment vertical="center"/>
    </xf>
    <xf numFmtId="0" fontId="2" fillId="20" borderId="0" xfId="0" applyFont="1" applyFill="1" applyAlignment="1">
      <alignment vertical="center"/>
    </xf>
    <xf numFmtId="0" fontId="0" fillId="20" borderId="0" xfId="0" applyFill="1" applyAlignment="1" applyProtection="1">
      <alignment vertical="center"/>
      <protection locked="0"/>
    </xf>
    <xf numFmtId="0" fontId="4"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4" fillId="4" borderId="16" xfId="0" applyFont="1"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14" borderId="0" xfId="0" applyFill="1" applyAlignment="1">
      <alignment vertical="center"/>
    </xf>
    <xf numFmtId="0" fontId="4" fillId="19" borderId="12" xfId="0" applyFont="1" applyFill="1" applyBorder="1" applyAlignment="1">
      <alignment horizontal="center" vertical="center"/>
    </xf>
    <xf numFmtId="0" fontId="4" fillId="19" borderId="14" xfId="0" applyFont="1" applyFill="1" applyBorder="1" applyAlignment="1">
      <alignment horizontal="center" vertical="center"/>
    </xf>
    <xf numFmtId="0" fontId="15" fillId="4" borderId="0" xfId="0" applyFont="1" applyFill="1" applyAlignment="1">
      <alignment vertical="center"/>
    </xf>
    <xf numFmtId="0" fontId="18" fillId="4" borderId="0" xfId="0" applyFont="1" applyFill="1" applyAlignment="1">
      <alignment vertical="center"/>
    </xf>
    <xf numFmtId="37" fontId="4" fillId="4" borderId="10" xfId="0" applyNumberFormat="1" applyFont="1" applyFill="1" applyBorder="1" applyAlignment="1">
      <alignment vertical="center"/>
    </xf>
    <xf numFmtId="0" fontId="4" fillId="4" borderId="0" xfId="0" applyFont="1" applyFill="1" applyAlignment="1" applyProtection="1">
      <alignment horizontal="right" vertical="center"/>
      <protection/>
    </xf>
    <xf numFmtId="37" fontId="4" fillId="4" borderId="0" xfId="0" applyNumberFormat="1"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37" fontId="4" fillId="4" borderId="20" xfId="0" applyNumberFormat="1" applyFont="1" applyFill="1" applyBorder="1" applyAlignment="1" applyProtection="1">
      <alignment horizontal="centerContinuous" vertical="center"/>
      <protection/>
    </xf>
    <xf numFmtId="0" fontId="4" fillId="4" borderId="16"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37" fontId="4" fillId="4" borderId="11" xfId="0" applyNumberFormat="1" applyFont="1" applyFill="1" applyBorder="1" applyAlignment="1" applyProtection="1">
      <alignment horizontal="fill" vertical="center"/>
      <protection/>
    </xf>
    <xf numFmtId="37" fontId="4" fillId="4" borderId="12"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horizontal="center" vertical="center"/>
      <protection/>
    </xf>
    <xf numFmtId="0" fontId="4" fillId="4" borderId="13" xfId="0" applyFont="1" applyFill="1" applyBorder="1" applyAlignment="1">
      <alignment horizontal="center" vertical="center"/>
    </xf>
    <xf numFmtId="37" fontId="3" fillId="4" borderId="11"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37" fontId="4" fillId="4" borderId="20" xfId="0" applyNumberFormat="1" applyFont="1" applyFill="1" applyBorder="1" applyAlignment="1" applyProtection="1">
      <alignment horizontal="left" vertical="center"/>
      <protection/>
    </xf>
    <xf numFmtId="37" fontId="4" fillId="4" borderId="10" xfId="0" applyNumberFormat="1" applyFont="1" applyFill="1" applyBorder="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3" xfId="0" applyFont="1" applyFill="1" applyBorder="1" applyAlignment="1" applyProtection="1">
      <alignment vertical="center"/>
      <protection/>
    </xf>
    <xf numFmtId="37" fontId="12" fillId="4" borderId="20" xfId="0" applyNumberFormat="1" applyFont="1" applyFill="1" applyBorder="1" applyAlignment="1" applyProtection="1">
      <alignment horizontal="left" vertical="center"/>
      <protection/>
    </xf>
    <xf numFmtId="37" fontId="12" fillId="4" borderId="18"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xf>
    <xf numFmtId="0" fontId="4" fillId="4" borderId="14" xfId="0"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vertical="center"/>
      <protection/>
    </xf>
    <xf numFmtId="0" fontId="4" fillId="4" borderId="18" xfId="0"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4" fillId="4" borderId="22" xfId="0"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0" fillId="22" borderId="10" xfId="0" applyFill="1" applyBorder="1" applyAlignment="1" applyProtection="1">
      <alignment vertical="center"/>
      <protection/>
    </xf>
    <xf numFmtId="0" fontId="15" fillId="22" borderId="18" xfId="0" applyFont="1" applyFill="1" applyBorder="1" applyAlignment="1" applyProtection="1">
      <alignment horizontal="center" vertical="center"/>
      <protection/>
    </xf>
    <xf numFmtId="37" fontId="4" fillId="4" borderId="0" xfId="0" applyNumberFormat="1" applyFont="1" applyFill="1" applyAlignment="1" applyProtection="1">
      <alignment horizontal="right" vertical="center"/>
      <protection/>
    </xf>
    <xf numFmtId="37" fontId="4" fillId="4" borderId="11" xfId="0" applyNumberFormat="1" applyFont="1" applyFill="1" applyBorder="1" applyAlignment="1" applyProtection="1">
      <alignment horizontal="fill" vertical="center"/>
      <protection locked="0"/>
    </xf>
    <xf numFmtId="0" fontId="4" fillId="4" borderId="0" xfId="0"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0" fontId="4" fillId="4" borderId="0" xfId="0" applyFont="1" applyFill="1" applyAlignment="1" applyProtection="1">
      <alignment horizontal="center" vertical="center"/>
      <protection/>
    </xf>
    <xf numFmtId="0" fontId="4" fillId="4" borderId="0" xfId="0" applyFont="1" applyFill="1" applyAlignment="1">
      <alignment vertical="center"/>
    </xf>
    <xf numFmtId="37" fontId="4" fillId="4" borderId="0" xfId="0" applyNumberFormat="1" applyFont="1" applyFill="1" applyAlignment="1">
      <alignment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4" fillId="4" borderId="0" xfId="0" applyFont="1" applyFill="1" applyAlignment="1" quotePrefix="1">
      <alignment horizontal="right" vertical="center"/>
    </xf>
    <xf numFmtId="3" fontId="4" fillId="4" borderId="0" xfId="0" applyNumberFormat="1" applyFont="1" applyFill="1" applyAlignment="1">
      <alignment vertical="center"/>
    </xf>
    <xf numFmtId="3" fontId="4" fillId="4" borderId="0" xfId="0" applyNumberFormat="1" applyFont="1" applyFill="1" applyAlignment="1" quotePrefix="1">
      <alignment vertical="center"/>
    </xf>
    <xf numFmtId="3" fontId="4" fillId="4" borderId="11" xfId="0" applyNumberFormat="1" applyFont="1" applyFill="1" applyBorder="1" applyAlignment="1">
      <alignment vertical="center"/>
    </xf>
    <xf numFmtId="3" fontId="4" fillId="4" borderId="16" xfId="0" applyNumberFormat="1" applyFont="1" applyFill="1" applyBorder="1" applyAlignment="1" applyProtection="1">
      <alignment horizontal="right" vertical="center"/>
      <protection/>
    </xf>
    <xf numFmtId="0" fontId="3" fillId="4" borderId="0" xfId="0" applyFont="1" applyFill="1" applyAlignment="1">
      <alignment vertical="center"/>
    </xf>
    <xf numFmtId="3" fontId="4" fillId="4" borderId="16" xfId="0" applyNumberFormat="1" applyFont="1" applyFill="1" applyBorder="1" applyAlignment="1">
      <alignment vertical="center"/>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lignment vertical="center"/>
    </xf>
    <xf numFmtId="0" fontId="4" fillId="4" borderId="0" xfId="0" applyFont="1" applyFill="1" applyAlignment="1" quotePrefix="1">
      <alignment vertical="center"/>
    </xf>
    <xf numFmtId="0" fontId="4" fillId="4" borderId="0" xfId="0" applyFont="1" applyFill="1" applyAlignment="1">
      <alignment horizontal="right" vertical="center"/>
    </xf>
    <xf numFmtId="3" fontId="4" fillId="4" borderId="16" xfId="0" applyNumberFormat="1" applyFont="1" applyFill="1" applyBorder="1" applyAlignment="1" applyProtection="1">
      <alignment vertical="center"/>
      <protection/>
    </xf>
    <xf numFmtId="3" fontId="4" fillId="4" borderId="19" xfId="0" applyNumberFormat="1" applyFont="1" applyFill="1" applyBorder="1" applyAlignment="1">
      <alignment vertical="center"/>
    </xf>
    <xf numFmtId="0" fontId="4" fillId="4" borderId="19" xfId="0" applyFont="1" applyFill="1" applyBorder="1" applyAlignment="1">
      <alignment vertical="center"/>
    </xf>
    <xf numFmtId="0" fontId="4" fillId="4" borderId="0" xfId="0" applyFont="1" applyFill="1" applyBorder="1" applyAlignment="1">
      <alignment vertical="center"/>
    </xf>
    <xf numFmtId="167" fontId="4" fillId="4" borderId="11" xfId="0" applyNumberFormat="1" applyFont="1" applyFill="1" applyBorder="1" applyAlignment="1">
      <alignment vertical="center"/>
    </xf>
    <xf numFmtId="0" fontId="4" fillId="4" borderId="0" xfId="0" applyFont="1" applyFill="1" applyBorder="1" applyAlignment="1" quotePrefix="1">
      <alignment vertical="center"/>
    </xf>
    <xf numFmtId="3" fontId="4" fillId="4" borderId="23" xfId="0" applyNumberFormat="1" applyFont="1" applyFill="1" applyBorder="1" applyAlignment="1">
      <alignment vertical="center"/>
    </xf>
    <xf numFmtId="3" fontId="4" fillId="4" borderId="11" xfId="42" applyNumberFormat="1" applyFont="1" applyFill="1" applyBorder="1" applyAlignment="1" applyProtection="1">
      <alignment vertical="center"/>
      <protection/>
    </xf>
    <xf numFmtId="0" fontId="6" fillId="0" borderId="0" xfId="0" applyFont="1" applyAlignment="1">
      <alignment vertical="center"/>
    </xf>
    <xf numFmtId="37" fontId="4" fillId="4" borderId="0" xfId="0" applyNumberFormat="1" applyFont="1" applyFill="1" applyAlignment="1" applyProtection="1">
      <alignment vertical="center"/>
      <protection/>
    </xf>
    <xf numFmtId="0" fontId="4" fillId="4" borderId="11"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37" fontId="4" fillId="7" borderId="15" xfId="0" applyNumberFormat="1" applyFont="1" applyFill="1" applyBorder="1" applyAlignment="1" applyProtection="1">
      <alignment horizontal="center" vertical="center"/>
      <protection/>
    </xf>
    <xf numFmtId="3" fontId="4" fillId="7" borderId="15" xfId="0" applyNumberFormat="1" applyFont="1" applyFill="1" applyBorder="1" applyAlignment="1" applyProtection="1">
      <alignment horizontal="center" vertical="center"/>
      <protection/>
    </xf>
    <xf numFmtId="166"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vertical="center"/>
      <protection/>
    </xf>
    <xf numFmtId="165" fontId="4" fillId="7" borderId="11" xfId="0" applyNumberFormat="1" applyFont="1" applyFill="1" applyBorder="1" applyAlignment="1" applyProtection="1">
      <alignment vertical="center"/>
      <protection/>
    </xf>
    <xf numFmtId="0" fontId="3" fillId="4" borderId="11" xfId="0" applyFont="1" applyFill="1" applyBorder="1" applyAlignment="1" applyProtection="1">
      <alignment horizontal="center" vertical="center"/>
      <protection/>
    </xf>
    <xf numFmtId="0" fontId="3" fillId="4" borderId="12" xfId="0" applyFont="1" applyFill="1" applyBorder="1" applyAlignment="1" applyProtection="1">
      <alignment horizontal="center" vertical="center"/>
      <protection/>
    </xf>
    <xf numFmtId="0" fontId="3" fillId="4" borderId="13"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18" borderId="14" xfId="0" applyFont="1" applyFill="1" applyBorder="1" applyAlignment="1" applyProtection="1">
      <alignment vertical="center"/>
      <protection locked="0"/>
    </xf>
    <xf numFmtId="170" fontId="4" fillId="18" borderId="14" xfId="42" applyNumberFormat="1" applyFont="1" applyFill="1" applyBorder="1" applyAlignment="1" applyProtection="1">
      <alignment horizontal="center" vertical="center"/>
      <protection locked="0"/>
    </xf>
    <xf numFmtId="0" fontId="4" fillId="18" borderId="14" xfId="0" applyFont="1" applyFill="1" applyBorder="1" applyAlignment="1" applyProtection="1">
      <alignment horizontal="center" vertical="center"/>
      <protection locked="0"/>
    </xf>
    <xf numFmtId="0" fontId="4" fillId="18" borderId="10" xfId="0" applyFont="1" applyFill="1" applyBorder="1" applyAlignment="1" applyProtection="1">
      <alignment vertical="center"/>
      <protection locked="0"/>
    </xf>
    <xf numFmtId="170" fontId="4" fillId="18" borderId="10" xfId="42"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0" fontId="4" fillId="4" borderId="0" xfId="0" applyFont="1" applyFill="1" applyAlignment="1" applyProtection="1">
      <alignment horizontal="center" vertical="center"/>
      <protection locked="0"/>
    </xf>
    <xf numFmtId="37" fontId="3" fillId="4" borderId="10" xfId="0" applyNumberFormat="1"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3" fillId="4" borderId="0" xfId="340" applyFont="1" applyFill="1" applyAlignment="1" applyProtection="1">
      <alignment horizontal="centerContinuous" vertical="center"/>
      <protection/>
    </xf>
    <xf numFmtId="0" fontId="4" fillId="4" borderId="11" xfId="0" applyFont="1" applyFill="1" applyBorder="1" applyAlignment="1" applyProtection="1">
      <alignment horizontal="fill" vertical="center"/>
      <protection/>
    </xf>
    <xf numFmtId="0" fontId="4" fillId="4" borderId="24"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 vertical="center"/>
      <protection/>
    </xf>
    <xf numFmtId="1" fontId="4" fillId="4" borderId="25"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2" fontId="4" fillId="18" borderId="10" xfId="0" applyNumberFormat="1" applyFont="1" applyFill="1" applyBorder="1" applyAlignment="1" applyProtection="1">
      <alignment horizontal="center" vertical="center"/>
      <protection locked="0"/>
    </xf>
    <xf numFmtId="3" fontId="4" fillId="18" borderId="10" xfId="0" applyNumberFormat="1" applyFont="1" applyFill="1" applyBorder="1" applyAlignment="1" applyProtection="1">
      <alignment horizontal="center" vertical="center"/>
      <protection locked="0"/>
    </xf>
    <xf numFmtId="37" fontId="4" fillId="18" borderId="10" xfId="0" applyNumberFormat="1" applyFont="1" applyFill="1" applyBorder="1" applyAlignment="1" applyProtection="1">
      <alignment horizontal="center" vertical="center"/>
      <protection locked="0"/>
    </xf>
    <xf numFmtId="169" fontId="4" fillId="18" borderId="10"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center"/>
      <protection/>
    </xf>
    <xf numFmtId="168" fontId="3" fillId="4" borderId="10" xfId="0" applyNumberFormat="1" applyFont="1" applyFill="1" applyBorder="1" applyAlignment="1" applyProtection="1">
      <alignment horizontal="center" vertical="center"/>
      <protection/>
    </xf>
    <xf numFmtId="2" fontId="3" fillId="4" borderId="10" xfId="0" applyNumberFormat="1" applyFont="1" applyFill="1" applyBorder="1" applyAlignment="1" applyProtection="1">
      <alignment horizontal="center" vertical="center"/>
      <protection/>
    </xf>
    <xf numFmtId="3" fontId="3" fillId="4" borderId="10" xfId="0" applyNumberFormat="1" applyFont="1" applyFill="1" applyBorder="1" applyAlignment="1" applyProtection="1">
      <alignment horizontal="center" vertical="center"/>
      <protection/>
    </xf>
    <xf numFmtId="37" fontId="3" fillId="7" borderId="10" xfId="0" applyNumberFormat="1" applyFont="1" applyFill="1" applyBorder="1" applyAlignment="1" applyProtection="1">
      <alignment horizontal="center" vertical="center"/>
      <protection/>
    </xf>
    <xf numFmtId="169" fontId="3" fillId="4" borderId="10" xfId="0" applyNumberFormat="1" applyFont="1" applyFill="1" applyBorder="1" applyAlignment="1" applyProtection="1">
      <alignment horizontal="center" vertical="center"/>
      <protection/>
    </xf>
    <xf numFmtId="168"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69" fontId="4" fillId="4" borderId="10" xfId="0" applyNumberFormat="1" applyFont="1" applyFill="1" applyBorder="1" applyAlignment="1" applyProtection="1">
      <alignment horizontal="center" vertical="center"/>
      <protection/>
    </xf>
    <xf numFmtId="1" fontId="3" fillId="4" borderId="10" xfId="0" applyNumberFormat="1" applyFont="1" applyFill="1" applyBorder="1" applyAlignment="1" applyProtection="1">
      <alignment horizontal="center" vertical="center"/>
      <protection/>
    </xf>
    <xf numFmtId="3" fontId="3" fillId="7"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3" fillId="4" borderId="0" xfId="0" applyFont="1" applyFill="1" applyAlignment="1" applyProtection="1">
      <alignment vertical="center"/>
      <protection/>
    </xf>
    <xf numFmtId="0" fontId="4" fillId="4" borderId="0" xfId="0" applyFont="1" applyFill="1" applyBorder="1" applyAlignment="1" applyProtection="1">
      <alignment horizontal="fill" vertical="center"/>
      <protection/>
    </xf>
    <xf numFmtId="0" fontId="4" fillId="4" borderId="14" xfId="0" applyNumberFormat="1" applyFont="1" applyFill="1" applyBorder="1" applyAlignment="1" applyProtection="1">
      <alignment horizontal="center" vertical="center"/>
      <protection/>
    </xf>
    <xf numFmtId="0" fontId="4" fillId="4" borderId="20" xfId="0" applyFont="1" applyFill="1" applyBorder="1" applyAlignment="1" applyProtection="1">
      <alignment horizontal="left" vertical="center"/>
      <protection/>
    </xf>
    <xf numFmtId="37" fontId="4" fillId="18" borderId="20" xfId="0" applyNumberFormat="1" applyFont="1" applyFill="1" applyBorder="1" applyAlignment="1" applyProtection="1">
      <alignment vertical="center"/>
      <protection locked="0"/>
    </xf>
    <xf numFmtId="37" fontId="4" fillId="18" borderId="18" xfId="0" applyNumberFormat="1" applyFont="1" applyFill="1" applyBorder="1" applyAlignment="1" applyProtection="1">
      <alignment vertical="center"/>
      <protection locked="0"/>
    </xf>
    <xf numFmtId="3" fontId="4" fillId="4" borderId="20" xfId="0" applyNumberFormat="1"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3" fontId="4" fillId="18" borderId="20" xfId="0" applyNumberFormat="1" applyFont="1" applyFill="1" applyBorder="1" applyAlignment="1" applyProtection="1">
      <alignment vertical="center"/>
      <protection locked="0"/>
    </xf>
    <xf numFmtId="3" fontId="4" fillId="18" borderId="18" xfId="0" applyNumberFormat="1" applyFont="1" applyFill="1" applyBorder="1" applyAlignment="1" applyProtection="1">
      <alignment vertical="center"/>
      <protection locked="0"/>
    </xf>
    <xf numFmtId="37" fontId="4" fillId="4" borderId="10" xfId="0" applyNumberFormat="1" applyFont="1" applyFill="1" applyBorder="1" applyAlignment="1" applyProtection="1">
      <alignment horizontal="fill" vertical="center"/>
      <protection/>
    </xf>
    <xf numFmtId="37" fontId="4" fillId="18" borderId="10" xfId="0" applyNumberFormat="1" applyFont="1" applyFill="1" applyBorder="1" applyAlignment="1" applyProtection="1">
      <alignment vertical="center"/>
      <protection locked="0"/>
    </xf>
    <xf numFmtId="0" fontId="4" fillId="18" borderId="20" xfId="0" applyFont="1" applyFill="1" applyBorder="1" applyAlignment="1" applyProtection="1">
      <alignment horizontal="left" vertical="center"/>
      <protection locked="0"/>
    </xf>
    <xf numFmtId="37" fontId="15" fillId="22" borderId="20" xfId="0" applyNumberFormat="1" applyFont="1" applyFill="1" applyBorder="1" applyAlignment="1" applyProtection="1">
      <alignment horizontal="center" vertical="center"/>
      <protection/>
    </xf>
    <xf numFmtId="37" fontId="15" fillId="22" borderId="18" xfId="0" applyNumberFormat="1" applyFont="1" applyFill="1" applyBorder="1" applyAlignment="1" applyProtection="1">
      <alignment horizontal="center" vertical="center"/>
      <protection/>
    </xf>
    <xf numFmtId="37" fontId="3" fillId="4" borderId="20" xfId="0" applyNumberFormat="1" applyFont="1" applyFill="1" applyBorder="1" applyAlignment="1" applyProtection="1">
      <alignment horizontal="left" vertical="center"/>
      <protection/>
    </xf>
    <xf numFmtId="37" fontId="3" fillId="7" borderId="10" xfId="0" applyNumberFormat="1" applyFont="1" applyFill="1" applyBorder="1" applyAlignment="1" applyProtection="1">
      <alignment vertical="center"/>
      <protection/>
    </xf>
    <xf numFmtId="3" fontId="3" fillId="7" borderId="20" xfId="0" applyNumberFormat="1" applyFont="1" applyFill="1" applyBorder="1" applyAlignment="1" applyProtection="1">
      <alignment vertical="center"/>
      <protection/>
    </xf>
    <xf numFmtId="3" fontId="3" fillId="7" borderId="10" xfId="0" applyNumberFormat="1" applyFont="1" applyFill="1" applyBorder="1" applyAlignment="1" applyProtection="1">
      <alignment vertical="center"/>
      <protection/>
    </xf>
    <xf numFmtId="0" fontId="3" fillId="4" borderId="0" xfId="0" applyFont="1" applyFill="1" applyAlignment="1" applyProtection="1">
      <alignment horizontal="left" vertical="center"/>
      <protection/>
    </xf>
    <xf numFmtId="0" fontId="3" fillId="4" borderId="20" xfId="0" applyFont="1" applyFill="1" applyBorder="1" applyAlignment="1" applyProtection="1">
      <alignment horizontal="left" vertical="center"/>
      <protection/>
    </xf>
    <xf numFmtId="3" fontId="4" fillId="7" borderId="2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locked="0"/>
    </xf>
    <xf numFmtId="0" fontId="4" fillId="7" borderId="20" xfId="0" applyFont="1" applyFill="1" applyBorder="1" applyAlignment="1" applyProtection="1">
      <alignment vertical="center"/>
      <protection/>
    </xf>
    <xf numFmtId="0" fontId="4" fillId="18" borderId="20" xfId="0" applyFont="1" applyFill="1" applyBorder="1" applyAlignment="1" applyProtection="1">
      <alignment vertical="center"/>
      <protection locked="0"/>
    </xf>
    <xf numFmtId="0" fontId="4" fillId="4" borderId="20" xfId="0" applyFont="1" applyFill="1" applyBorder="1" applyAlignment="1" applyProtection="1">
      <alignment vertical="center"/>
      <protection/>
    </xf>
    <xf numFmtId="37" fontId="4" fillId="7" borderId="10"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3"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1" fontId="4"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horizontal="left" vertical="center"/>
      <protection locked="0"/>
    </xf>
    <xf numFmtId="0" fontId="4" fillId="18" borderId="10" xfId="0" applyFont="1" applyFill="1" applyBorder="1" applyAlignment="1" applyProtection="1">
      <alignment horizontal="left" vertical="center"/>
      <protection locked="0"/>
    </xf>
    <xf numFmtId="0" fontId="4" fillId="18" borderId="0" xfId="0" applyFont="1" applyFill="1" applyAlignment="1" applyProtection="1">
      <alignment horizontal="left" vertical="center"/>
      <protection locked="0"/>
    </xf>
    <xf numFmtId="37" fontId="3" fillId="7" borderId="15" xfId="0" applyNumberFormat="1" applyFont="1" applyFill="1" applyBorder="1" applyAlignment="1" applyProtection="1">
      <alignment vertical="center"/>
      <protection/>
    </xf>
    <xf numFmtId="0" fontId="15" fillId="4" borderId="0" xfId="0" applyFont="1" applyFill="1" applyAlignment="1" applyProtection="1">
      <alignment vertical="center"/>
      <protection/>
    </xf>
    <xf numFmtId="37" fontId="4" fillId="18" borderId="0" xfId="0" applyNumberFormat="1" applyFont="1" applyFill="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0" fontId="4" fillId="4" borderId="20" xfId="0" applyNumberFormat="1" applyFont="1" applyFill="1" applyBorder="1" applyAlignment="1" applyProtection="1">
      <alignment horizontal="left" vertical="center"/>
      <protection/>
    </xf>
    <xf numFmtId="3" fontId="4" fillId="23" borderId="10" xfId="0" applyNumberFormat="1" applyFont="1" applyFill="1" applyBorder="1" applyAlignment="1" applyProtection="1">
      <alignment vertical="center"/>
      <protection/>
    </xf>
    <xf numFmtId="1" fontId="4" fillId="4" borderId="0" xfId="0" applyNumberFormat="1" applyFont="1" applyFill="1" applyAlignment="1" applyProtection="1">
      <alignment horizontal="right" vertical="center"/>
      <protection/>
    </xf>
    <xf numFmtId="37" fontId="4" fillId="4" borderId="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vertical="center"/>
      <protection/>
    </xf>
    <xf numFmtId="3" fontId="4" fillId="0" borderId="0" xfId="0" applyNumberFormat="1" applyFont="1" applyAlignment="1" applyProtection="1">
      <alignment horizontal="fill" vertical="center"/>
      <protection locked="0"/>
    </xf>
    <xf numFmtId="0" fontId="4" fillId="18" borderId="20" xfId="0"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3" fontId="4" fillId="4" borderId="11" xfId="0" applyNumberFormat="1" applyFont="1" applyFill="1" applyBorder="1" applyAlignment="1" applyProtection="1">
      <alignment horizontal="fill" vertical="center"/>
      <protection/>
    </xf>
    <xf numFmtId="0" fontId="4" fillId="4" borderId="24" xfId="0" applyFont="1" applyFill="1" applyBorder="1" applyAlignment="1" applyProtection="1">
      <alignment vertical="center"/>
      <protection/>
    </xf>
    <xf numFmtId="166" fontId="4" fillId="4" borderId="11" xfId="0" applyNumberFormat="1" applyFont="1" applyFill="1" applyBorder="1" applyAlignment="1" applyProtection="1">
      <alignment vertical="center"/>
      <protection/>
    </xf>
    <xf numFmtId="37" fontId="4" fillId="4" borderId="11" xfId="0" applyNumberFormat="1" applyFont="1" applyFill="1" applyBorder="1" applyAlignment="1" applyProtection="1" quotePrefix="1">
      <alignment horizontal="right" vertical="center"/>
      <protection/>
    </xf>
    <xf numFmtId="37" fontId="4" fillId="18" borderId="20" xfId="0" applyNumberFormat="1" applyFont="1" applyFill="1" applyBorder="1" applyAlignment="1" applyProtection="1">
      <alignment horizontal="left" vertical="center"/>
      <protection locked="0"/>
    </xf>
    <xf numFmtId="37" fontId="15" fillId="22" borderId="10"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19" fillId="4" borderId="0" xfId="0" applyFont="1" applyFill="1" applyAlignment="1">
      <alignment horizontal="center" vertical="center"/>
    </xf>
    <xf numFmtId="0" fontId="12" fillId="4" borderId="0" xfId="0" applyFont="1" applyFill="1" applyAlignment="1">
      <alignment horizontal="center" vertical="center"/>
    </xf>
    <xf numFmtId="0" fontId="4" fillId="4" borderId="18" xfId="0" applyFont="1" applyFill="1" applyBorder="1" applyAlignment="1">
      <alignment horizontal="center" vertical="center"/>
    </xf>
    <xf numFmtId="0" fontId="11" fillId="4" borderId="12" xfId="0" applyFont="1" applyFill="1" applyBorder="1" applyAlignment="1">
      <alignment vertical="center"/>
    </xf>
    <xf numFmtId="0" fontId="11" fillId="4" borderId="18" xfId="0" applyFont="1" applyFill="1" applyBorder="1" applyAlignment="1">
      <alignment horizontal="center" vertical="center"/>
    </xf>
    <xf numFmtId="0" fontId="11" fillId="4" borderId="22" xfId="0" applyFont="1" applyFill="1" applyBorder="1" applyAlignment="1">
      <alignment vertical="center"/>
    </xf>
    <xf numFmtId="0" fontId="11" fillId="4" borderId="10" xfId="0" applyFont="1" applyFill="1" applyBorder="1" applyAlignment="1">
      <alignment horizontal="center" vertical="center"/>
    </xf>
    <xf numFmtId="0" fontId="4" fillId="4" borderId="18" xfId="0" applyFont="1" applyFill="1" applyBorder="1" applyAlignment="1">
      <alignment vertical="center"/>
    </xf>
    <xf numFmtId="0" fontId="4" fillId="4" borderId="10" xfId="0" applyFont="1" applyFill="1" applyBorder="1" applyAlignment="1">
      <alignment horizontal="center" vertical="center"/>
    </xf>
    <xf numFmtId="0" fontId="11" fillId="4" borderId="25" xfId="0" applyFont="1" applyFill="1" applyBorder="1" applyAlignment="1">
      <alignment vertical="center"/>
    </xf>
    <xf numFmtId="3" fontId="11" fillId="18" borderId="10" xfId="0" applyNumberFormat="1" applyFont="1" applyFill="1" applyBorder="1" applyAlignment="1" applyProtection="1">
      <alignment horizontal="center" vertical="center"/>
      <protection locked="0"/>
    </xf>
    <xf numFmtId="0" fontId="11" fillId="4" borderId="11" xfId="0" applyFont="1" applyFill="1" applyBorder="1" applyAlignment="1">
      <alignment vertical="center"/>
    </xf>
    <xf numFmtId="3" fontId="11" fillId="7" borderId="10" xfId="0" applyNumberFormat="1" applyFont="1" applyFill="1" applyBorder="1" applyAlignment="1">
      <alignment horizontal="center" vertical="center"/>
    </xf>
    <xf numFmtId="0" fontId="11" fillId="4" borderId="0" xfId="0" applyFont="1" applyFill="1" applyAlignment="1">
      <alignment vertical="center"/>
    </xf>
    <xf numFmtId="3" fontId="11" fillId="4" borderId="0" xfId="0" applyNumberFormat="1" applyFont="1" applyFill="1" applyAlignment="1">
      <alignment horizontal="center" vertical="center"/>
    </xf>
    <xf numFmtId="0" fontId="11" fillId="4" borderId="0" xfId="0" applyFont="1" applyFill="1" applyAlignment="1">
      <alignment horizontal="center" vertical="center"/>
    </xf>
    <xf numFmtId="0" fontId="11" fillId="18" borderId="10" xfId="0" applyFont="1" applyFill="1" applyBorder="1" applyAlignment="1" applyProtection="1">
      <alignment vertical="center"/>
      <protection locked="0"/>
    </xf>
    <xf numFmtId="0" fontId="11" fillId="18" borderId="22" xfId="0" applyFont="1" applyFill="1" applyBorder="1" applyAlignment="1" applyProtection="1">
      <alignment vertical="center"/>
      <protection locked="0"/>
    </xf>
    <xf numFmtId="0" fontId="11" fillId="18" borderId="0" xfId="0" applyFont="1" applyFill="1" applyAlignment="1" applyProtection="1">
      <alignment vertical="center"/>
      <protection locked="0"/>
    </xf>
    <xf numFmtId="0" fontId="11" fillId="18" borderId="18" xfId="0" applyFont="1" applyFill="1" applyBorder="1" applyAlignment="1" applyProtection="1">
      <alignment vertical="center"/>
      <protection locked="0"/>
    </xf>
    <xf numFmtId="0" fontId="11" fillId="18" borderId="14" xfId="0" applyFont="1" applyFill="1" applyBorder="1" applyAlignment="1" applyProtection="1">
      <alignment vertical="center"/>
      <protection locked="0"/>
    </xf>
    <xf numFmtId="0" fontId="11" fillId="18" borderId="21" xfId="0" applyFont="1" applyFill="1" applyBorder="1" applyAlignment="1" applyProtection="1">
      <alignment vertical="center"/>
      <protection locked="0"/>
    </xf>
    <xf numFmtId="3" fontId="17" fillId="22" borderId="10" xfId="0" applyNumberFormat="1" applyFont="1" applyFill="1" applyBorder="1" applyAlignment="1">
      <alignment horizontal="center" vertical="center"/>
    </xf>
    <xf numFmtId="3" fontId="4" fillId="0" borderId="0" xfId="0" applyNumberFormat="1" applyFont="1" applyAlignment="1">
      <alignment vertical="center"/>
    </xf>
    <xf numFmtId="0" fontId="4" fillId="7" borderId="0" xfId="0" applyFont="1" applyFill="1" applyAlignment="1">
      <alignment vertical="center"/>
    </xf>
    <xf numFmtId="0" fontId="4" fillId="0" borderId="0" xfId="0" applyFont="1" applyAlignment="1">
      <alignment horizontal="centerContinuous" vertical="center"/>
    </xf>
    <xf numFmtId="1" fontId="4" fillId="4" borderId="20" xfId="0" applyNumberFormat="1" applyFont="1" applyFill="1" applyBorder="1" applyAlignment="1" applyProtection="1">
      <alignment horizontal="centerContinuous" vertical="center"/>
      <protection/>
    </xf>
    <xf numFmtId="164" fontId="4" fillId="4" borderId="10" xfId="0" applyNumberFormat="1" applyFont="1" applyFill="1" applyBorder="1" applyAlignment="1" applyProtection="1">
      <alignment vertical="center"/>
      <protection/>
    </xf>
    <xf numFmtId="37" fontId="4" fillId="4" borderId="14" xfId="0" applyNumberFormat="1" applyFont="1" applyFill="1" applyBorder="1" applyAlignment="1" applyProtection="1">
      <alignment horizontal="fill" vertical="center"/>
      <protection/>
    </xf>
    <xf numFmtId="1" fontId="5" fillId="4" borderId="0" xfId="0" applyNumberFormat="1" applyFont="1" applyFill="1" applyAlignment="1" applyProtection="1">
      <alignment horizontal="center" vertical="center"/>
      <protection/>
    </xf>
    <xf numFmtId="3" fontId="4" fillId="4" borderId="11"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2"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18" borderId="10" xfId="0" applyNumberFormat="1" applyFont="1" applyFill="1" applyBorder="1" applyAlignment="1" applyProtection="1">
      <alignment horizontal="center" vertical="center"/>
      <protection locked="0"/>
    </xf>
    <xf numFmtId="172" fontId="4" fillId="4" borderId="10" xfId="0" applyNumberFormat="1" applyFont="1" applyFill="1" applyBorder="1" applyAlignment="1" applyProtection="1">
      <alignment horizontal="center" vertical="center"/>
      <protection/>
    </xf>
    <xf numFmtId="3" fontId="4" fillId="18" borderId="12" xfId="0" applyNumberFormat="1" applyFont="1" applyFill="1" applyBorder="1" applyAlignment="1" applyProtection="1">
      <alignment horizontal="center" vertical="center"/>
      <protection locked="0"/>
    </xf>
    <xf numFmtId="3" fontId="4" fillId="4" borderId="15" xfId="0" applyNumberFormat="1" applyFont="1" applyFill="1" applyBorder="1" applyAlignment="1" applyProtection="1">
      <alignment horizontal="center" vertical="center"/>
      <protection/>
    </xf>
    <xf numFmtId="172" fontId="4" fillId="4" borderId="15" xfId="0" applyNumberFormat="1" applyFont="1" applyFill="1" applyBorder="1" applyAlignment="1" applyProtection="1">
      <alignment horizontal="center" vertical="center"/>
      <protection/>
    </xf>
    <xf numFmtId="172" fontId="4" fillId="4" borderId="11" xfId="0" applyNumberFormat="1" applyFont="1" applyFill="1" applyBorder="1" applyAlignment="1" applyProtection="1">
      <alignment horizontal="center" vertical="center"/>
      <protection/>
    </xf>
    <xf numFmtId="172" fontId="4" fillId="4" borderId="0" xfId="0" applyNumberFormat="1" applyFont="1" applyFill="1" applyBorder="1" applyAlignment="1" applyProtection="1">
      <alignment horizontal="center" vertical="center"/>
      <protection/>
    </xf>
    <xf numFmtId="3" fontId="4" fillId="4" borderId="11" xfId="0" applyNumberFormat="1" applyFont="1" applyFill="1" applyBorder="1" applyAlignment="1">
      <alignment horizontal="center" vertical="center"/>
    </xf>
    <xf numFmtId="0" fontId="0" fillId="4" borderId="0" xfId="0" applyFill="1" applyAlignment="1">
      <alignment horizontal="center" vertical="center"/>
    </xf>
    <xf numFmtId="172" fontId="4" fillId="4" borderId="11" xfId="0" applyNumberFormat="1" applyFont="1" applyFill="1" applyBorder="1" applyAlignment="1">
      <alignment horizontal="center" vertical="center"/>
    </xf>
    <xf numFmtId="171" fontId="4" fillId="4" borderId="0" xfId="0" applyNumberFormat="1" applyFont="1" applyFill="1" applyBorder="1" applyAlignment="1" applyProtection="1">
      <alignment vertical="center"/>
      <protection/>
    </xf>
    <xf numFmtId="0" fontId="5" fillId="0" borderId="0" xfId="0" applyFont="1" applyAlignment="1">
      <alignment vertical="center"/>
    </xf>
    <xf numFmtId="3" fontId="26" fillId="22" borderId="0" xfId="0" applyNumberFormat="1" applyFont="1" applyFill="1" applyAlignment="1">
      <alignment horizontal="center" vertical="center"/>
    </xf>
    <xf numFmtId="0" fontId="4" fillId="4" borderId="10" xfId="0" applyNumberFormat="1" applyFont="1" applyFill="1" applyBorder="1" applyAlignment="1" applyProtection="1">
      <alignment horizontal="center" vertical="center"/>
      <protection/>
    </xf>
    <xf numFmtId="0" fontId="4" fillId="0" borderId="0" xfId="330" applyFont="1" applyAlignment="1">
      <alignment vertical="center"/>
      <protection/>
    </xf>
    <xf numFmtId="0" fontId="4" fillId="0" borderId="0" xfId="121" applyFont="1" applyAlignment="1">
      <alignment vertical="center" wrapText="1"/>
      <protection/>
    </xf>
    <xf numFmtId="0" fontId="4" fillId="18" borderId="11" xfId="0" applyFont="1" applyFill="1" applyBorder="1" applyAlignment="1" applyProtection="1">
      <alignment vertical="center"/>
      <protection locked="0"/>
    </xf>
    <xf numFmtId="0" fontId="4" fillId="18" borderId="16" xfId="0" applyFont="1" applyFill="1" applyBorder="1" applyAlignment="1" applyProtection="1">
      <alignment vertical="center"/>
      <protection locked="0"/>
    </xf>
    <xf numFmtId="0" fontId="27" fillId="0" borderId="0" xfId="332">
      <alignment/>
      <protection/>
    </xf>
    <xf numFmtId="0" fontId="4" fillId="0" borderId="0" xfId="332" applyFont="1" applyAlignment="1">
      <alignment horizontal="left" vertical="center"/>
      <protection/>
    </xf>
    <xf numFmtId="0" fontId="27" fillId="0" borderId="0" xfId="332" applyNumberFormat="1" applyFont="1" applyAlignment="1">
      <alignment horizontal="left" vertical="center"/>
      <protection/>
    </xf>
    <xf numFmtId="49" fontId="4" fillId="18" borderId="0" xfId="332" applyNumberFormat="1" applyFont="1" applyFill="1" applyAlignment="1" applyProtection="1">
      <alignment horizontal="left" vertical="center"/>
      <protection locked="0"/>
    </xf>
    <xf numFmtId="173" fontId="11" fillId="0" borderId="0" xfId="332" applyNumberFormat="1" applyFont="1" applyAlignment="1">
      <alignment horizontal="left" vertical="center"/>
      <protection/>
    </xf>
    <xf numFmtId="49" fontId="4" fillId="0" borderId="0" xfId="332" applyNumberFormat="1" applyFont="1" applyAlignment="1">
      <alignment horizontal="left" vertical="center"/>
      <protection/>
    </xf>
    <xf numFmtId="0" fontId="11" fillId="0" borderId="0" xfId="332" applyFont="1" applyAlignment="1">
      <alignment horizontal="left" vertical="center"/>
      <protection/>
    </xf>
    <xf numFmtId="174" fontId="11" fillId="0" borderId="0" xfId="332" applyNumberFormat="1" applyFont="1" applyAlignment="1">
      <alignment horizontal="left" vertical="center"/>
      <protection/>
    </xf>
    <xf numFmtId="0" fontId="4" fillId="18" borderId="0" xfId="332" applyFont="1" applyFill="1" applyAlignment="1" applyProtection="1">
      <alignment horizontal="left" vertical="center"/>
      <protection locked="0"/>
    </xf>
    <xf numFmtId="0" fontId="27" fillId="18" borderId="0" xfId="332" applyFill="1" applyAlignment="1" applyProtection="1">
      <alignment horizontal="left" vertical="center"/>
      <protection locked="0"/>
    </xf>
    <xf numFmtId="0" fontId="0" fillId="0" borderId="0" xfId="159" applyFont="1" applyFill="1">
      <alignment/>
      <protection/>
    </xf>
    <xf numFmtId="0" fontId="0" fillId="0" borderId="0" xfId="159" applyFont="1">
      <alignment/>
      <protection/>
    </xf>
    <xf numFmtId="0" fontId="14"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96" applyFont="1" applyAlignment="1">
      <alignment vertical="center"/>
      <protection/>
    </xf>
    <xf numFmtId="0" fontId="5" fillId="0" borderId="0" xfId="99" applyFont="1" applyAlignment="1">
      <alignment vertical="center"/>
      <protection/>
    </xf>
    <xf numFmtId="0" fontId="4" fillId="0" borderId="0" xfId="231" applyFont="1" applyAlignment="1">
      <alignment vertical="center" wrapText="1"/>
      <protection/>
    </xf>
    <xf numFmtId="0" fontId="4" fillId="0" borderId="0" xfId="102" applyFont="1" applyAlignment="1">
      <alignment vertical="center" wrapText="1"/>
      <protection/>
    </xf>
    <xf numFmtId="0" fontId="4" fillId="0" borderId="0" xfId="105" applyFont="1" applyAlignment="1">
      <alignment vertical="center" wrapText="1"/>
      <protection/>
    </xf>
    <xf numFmtId="0" fontId="4" fillId="0" borderId="0" xfId="113" applyFont="1" applyAlignment="1">
      <alignment vertical="center" wrapText="1"/>
      <protection/>
    </xf>
    <xf numFmtId="0" fontId="4" fillId="4" borderId="0" xfId="0" applyFont="1" applyFill="1" applyAlignment="1">
      <alignment/>
    </xf>
    <xf numFmtId="0" fontId="40"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18" borderId="10" xfId="0" applyNumberFormat="1" applyFont="1"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xf>
    <xf numFmtId="0" fontId="4" fillId="4" borderId="25" xfId="0" applyNumberFormat="1" applyFont="1" applyFill="1" applyBorder="1" applyAlignment="1" applyProtection="1">
      <alignment horizontal="center" vertical="center"/>
      <protection/>
    </xf>
    <xf numFmtId="3" fontId="4" fillId="23" borderId="20" xfId="0" applyNumberFormat="1" applyFont="1" applyFill="1" applyBorder="1" applyAlignment="1" applyProtection="1">
      <alignment vertical="center"/>
      <protection/>
    </xf>
    <xf numFmtId="37" fontId="13" fillId="4" borderId="10" xfId="0" applyNumberFormat="1"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0" xfId="0" applyNumberFormat="1" applyFont="1" applyFill="1" applyBorder="1" applyAlignment="1" applyProtection="1">
      <alignment horizontal="fill" vertical="center"/>
      <protection/>
    </xf>
    <xf numFmtId="37" fontId="4" fillId="4" borderId="19" xfId="0" applyNumberFormat="1" applyFont="1" applyFill="1" applyBorder="1" applyAlignment="1" applyProtection="1">
      <alignment horizontal="fill" vertical="center"/>
      <protection/>
    </xf>
    <xf numFmtId="37" fontId="4" fillId="4" borderId="19" xfId="0" applyNumberFormat="1" applyFont="1" applyFill="1" applyBorder="1" applyAlignment="1" applyProtection="1">
      <alignment horizontal="left" vertical="center"/>
      <protection/>
    </xf>
    <xf numFmtId="37" fontId="15" fillId="18" borderId="10" xfId="0" applyNumberFormat="1" applyFont="1" applyFill="1" applyBorder="1" applyAlignment="1" applyProtection="1">
      <alignment horizontal="center" vertical="center"/>
      <protection/>
    </xf>
    <xf numFmtId="172" fontId="4" fillId="18" borderId="14" xfId="0" applyNumberFormat="1" applyFont="1" applyFill="1" applyBorder="1" applyAlignment="1" applyProtection="1">
      <alignment vertical="center"/>
      <protection locked="0"/>
    </xf>
    <xf numFmtId="49" fontId="4" fillId="18" borderId="10" xfId="0" applyNumberFormat="1" applyFont="1" applyFill="1" applyBorder="1" applyAlignment="1" applyProtection="1">
      <alignment horizontal="center" vertical="center"/>
      <protection locked="0"/>
    </xf>
    <xf numFmtId="0" fontId="4" fillId="4" borderId="0" xfId="71" applyFont="1" applyFill="1" applyAlignment="1" applyProtection="1">
      <alignment horizontal="right" vertical="center"/>
      <protection/>
    </xf>
    <xf numFmtId="172" fontId="4" fillId="4" borderId="0" xfId="334" applyNumberFormat="1" applyFont="1" applyFill="1" applyAlignment="1" applyProtection="1">
      <alignment horizontal="center" vertical="center"/>
      <protection/>
    </xf>
    <xf numFmtId="0" fontId="0" fillId="0" borderId="0" xfId="69">
      <alignment/>
      <protection/>
    </xf>
    <xf numFmtId="0" fontId="4" fillId="4" borderId="0" xfId="69" applyFont="1" applyFill="1" applyAlignment="1" applyProtection="1">
      <alignment vertical="center"/>
      <protection/>
    </xf>
    <xf numFmtId="0" fontId="4" fillId="0" borderId="0" xfId="69" applyFont="1" applyAlignment="1" applyProtection="1">
      <alignment vertical="center"/>
      <protection locked="0"/>
    </xf>
    <xf numFmtId="37" fontId="4" fillId="4" borderId="0" xfId="69" applyNumberFormat="1" applyFont="1" applyFill="1" applyAlignment="1" applyProtection="1">
      <alignment horizontal="left" vertical="center"/>
      <protection/>
    </xf>
    <xf numFmtId="0" fontId="3" fillId="4" borderId="0" xfId="69" applyFont="1" applyFill="1" applyAlignment="1" applyProtection="1">
      <alignment vertical="center"/>
      <protection/>
    </xf>
    <xf numFmtId="3" fontId="4" fillId="18" borderId="10" xfId="69" applyNumberFormat="1" applyFont="1" applyFill="1" applyBorder="1" applyAlignment="1" applyProtection="1">
      <alignment vertical="center"/>
      <protection locked="0"/>
    </xf>
    <xf numFmtId="3" fontId="4" fillId="7" borderId="10" xfId="69" applyNumberFormat="1" applyFont="1" applyFill="1" applyBorder="1" applyAlignment="1" applyProtection="1">
      <alignment vertical="center"/>
      <protection/>
    </xf>
    <xf numFmtId="0" fontId="4" fillId="4" borderId="0" xfId="69" applyFont="1" applyFill="1" applyAlignment="1" applyProtection="1">
      <alignment vertical="center"/>
      <protection locked="0"/>
    </xf>
    <xf numFmtId="0" fontId="0" fillId="0" borderId="0" xfId="69" applyAlignment="1">
      <alignment vertical="center"/>
      <protection/>
    </xf>
    <xf numFmtId="1" fontId="4" fillId="4" borderId="0" xfId="69" applyNumberFormat="1" applyFont="1" applyFill="1" applyBorder="1" applyAlignment="1" applyProtection="1">
      <alignment horizontal="right" vertical="center"/>
      <protection/>
    </xf>
    <xf numFmtId="37" fontId="4" fillId="4" borderId="0" xfId="69" applyNumberFormat="1" applyFont="1" applyFill="1" applyAlignment="1" applyProtection="1" quotePrefix="1">
      <alignment horizontal="right" vertical="center"/>
      <protection/>
    </xf>
    <xf numFmtId="37" fontId="4" fillId="4" borderId="20" xfId="69" applyNumberFormat="1" applyFont="1" applyFill="1" applyBorder="1" applyAlignment="1" applyProtection="1">
      <alignment horizontal="left" vertical="center"/>
      <protection/>
    </xf>
    <xf numFmtId="3" fontId="4" fillId="4" borderId="10" xfId="69" applyNumberFormat="1" applyFont="1" applyFill="1" applyBorder="1" applyAlignment="1" applyProtection="1">
      <alignment vertical="center"/>
      <protection/>
    </xf>
    <xf numFmtId="37" fontId="4" fillId="4" borderId="20" xfId="69" applyNumberFormat="1" applyFont="1" applyFill="1" applyBorder="1" applyAlignment="1" applyProtection="1">
      <alignment vertical="center"/>
      <protection/>
    </xf>
    <xf numFmtId="0" fontId="4" fillId="4" borderId="20" xfId="69" applyFont="1" applyFill="1" applyBorder="1" applyAlignment="1" applyProtection="1">
      <alignment vertical="center"/>
      <protection/>
    </xf>
    <xf numFmtId="37" fontId="4" fillId="4" borderId="0" xfId="69" applyNumberFormat="1" applyFont="1" applyFill="1" applyAlignment="1" applyProtection="1">
      <alignment vertical="center"/>
      <protection/>
    </xf>
    <xf numFmtId="0" fontId="4" fillId="4" borderId="0" xfId="69" applyFont="1" applyFill="1" applyAlignment="1" applyProtection="1">
      <alignment horizontal="right" vertical="center"/>
      <protection/>
    </xf>
    <xf numFmtId="37" fontId="4" fillId="4" borderId="0" xfId="69" applyNumberFormat="1" applyFont="1" applyFill="1" applyAlignment="1" applyProtection="1">
      <alignment horizontal="right" vertical="center"/>
      <protection/>
    </xf>
    <xf numFmtId="3" fontId="4" fillId="4" borderId="10" xfId="69" applyNumberFormat="1" applyFont="1" applyFill="1" applyBorder="1" applyAlignment="1" applyProtection="1">
      <alignment horizontal="center" vertical="center"/>
      <protection/>
    </xf>
    <xf numFmtId="1" fontId="4" fillId="4" borderId="14" xfId="69" applyNumberFormat="1" applyFont="1" applyFill="1" applyBorder="1" applyAlignment="1" applyProtection="1">
      <alignment horizontal="center" vertical="center"/>
      <protection/>
    </xf>
    <xf numFmtId="37" fontId="4" fillId="4" borderId="0" xfId="69" applyNumberFormat="1" applyFont="1" applyFill="1" applyAlignment="1" applyProtection="1">
      <alignment horizontal="fill" vertical="center"/>
      <protection/>
    </xf>
    <xf numFmtId="37" fontId="4" fillId="4" borderId="25" xfId="69" applyNumberFormat="1" applyFont="1" applyFill="1" applyBorder="1" applyAlignment="1" applyProtection="1">
      <alignment horizontal="left" vertical="center"/>
      <protection/>
    </xf>
    <xf numFmtId="37" fontId="3" fillId="4" borderId="20" xfId="69" applyNumberFormat="1" applyFont="1" applyFill="1" applyBorder="1" applyAlignment="1" applyProtection="1">
      <alignment horizontal="left" vertical="center"/>
      <protection/>
    </xf>
    <xf numFmtId="3" fontId="4" fillId="4" borderId="0" xfId="69" applyNumberFormat="1" applyFont="1" applyFill="1" applyAlignment="1" applyProtection="1">
      <alignment horizontal="center" vertical="center"/>
      <protection/>
    </xf>
    <xf numFmtId="0" fontId="15" fillId="0" borderId="0" xfId="69" applyFont="1" applyAlignment="1" applyProtection="1">
      <alignment vertical="center"/>
      <protection/>
    </xf>
    <xf numFmtId="0" fontId="13" fillId="4" borderId="0" xfId="69" applyFont="1" applyFill="1" applyAlignment="1" applyProtection="1">
      <alignment horizontal="center" vertical="center"/>
      <protection/>
    </xf>
    <xf numFmtId="37" fontId="4" fillId="18" borderId="20" xfId="69" applyNumberFormat="1" applyFont="1" applyFill="1" applyBorder="1" applyAlignment="1" applyProtection="1">
      <alignment horizontal="left" vertical="center"/>
      <protection locked="0"/>
    </xf>
    <xf numFmtId="3" fontId="3" fillId="7" borderId="10" xfId="69" applyNumberFormat="1" applyFont="1" applyFill="1" applyBorder="1" applyAlignment="1" applyProtection="1">
      <alignment vertical="center"/>
      <protection/>
    </xf>
    <xf numFmtId="0" fontId="4" fillId="4" borderId="20" xfId="69" applyFont="1" applyFill="1" applyBorder="1" applyAlignment="1" applyProtection="1">
      <alignment vertical="center"/>
      <protection locked="0"/>
    </xf>
    <xf numFmtId="3" fontId="4" fillId="4" borderId="10" xfId="69" applyNumberFormat="1" applyFont="1" applyFill="1" applyBorder="1" applyAlignment="1" applyProtection="1">
      <alignment horizontal="fill" vertical="center"/>
      <protection/>
    </xf>
    <xf numFmtId="3" fontId="4" fillId="22" borderId="10" xfId="69" applyNumberFormat="1" applyFont="1" applyFill="1" applyBorder="1" applyAlignment="1" applyProtection="1">
      <alignment vertical="center"/>
      <protection/>
    </xf>
    <xf numFmtId="37" fontId="4" fillId="18" borderId="0" xfId="69" applyNumberFormat="1" applyFont="1" applyFill="1" applyAlignment="1" applyProtection="1">
      <alignment horizontal="left" vertical="center"/>
      <protection locked="0"/>
    </xf>
    <xf numFmtId="0" fontId="4" fillId="18" borderId="20" xfId="69" applyFont="1" applyFill="1" applyBorder="1" applyAlignment="1" applyProtection="1">
      <alignment horizontal="left" vertical="center"/>
      <protection locked="0"/>
    </xf>
    <xf numFmtId="3" fontId="3" fillId="4" borderId="10" xfId="69" applyNumberFormat="1" applyFont="1" applyFill="1" applyBorder="1" applyAlignment="1" applyProtection="1">
      <alignment vertical="center"/>
      <protection/>
    </xf>
    <xf numFmtId="0" fontId="4" fillId="4" borderId="26" xfId="69" applyFont="1" applyFill="1" applyBorder="1" applyAlignment="1" applyProtection="1">
      <alignment vertical="center"/>
      <protection locked="0"/>
    </xf>
    <xf numFmtId="0" fontId="4" fillId="4" borderId="0" xfId="69" applyFont="1" applyFill="1" applyBorder="1" applyAlignment="1" applyProtection="1">
      <alignment vertical="center"/>
      <protection locked="0"/>
    </xf>
    <xf numFmtId="0" fontId="4" fillId="4" borderId="21" xfId="69" applyFont="1" applyFill="1" applyBorder="1" applyAlignment="1" applyProtection="1">
      <alignment vertical="center"/>
      <protection locked="0"/>
    </xf>
    <xf numFmtId="0" fontId="4" fillId="4" borderId="17" xfId="69" applyFont="1" applyFill="1" applyBorder="1" applyAlignment="1" applyProtection="1">
      <alignment vertical="center"/>
      <protection locked="0"/>
    </xf>
    <xf numFmtId="1" fontId="4" fillId="4" borderId="25" xfId="69" applyNumberFormat="1" applyFont="1" applyFill="1" applyBorder="1" applyAlignment="1" applyProtection="1">
      <alignment horizontal="center" vertical="center"/>
      <protection/>
    </xf>
    <xf numFmtId="175" fontId="11" fillId="4" borderId="26" xfId="69" applyNumberFormat="1" applyFont="1" applyFill="1" applyBorder="1" applyAlignment="1" applyProtection="1">
      <alignment vertical="center"/>
      <protection locked="0"/>
    </xf>
    <xf numFmtId="175" fontId="11" fillId="4" borderId="25" xfId="69" applyNumberFormat="1" applyFont="1" applyFill="1" applyBorder="1" applyAlignment="1" applyProtection="1">
      <alignment horizontal="center" vertical="center"/>
      <protection locked="0"/>
    </xf>
    <xf numFmtId="175" fontId="11" fillId="4" borderId="26" xfId="69" applyNumberFormat="1" applyFont="1" applyFill="1" applyBorder="1" applyAlignment="1" applyProtection="1">
      <alignment horizontal="center" vertical="center"/>
      <protection locked="0"/>
    </xf>
    <xf numFmtId="0" fontId="11" fillId="4" borderId="11" xfId="69" applyFont="1" applyFill="1" applyBorder="1" applyAlignment="1" applyProtection="1">
      <alignment vertical="center"/>
      <protection locked="0"/>
    </xf>
    <xf numFmtId="0" fontId="11" fillId="4" borderId="0" xfId="69" applyFont="1" applyFill="1" applyBorder="1" applyAlignment="1" applyProtection="1">
      <alignment vertical="center"/>
      <protection locked="0"/>
    </xf>
    <xf numFmtId="0" fontId="11" fillId="4" borderId="0" xfId="69" applyFont="1" applyFill="1" applyBorder="1" applyAlignment="1" applyProtection="1">
      <alignment horizontal="left" vertical="center"/>
      <protection locked="0"/>
    </xf>
    <xf numFmtId="37" fontId="4" fillId="18" borderId="20" xfId="69" applyNumberFormat="1" applyFont="1" applyFill="1" applyBorder="1" applyAlignment="1" applyProtection="1">
      <alignment horizontal="right" vertical="center"/>
      <protection locked="0"/>
    </xf>
    <xf numFmtId="3" fontId="3" fillId="7" borderId="20" xfId="69" applyNumberFormat="1" applyFont="1" applyFill="1" applyBorder="1" applyAlignment="1" applyProtection="1">
      <alignment vertical="center"/>
      <protection/>
    </xf>
    <xf numFmtId="3" fontId="4" fillId="4" borderId="20" xfId="69" applyNumberFormat="1" applyFont="1" applyFill="1" applyBorder="1" applyAlignment="1" applyProtection="1">
      <alignment vertical="center"/>
      <protection/>
    </xf>
    <xf numFmtId="37" fontId="4" fillId="18" borderId="20" xfId="69" applyNumberFormat="1" applyFont="1" applyFill="1" applyBorder="1" applyAlignment="1" applyProtection="1">
      <alignment vertical="center"/>
      <protection locked="0"/>
    </xf>
    <xf numFmtId="3" fontId="4" fillId="18" borderId="20" xfId="69" applyNumberFormat="1" applyFont="1" applyFill="1" applyBorder="1" applyAlignment="1" applyProtection="1">
      <alignment vertical="center"/>
      <protection locked="0"/>
    </xf>
    <xf numFmtId="3" fontId="3" fillId="4" borderId="20" xfId="69" applyNumberFormat="1" applyFont="1" applyFill="1" applyBorder="1" applyAlignment="1" applyProtection="1">
      <alignment vertical="center"/>
      <protection/>
    </xf>
    <xf numFmtId="3" fontId="4" fillId="7" borderId="20" xfId="69" applyNumberFormat="1" applyFont="1" applyFill="1" applyBorder="1" applyAlignment="1" applyProtection="1">
      <alignment vertical="center"/>
      <protection/>
    </xf>
    <xf numFmtId="37" fontId="3" fillId="4" borderId="11" xfId="69" applyNumberFormat="1" applyFont="1" applyFill="1" applyBorder="1" applyAlignment="1" applyProtection="1">
      <alignment vertical="center"/>
      <protection/>
    </xf>
    <xf numFmtId="37" fontId="3" fillId="4" borderId="0" xfId="69" applyNumberFormat="1" applyFont="1" applyFill="1" applyBorder="1" applyAlignment="1" applyProtection="1">
      <alignment vertical="center"/>
      <protection/>
    </xf>
    <xf numFmtId="0" fontId="8" fillId="19" borderId="10" xfId="0" applyFont="1" applyFill="1" applyBorder="1" applyAlignment="1" applyProtection="1">
      <alignment vertical="center" shrinkToFit="1"/>
      <protection/>
    </xf>
    <xf numFmtId="0" fontId="4" fillId="4" borderId="19" xfId="0" applyFont="1" applyFill="1" applyBorder="1" applyAlignment="1" applyProtection="1">
      <alignment vertical="center"/>
      <protection locked="0"/>
    </xf>
    <xf numFmtId="37" fontId="4" fillId="4" borderId="13" xfId="69" applyNumberFormat="1" applyFont="1" applyFill="1" applyBorder="1" applyAlignment="1" applyProtection="1">
      <alignment horizontal="center" vertical="center"/>
      <protection/>
    </xf>
    <xf numFmtId="37" fontId="4" fillId="4" borderId="14" xfId="69" applyNumberFormat="1" applyFont="1" applyFill="1" applyBorder="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xf>
    <xf numFmtId="0" fontId="32" fillId="19" borderId="0" xfId="0" applyFont="1" applyFill="1" applyAlignment="1">
      <alignment/>
    </xf>
    <xf numFmtId="0" fontId="32" fillId="4" borderId="0" xfId="0" applyFont="1" applyFill="1" applyAlignment="1">
      <alignment/>
    </xf>
    <xf numFmtId="0" fontId="33" fillId="19"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75" fontId="32" fillId="4" borderId="30" xfId="0" applyNumberFormat="1" applyFont="1" applyFill="1" applyBorder="1" applyAlignment="1">
      <alignment/>
    </xf>
    <xf numFmtId="0" fontId="32" fillId="4" borderId="0" xfId="0" applyFont="1" applyFill="1" applyBorder="1" applyAlignment="1">
      <alignment/>
    </xf>
    <xf numFmtId="175" fontId="32" fillId="4" borderId="11"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75"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75" fontId="32" fillId="18" borderId="30" xfId="0" applyNumberFormat="1" applyFont="1" applyFill="1" applyBorder="1" applyAlignment="1" applyProtection="1">
      <alignment horizontal="center"/>
      <protection locked="0"/>
    </xf>
    <xf numFmtId="172" fontId="32" fillId="4" borderId="0" xfId="0" applyNumberFormat="1" applyFont="1" applyFill="1" applyBorder="1" applyAlignment="1">
      <alignment horizontal="center"/>
    </xf>
    <xf numFmtId="0" fontId="41"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19" borderId="0" xfId="0" applyFont="1" applyFill="1" applyBorder="1" applyAlignment="1">
      <alignment/>
    </xf>
    <xf numFmtId="0" fontId="32" fillId="4" borderId="36" xfId="0" applyFont="1" applyFill="1" applyBorder="1" applyAlignment="1">
      <alignment/>
    </xf>
    <xf numFmtId="0" fontId="32" fillId="4" borderId="19" xfId="0" applyFont="1" applyFill="1" applyBorder="1" applyAlignment="1">
      <alignment/>
    </xf>
    <xf numFmtId="0" fontId="32" fillId="4" borderId="37" xfId="0" applyFont="1" applyFill="1" applyBorder="1" applyAlignment="1">
      <alignment/>
    </xf>
    <xf numFmtId="176"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72" fontId="32" fillId="4" borderId="33" xfId="0" applyNumberFormat="1" applyFont="1" applyFill="1" applyBorder="1" applyAlignment="1">
      <alignment horizontal="center"/>
    </xf>
    <xf numFmtId="176"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9" xfId="0" applyFont="1" applyFill="1" applyBorder="1" applyAlignment="1">
      <alignment/>
    </xf>
    <xf numFmtId="0" fontId="32" fillId="4" borderId="37" xfId="0" applyFont="1" applyFill="1" applyBorder="1" applyAlignment="1">
      <alignment/>
    </xf>
    <xf numFmtId="171"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19" borderId="0" xfId="0" applyFont="1" applyFill="1" applyAlignment="1">
      <alignment/>
    </xf>
    <xf numFmtId="172" fontId="32" fillId="18" borderId="11" xfId="0" applyNumberFormat="1" applyFont="1" applyFill="1" applyBorder="1" applyAlignment="1" applyProtection="1">
      <alignment horizontal="center"/>
      <protection locked="0"/>
    </xf>
    <xf numFmtId="176" fontId="32" fillId="4" borderId="0" xfId="0" applyNumberFormat="1" applyFont="1" applyFill="1" applyBorder="1" applyAlignment="1">
      <alignment/>
    </xf>
    <xf numFmtId="0" fontId="32" fillId="16" borderId="0" xfId="0" applyFont="1" applyFill="1" applyAlignment="1">
      <alignment/>
    </xf>
    <xf numFmtId="0" fontId="34" fillId="0" borderId="0" xfId="0" applyFont="1" applyAlignment="1">
      <alignment horizontal="center"/>
    </xf>
    <xf numFmtId="0" fontId="4" fillId="0" borderId="0" xfId="0" applyFont="1" applyAlignment="1">
      <alignment wrapText="1"/>
    </xf>
    <xf numFmtId="0" fontId="35" fillId="0" borderId="0" xfId="55" applyFont="1" applyAlignment="1" applyProtection="1">
      <alignment/>
      <protection/>
    </xf>
    <xf numFmtId="3" fontId="4" fillId="4" borderId="14"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 fontId="4" fillId="18" borderId="20" xfId="69" applyNumberFormat="1" applyFont="1" applyFill="1" applyBorder="1" applyAlignment="1" applyProtection="1">
      <alignment horizontal="right" vertical="center"/>
      <protection locked="0"/>
    </xf>
    <xf numFmtId="0" fontId="4" fillId="0" borderId="0" xfId="71" applyFont="1" applyAlignment="1">
      <alignment vertical="center" wrapText="1"/>
      <protection/>
    </xf>
    <xf numFmtId="0" fontId="4" fillId="0" borderId="0" xfId="323" applyFont="1" applyAlignment="1">
      <alignment vertical="center" wrapText="1"/>
      <protection/>
    </xf>
    <xf numFmtId="0" fontId="4" fillId="0" borderId="0" xfId="325" applyNumberFormat="1" applyFont="1" applyAlignment="1">
      <alignment vertical="center" wrapText="1"/>
      <protection/>
    </xf>
    <xf numFmtId="0" fontId="20" fillId="0" borderId="0" xfId="0" applyFont="1" applyAlignment="1">
      <alignment/>
    </xf>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4" fillId="0" borderId="0" xfId="71" applyFont="1" applyAlignment="1">
      <alignment vertical="center"/>
      <protection/>
    </xf>
    <xf numFmtId="0" fontId="22" fillId="0" borderId="0" xfId="0" applyFont="1" applyAlignment="1">
      <alignment wrapText="1"/>
    </xf>
    <xf numFmtId="0" fontId="23" fillId="0" borderId="0" xfId="0" applyFont="1" applyAlignment="1">
      <alignment wrapText="1"/>
    </xf>
    <xf numFmtId="172" fontId="4" fillId="18" borderId="21" xfId="69" applyNumberFormat="1" applyFont="1" applyFill="1" applyBorder="1" applyAlignment="1" applyProtection="1">
      <alignment horizontal="center"/>
      <protection locked="0"/>
    </xf>
    <xf numFmtId="0" fontId="36" fillId="4" borderId="26" xfId="69" applyFont="1" applyFill="1" applyBorder="1" applyProtection="1">
      <alignment/>
      <protection/>
    </xf>
    <xf numFmtId="0" fontId="4" fillId="4" borderId="0" xfId="69" applyFont="1" applyFill="1" applyBorder="1" applyProtection="1">
      <alignment/>
      <protection/>
    </xf>
    <xf numFmtId="175" fontId="4" fillId="4" borderId="21" xfId="69" applyNumberFormat="1" applyFont="1" applyFill="1" applyBorder="1" applyAlignment="1" applyProtection="1">
      <alignment horizontal="center"/>
      <protection/>
    </xf>
    <xf numFmtId="0" fontId="4" fillId="4" borderId="25" xfId="69" applyFont="1" applyFill="1" applyBorder="1" applyProtection="1">
      <alignment/>
      <protection/>
    </xf>
    <xf numFmtId="0" fontId="4" fillId="4" borderId="11" xfId="69" applyFont="1" applyFill="1" applyBorder="1" applyProtection="1">
      <alignment/>
      <protection/>
    </xf>
    <xf numFmtId="175" fontId="4" fillId="22" borderId="17" xfId="69" applyNumberFormat="1" applyFont="1" applyFill="1" applyBorder="1" applyAlignment="1" applyProtection="1">
      <alignment horizontal="center"/>
      <protection/>
    </xf>
    <xf numFmtId="0" fontId="4" fillId="0" borderId="0" xfId="69" applyFont="1" applyFill="1" applyBorder="1" applyProtection="1">
      <alignment/>
      <protection/>
    </xf>
    <xf numFmtId="0" fontId="4" fillId="4" borderId="26" xfId="69" applyFont="1" applyFill="1" applyBorder="1" applyProtection="1">
      <alignment/>
      <protection/>
    </xf>
    <xf numFmtId="0" fontId="4" fillId="4" borderId="21" xfId="69" applyFont="1" applyFill="1" applyBorder="1" applyProtection="1">
      <alignment/>
      <protection/>
    </xf>
    <xf numFmtId="171" fontId="4" fillId="4" borderId="21" xfId="69" applyNumberFormat="1" applyFont="1" applyFill="1" applyBorder="1" applyAlignment="1" applyProtection="1">
      <alignment horizontal="center"/>
      <protection/>
    </xf>
    <xf numFmtId="0" fontId="4" fillId="22" borderId="26" xfId="69" applyFont="1" applyFill="1" applyBorder="1" applyProtection="1">
      <alignment/>
      <protection/>
    </xf>
    <xf numFmtId="0" fontId="4" fillId="22" borderId="0" xfId="69" applyFont="1" applyFill="1" applyBorder="1" applyProtection="1">
      <alignment/>
      <protection/>
    </xf>
    <xf numFmtId="0" fontId="4" fillId="22" borderId="25" xfId="69" applyFont="1" applyFill="1" applyBorder="1" applyProtection="1">
      <alignment/>
      <protection/>
    </xf>
    <xf numFmtId="0" fontId="4" fillId="22" borderId="11" xfId="69" applyFont="1" applyFill="1" applyBorder="1" applyProtection="1">
      <alignment/>
      <protection/>
    </xf>
    <xf numFmtId="0" fontId="4" fillId="0" borderId="0" xfId="69" applyFont="1" applyProtection="1">
      <alignment/>
      <protection/>
    </xf>
    <xf numFmtId="175" fontId="4" fillId="4" borderId="17" xfId="69" applyNumberFormat="1" applyFont="1" applyFill="1" applyBorder="1" applyAlignment="1" applyProtection="1">
      <alignment horizontal="center"/>
      <protection/>
    </xf>
    <xf numFmtId="0" fontId="5" fillId="0" borderId="0" xfId="100" applyFont="1" applyAlignment="1">
      <alignment vertical="center"/>
      <protection/>
    </xf>
    <xf numFmtId="171" fontId="4" fillId="4" borderId="10" xfId="0" applyNumberFormat="1" applyFont="1" applyFill="1" applyBorder="1" applyAlignment="1" applyProtection="1">
      <alignment horizontal="center" vertical="center"/>
      <protection/>
    </xf>
    <xf numFmtId="0" fontId="42" fillId="0" borderId="0" xfId="0" applyFont="1" applyAlignment="1">
      <alignment vertical="center"/>
    </xf>
    <xf numFmtId="0" fontId="15" fillId="0" borderId="0" xfId="0" applyFont="1" applyAlignment="1" applyProtection="1">
      <alignment horizontal="center" vertical="center"/>
      <protection locked="0"/>
    </xf>
    <xf numFmtId="0" fontId="16" fillId="4" borderId="0" xfId="0" applyFont="1" applyFill="1" applyAlignment="1" applyProtection="1">
      <alignment horizontal="center" vertical="center"/>
      <protection/>
    </xf>
    <xf numFmtId="37" fontId="4" fillId="4" borderId="38" xfId="0" applyNumberFormat="1" applyFont="1" applyFill="1" applyBorder="1" applyAlignment="1" applyProtection="1">
      <alignment vertical="center"/>
      <protection/>
    </xf>
    <xf numFmtId="0" fontId="4" fillId="4" borderId="38" xfId="0" applyFont="1" applyFill="1" applyBorder="1" applyAlignment="1" applyProtection="1">
      <alignment vertical="center"/>
      <protection/>
    </xf>
    <xf numFmtId="3" fontId="4" fillId="7" borderId="14" xfId="0" applyNumberFormat="1" applyFont="1" applyFill="1" applyBorder="1" applyAlignment="1" applyProtection="1">
      <alignment horizontal="center" vertical="center"/>
      <protection/>
    </xf>
    <xf numFmtId="172" fontId="4" fillId="7" borderId="14" xfId="0" applyNumberFormat="1" applyFont="1" applyFill="1" applyBorder="1" applyAlignment="1" applyProtection="1">
      <alignment horizontal="center" vertical="center"/>
      <protection/>
    </xf>
    <xf numFmtId="3" fontId="4" fillId="4" borderId="38" xfId="0" applyNumberFormat="1" applyFont="1" applyFill="1" applyBorder="1" applyAlignment="1" applyProtection="1">
      <alignment horizontal="center" vertical="center"/>
      <protection/>
    </xf>
    <xf numFmtId="0" fontId="4" fillId="4" borderId="38" xfId="0" applyFont="1" applyFill="1" applyBorder="1" applyAlignment="1" applyProtection="1">
      <alignment horizontal="center" vertical="center"/>
      <protection/>
    </xf>
    <xf numFmtId="170" fontId="4" fillId="18" borderId="10" xfId="42" applyNumberFormat="1" applyFont="1" applyFill="1" applyBorder="1" applyAlignment="1" applyProtection="1">
      <alignment vertical="center"/>
      <protection locked="0"/>
    </xf>
    <xf numFmtId="49" fontId="4" fillId="4" borderId="0" xfId="0" applyNumberFormat="1" applyFont="1" applyFill="1" applyAlignment="1" applyProtection="1">
      <alignment vertical="center"/>
      <protection/>
    </xf>
    <xf numFmtId="172" fontId="12" fillId="4" borderId="20" xfId="63" applyNumberFormat="1" applyFont="1" applyFill="1" applyBorder="1" applyAlignment="1" applyProtection="1">
      <alignment vertical="center"/>
      <protection locked="0"/>
    </xf>
    <xf numFmtId="37" fontId="3" fillId="4" borderId="0" xfId="0" applyNumberFormat="1" applyFont="1" applyFill="1" applyBorder="1" applyAlignment="1" applyProtection="1">
      <alignment vertical="center"/>
      <protection/>
    </xf>
    <xf numFmtId="0" fontId="4" fillId="18" borderId="20" xfId="63" applyNumberFormat="1" applyFont="1" applyFill="1" applyBorder="1" applyAlignment="1" applyProtection="1">
      <alignment horizontal="left" vertical="center"/>
      <protection locked="0"/>
    </xf>
    <xf numFmtId="0" fontId="4" fillId="18" borderId="20" xfId="71" applyNumberFormat="1" applyFont="1" applyFill="1" applyBorder="1" applyAlignment="1" applyProtection="1">
      <alignment horizontal="left" vertical="center"/>
      <protection locked="0"/>
    </xf>
    <xf numFmtId="0" fontId="4" fillId="4" borderId="0" xfId="69" applyFont="1" applyFill="1" applyBorder="1" applyAlignment="1" applyProtection="1">
      <alignment vertical="center"/>
      <protection/>
    </xf>
    <xf numFmtId="0" fontId="36" fillId="4" borderId="0" xfId="69" applyFont="1" applyFill="1" applyBorder="1" applyAlignment="1" applyProtection="1">
      <alignment vertical="center"/>
      <protection locked="0"/>
    </xf>
    <xf numFmtId="0" fontId="36" fillId="22" borderId="11" xfId="69" applyFont="1" applyFill="1" applyBorder="1" applyAlignment="1" applyProtection="1">
      <alignment vertical="center"/>
      <protection locked="0"/>
    </xf>
    <xf numFmtId="0" fontId="4" fillId="22" borderId="11" xfId="69" applyFont="1" applyFill="1" applyBorder="1" applyAlignment="1" applyProtection="1">
      <alignment vertical="center"/>
      <protection locked="0"/>
    </xf>
    <xf numFmtId="0" fontId="39" fillId="22" borderId="25" xfId="69" applyFont="1" applyFill="1" applyBorder="1" applyAlignment="1" applyProtection="1">
      <alignment vertical="center"/>
      <protection locked="0"/>
    </xf>
    <xf numFmtId="175" fontId="36" fillId="18" borderId="10" xfId="69" applyNumberFormat="1" applyFont="1" applyFill="1" applyBorder="1" applyAlignment="1" applyProtection="1">
      <alignment horizontal="center" vertical="center"/>
      <protection locked="0"/>
    </xf>
    <xf numFmtId="0" fontId="4" fillId="4" borderId="26" xfId="69" applyFont="1" applyFill="1" applyBorder="1" applyAlignment="1" applyProtection="1">
      <alignment vertical="center"/>
      <protection/>
    </xf>
    <xf numFmtId="0" fontId="4" fillId="4" borderId="21" xfId="69" applyFont="1" applyFill="1" applyBorder="1" applyAlignment="1" applyProtection="1">
      <alignment vertical="center"/>
      <protection/>
    </xf>
    <xf numFmtId="175" fontId="36" fillId="4" borderId="26" xfId="69" applyNumberFormat="1" applyFont="1" applyFill="1" applyBorder="1" applyAlignment="1" applyProtection="1">
      <alignment horizontal="center" vertical="center"/>
      <protection/>
    </xf>
    <xf numFmtId="0" fontId="36" fillId="4" borderId="0" xfId="69" applyFont="1" applyFill="1" applyBorder="1" applyAlignment="1" applyProtection="1">
      <alignment horizontal="left" vertical="center"/>
      <protection/>
    </xf>
    <xf numFmtId="0" fontId="36" fillId="4" borderId="21" xfId="69" applyFont="1" applyFill="1" applyBorder="1" applyAlignment="1" applyProtection="1">
      <alignment vertical="center"/>
      <protection/>
    </xf>
    <xf numFmtId="0" fontId="36" fillId="4" borderId="0" xfId="69" applyFont="1" applyFill="1" applyBorder="1" applyAlignment="1" applyProtection="1">
      <alignment vertical="center"/>
      <protection/>
    </xf>
    <xf numFmtId="175" fontId="36" fillId="4" borderId="25" xfId="69" applyNumberFormat="1" applyFont="1" applyFill="1" applyBorder="1" applyAlignment="1" applyProtection="1">
      <alignment horizontal="center" vertical="center"/>
      <protection/>
    </xf>
    <xf numFmtId="175" fontId="36" fillId="4" borderId="26" xfId="69" applyNumberFormat="1" applyFont="1" applyFill="1" applyBorder="1" applyAlignment="1" applyProtection="1">
      <alignment vertical="center"/>
      <protection/>
    </xf>
    <xf numFmtId="0" fontId="39" fillId="22" borderId="11" xfId="69" applyFont="1" applyFill="1" applyBorder="1" applyAlignment="1" applyProtection="1">
      <alignment vertical="center"/>
      <protection/>
    </xf>
    <xf numFmtId="0" fontId="36" fillId="22" borderId="17" xfId="69" applyFont="1" applyFill="1" applyBorder="1" applyAlignment="1" applyProtection="1">
      <alignment vertical="center"/>
      <protection/>
    </xf>
    <xf numFmtId="0" fontId="4" fillId="22" borderId="17" xfId="69" applyFont="1" applyFill="1" applyBorder="1" applyAlignment="1" applyProtection="1">
      <alignment vertical="center"/>
      <protection/>
    </xf>
    <xf numFmtId="0" fontId="36" fillId="4" borderId="26" xfId="69" applyFont="1" applyFill="1" applyBorder="1" applyAlignment="1" applyProtection="1">
      <alignment horizontal="left" vertical="center"/>
      <protection/>
    </xf>
    <xf numFmtId="175" fontId="39" fillId="22" borderId="25" xfId="69" applyNumberFormat="1" applyFont="1" applyFill="1" applyBorder="1" applyAlignment="1" applyProtection="1">
      <alignment horizontal="center" vertical="center"/>
      <protection/>
    </xf>
    <xf numFmtId="175" fontId="39" fillId="22" borderId="17" xfId="69" applyNumberFormat="1" applyFont="1" applyFill="1" applyBorder="1" applyAlignment="1" applyProtection="1">
      <alignment horizontal="center" vertical="center"/>
      <protection locked="0"/>
    </xf>
    <xf numFmtId="0" fontId="4" fillId="4" borderId="18" xfId="63" applyFont="1" applyFill="1" applyBorder="1" applyAlignment="1" applyProtection="1">
      <alignment vertical="center"/>
      <protection locked="0"/>
    </xf>
    <xf numFmtId="0" fontId="4" fillId="4" borderId="16" xfId="63" applyFont="1" applyFill="1" applyBorder="1" applyAlignment="1" applyProtection="1">
      <alignment vertical="center"/>
      <protection locked="0"/>
    </xf>
    <xf numFmtId="0" fontId="36" fillId="4" borderId="16" xfId="69" applyFont="1" applyFill="1" applyBorder="1" applyAlignment="1" applyProtection="1">
      <alignment horizontal="left" vertical="center"/>
      <protection/>
    </xf>
    <xf numFmtId="172" fontId="36" fillId="4" borderId="18" xfId="69" applyNumberFormat="1" applyFont="1" applyFill="1" applyBorder="1" applyAlignment="1" applyProtection="1">
      <alignment horizontal="center" vertical="center"/>
      <protection locked="0"/>
    </xf>
    <xf numFmtId="0" fontId="36" fillId="4" borderId="26" xfId="69" applyFont="1" applyFill="1" applyBorder="1" applyAlignment="1" applyProtection="1">
      <alignment vertical="center"/>
      <protection/>
    </xf>
    <xf numFmtId="172" fontId="4" fillId="18" borderId="10" xfId="0" applyNumberFormat="1" applyFont="1" applyFill="1" applyBorder="1" applyAlignment="1" applyProtection="1">
      <alignment vertical="center"/>
      <protection locked="0"/>
    </xf>
    <xf numFmtId="37" fontId="4" fillId="7" borderId="18"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171" fontId="4" fillId="4" borderId="0" xfId="0" applyNumberFormat="1" applyFont="1" applyFill="1" applyBorder="1" applyAlignment="1" applyProtection="1">
      <alignment horizontal="center" vertical="center"/>
      <protection/>
    </xf>
    <xf numFmtId="3" fontId="4" fillId="4" borderId="39" xfId="0" applyNumberFormat="1" applyFont="1" applyFill="1" applyBorder="1" applyAlignment="1" applyProtection="1">
      <alignment horizontal="center" vertical="center"/>
      <protection/>
    </xf>
    <xf numFmtId="172" fontId="4" fillId="4" borderId="39"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left" vertical="center"/>
      <protection locked="0"/>
    </xf>
    <xf numFmtId="37" fontId="4" fillId="4" borderId="11" xfId="0" applyNumberFormat="1" applyFont="1" applyFill="1" applyBorder="1" applyAlignment="1" applyProtection="1">
      <alignment vertical="center"/>
      <protection locked="0"/>
    </xf>
    <xf numFmtId="37" fontId="4" fillId="4" borderId="12" xfId="63" applyNumberFormat="1" applyFont="1" applyFill="1" applyBorder="1" applyAlignment="1" applyProtection="1">
      <alignment horizontal="center"/>
      <protection/>
    </xf>
    <xf numFmtId="37" fontId="4" fillId="4" borderId="14" xfId="63" applyNumberFormat="1" applyFont="1" applyFill="1" applyBorder="1" applyAlignment="1" applyProtection="1">
      <alignment horizontal="center"/>
      <protection/>
    </xf>
    <xf numFmtId="0" fontId="33" fillId="4" borderId="0" xfId="0" applyFont="1" applyFill="1" applyAlignment="1">
      <alignment horizontal="center" wrapText="1"/>
    </xf>
    <xf numFmtId="0" fontId="33" fillId="4" borderId="0" xfId="0" applyFont="1" applyFill="1" applyAlignment="1">
      <alignment horizontal="center"/>
    </xf>
    <xf numFmtId="175" fontId="32" fillId="4" borderId="0" xfId="0" applyNumberFormat="1" applyFont="1" applyFill="1" applyAlignment="1">
      <alignment horizontal="center"/>
    </xf>
    <xf numFmtId="175" fontId="32" fillId="18" borderId="11"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2" fillId="4" borderId="0" xfId="0" applyFont="1" applyFill="1" applyBorder="1" applyAlignment="1">
      <alignment horizontal="center"/>
    </xf>
    <xf numFmtId="175" fontId="32" fillId="4" borderId="0" xfId="0" applyNumberFormat="1" applyFont="1" applyFill="1" applyBorder="1" applyAlignment="1">
      <alignment horizontal="center"/>
    </xf>
    <xf numFmtId="0" fontId="32" fillId="4" borderId="19" xfId="0" applyFont="1" applyFill="1" applyBorder="1" applyAlignment="1">
      <alignment horizontal="center"/>
    </xf>
    <xf numFmtId="1" fontId="7" fillId="4" borderId="24" xfId="0" applyNumberFormat="1" applyFont="1" applyFill="1" applyBorder="1" applyAlignment="1" applyProtection="1">
      <alignment horizontal="center" vertical="center"/>
      <protection/>
    </xf>
    <xf numFmtId="37" fontId="7" fillId="4" borderId="24" xfId="0" applyNumberFormat="1" applyFont="1" applyFill="1" applyBorder="1" applyAlignment="1" applyProtection="1">
      <alignment horizontal="center" vertical="center"/>
      <protection/>
    </xf>
    <xf numFmtId="37" fontId="7" fillId="4" borderId="12" xfId="0" applyNumberFormat="1" applyFont="1" applyFill="1" applyBorder="1" applyAlignment="1" applyProtection="1">
      <alignment horizontal="center" vertical="center"/>
      <protection/>
    </xf>
    <xf numFmtId="1" fontId="7" fillId="4" borderId="12" xfId="0" applyNumberFormat="1" applyFont="1" applyFill="1" applyBorder="1" applyAlignment="1" applyProtection="1">
      <alignment horizontal="center" vertical="center"/>
      <protection/>
    </xf>
    <xf numFmtId="0" fontId="3" fillId="4" borderId="11" xfId="0" applyFont="1" applyFill="1" applyBorder="1" applyAlignment="1" applyProtection="1">
      <alignment vertical="center"/>
      <protection/>
    </xf>
    <xf numFmtId="37" fontId="7" fillId="4" borderId="10" xfId="0" applyNumberFormat="1" applyFont="1" applyFill="1" applyBorder="1" applyAlignment="1" applyProtection="1">
      <alignment horizontal="center" vertical="center"/>
      <protection/>
    </xf>
    <xf numFmtId="1" fontId="7" fillId="4" borderId="24" xfId="69" applyNumberFormat="1" applyFont="1" applyFill="1" applyBorder="1" applyAlignment="1" applyProtection="1">
      <alignment horizontal="center" vertical="center"/>
      <protection/>
    </xf>
    <xf numFmtId="37" fontId="7" fillId="4" borderId="24" xfId="69" applyNumberFormat="1" applyFont="1" applyFill="1" applyBorder="1" applyAlignment="1" applyProtection="1">
      <alignment horizontal="center" vertical="center"/>
      <protection/>
    </xf>
    <xf numFmtId="37" fontId="7" fillId="4" borderId="12" xfId="69" applyNumberFormat="1" applyFont="1" applyFill="1" applyBorder="1" applyAlignment="1" applyProtection="1">
      <alignment horizontal="center" vertical="center"/>
      <protection/>
    </xf>
    <xf numFmtId="177" fontId="4" fillId="4" borderId="10" xfId="0" applyNumberFormat="1" applyFont="1" applyFill="1" applyBorder="1" applyAlignment="1" applyProtection="1">
      <alignment horizontal="center" vertical="center"/>
      <protection/>
    </xf>
    <xf numFmtId="0" fontId="33" fillId="4" borderId="35" xfId="0" applyFont="1" applyFill="1" applyBorder="1" applyAlignment="1">
      <alignment horizontal="centerContinuous" vertical="center"/>
    </xf>
    <xf numFmtId="175"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72" fontId="33" fillId="4" borderId="0" xfId="0" applyNumberFormat="1" applyFont="1" applyFill="1" applyBorder="1" applyAlignment="1" applyProtection="1">
      <alignment horizontal="centerContinuous" vertical="center"/>
      <protection locked="0"/>
    </xf>
    <xf numFmtId="176"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75"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72" fontId="33" fillId="4" borderId="0" xfId="0" applyNumberFormat="1" applyFont="1" applyFill="1" applyBorder="1" applyAlignment="1" applyProtection="1">
      <alignment horizontal="centerContinuous"/>
      <protection locked="0"/>
    </xf>
    <xf numFmtId="176"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75" fontId="32" fillId="0" borderId="0" xfId="0" applyNumberFormat="1" applyFont="1" applyAlignment="1">
      <alignment/>
    </xf>
    <xf numFmtId="175" fontId="32" fillId="4" borderId="33" xfId="0" applyNumberFormat="1" applyFont="1" applyFill="1" applyBorder="1" applyAlignment="1">
      <alignment horizontal="center"/>
    </xf>
    <xf numFmtId="172" fontId="32" fillId="4" borderId="33" xfId="0" applyNumberFormat="1" applyFont="1" applyFill="1" applyBorder="1" applyAlignment="1" applyProtection="1">
      <alignment horizontal="center"/>
      <protection locked="0"/>
    </xf>
    <xf numFmtId="176" fontId="32" fillId="4" borderId="33" xfId="0" applyNumberFormat="1" applyFont="1" applyFill="1" applyBorder="1" applyAlignment="1">
      <alignment/>
    </xf>
    <xf numFmtId="172" fontId="32" fillId="4" borderId="0" xfId="0" applyNumberFormat="1" applyFont="1" applyFill="1" applyBorder="1" applyAlignment="1" applyProtection="1">
      <alignment horizontal="center"/>
      <protection locked="0"/>
    </xf>
    <xf numFmtId="175" fontId="32" fillId="4" borderId="28" xfId="0" applyNumberFormat="1" applyFont="1" applyFill="1" applyBorder="1" applyAlignment="1">
      <alignment horizontal="center"/>
    </xf>
    <xf numFmtId="0" fontId="32" fillId="4" borderId="28" xfId="0" applyFont="1" applyFill="1" applyBorder="1" applyAlignment="1">
      <alignment horizontal="center"/>
    </xf>
    <xf numFmtId="172" fontId="32" fillId="4" borderId="28" xfId="0" applyNumberFormat="1" applyFont="1" applyFill="1" applyBorder="1" applyAlignment="1" applyProtection="1">
      <alignment horizontal="center"/>
      <protection locked="0"/>
    </xf>
    <xf numFmtId="176" fontId="32" fillId="4" borderId="28" xfId="0" applyNumberFormat="1" applyFont="1" applyFill="1" applyBorder="1" applyAlignment="1">
      <alignment/>
    </xf>
    <xf numFmtId="175" fontId="32" fillId="4" borderId="0" xfId="0" applyNumberFormat="1" applyFont="1" applyFill="1" applyBorder="1" applyAlignment="1" applyProtection="1">
      <alignment horizontal="center"/>
      <protection locked="0"/>
    </xf>
    <xf numFmtId="175" fontId="4" fillId="22" borderId="21" xfId="69" applyNumberFormat="1" applyFont="1" applyFill="1" applyBorder="1" applyAlignment="1" applyProtection="1">
      <alignment horizontal="center"/>
      <protection/>
    </xf>
    <xf numFmtId="0" fontId="4" fillId="22" borderId="25" xfId="0" applyFont="1" applyFill="1" applyBorder="1" applyAlignment="1">
      <alignment vertical="center"/>
    </xf>
    <xf numFmtId="0" fontId="4" fillId="22" borderId="11" xfId="0" applyFont="1" applyFill="1" applyBorder="1" applyAlignment="1">
      <alignment vertical="center"/>
    </xf>
    <xf numFmtId="175" fontId="4" fillId="22" borderId="17" xfId="0" applyNumberFormat="1" applyFont="1" applyFill="1" applyBorder="1" applyAlignment="1">
      <alignment horizontal="center" vertical="center"/>
    </xf>
    <xf numFmtId="0" fontId="37" fillId="4" borderId="19" xfId="69"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7" fillId="4" borderId="24" xfId="69" applyFont="1" applyFill="1" applyBorder="1" applyAlignment="1" applyProtection="1">
      <alignment horizontal="center" vertical="center"/>
      <protection/>
    </xf>
    <xf numFmtId="0" fontId="38" fillId="0" borderId="19" xfId="69" applyFont="1" applyBorder="1" applyAlignment="1" applyProtection="1">
      <alignment horizontal="center" vertical="center"/>
      <protection/>
    </xf>
    <xf numFmtId="0" fontId="0" fillId="0" borderId="22" xfId="69" applyBorder="1" applyAlignment="1" applyProtection="1">
      <alignment vertical="center"/>
      <protection/>
    </xf>
    <xf numFmtId="0" fontId="3" fillId="4" borderId="0" xfId="0" applyFont="1" applyFill="1" applyAlignment="1">
      <alignment horizontal="center" vertical="center"/>
    </xf>
    <xf numFmtId="37" fontId="3" fillId="4" borderId="0" xfId="0" applyNumberFormat="1" applyFont="1" applyFill="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3" fillId="4" borderId="0" xfId="0"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4" fillId="4" borderId="25" xfId="0" applyNumberFormat="1" applyFont="1" applyFill="1" applyBorder="1" applyAlignment="1" applyProtection="1">
      <alignment horizontal="center" vertical="center"/>
      <protection/>
    </xf>
    <xf numFmtId="37" fontId="13" fillId="4" borderId="0" xfId="0" applyNumberFormat="1" applyFont="1" applyFill="1" applyAlignment="1" applyProtection="1">
      <alignment horizontal="center" vertical="center"/>
      <protection/>
    </xf>
    <xf numFmtId="0" fontId="14" fillId="0" borderId="0" xfId="0" applyFont="1" applyAlignment="1">
      <alignment horizontal="center" vertical="center"/>
    </xf>
    <xf numFmtId="37" fontId="12" fillId="4" borderId="0" xfId="0" applyNumberFormat="1" applyFont="1" applyFill="1" applyAlignment="1" applyProtection="1">
      <alignment horizontal="left" vertical="center"/>
      <protection/>
    </xf>
    <xf numFmtId="0" fontId="0" fillId="0" borderId="0" xfId="0" applyAlignment="1">
      <alignment horizontal="left" vertical="center"/>
    </xf>
    <xf numFmtId="0" fontId="15" fillId="4" borderId="0" xfId="0" applyFont="1" applyFill="1" applyBorder="1" applyAlignment="1">
      <alignment vertical="center"/>
    </xf>
    <xf numFmtId="0" fontId="18" fillId="0" borderId="0" xfId="0" applyFont="1" applyAlignment="1">
      <alignment vertical="center"/>
    </xf>
    <xf numFmtId="37" fontId="12"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14" borderId="19" xfId="0" applyFont="1" applyFill="1" applyBorder="1" applyAlignment="1">
      <alignment vertical="center" wrapText="1"/>
    </xf>
    <xf numFmtId="0" fontId="0" fillId="0" borderId="19" xfId="0" applyBorder="1" applyAlignment="1">
      <alignment vertical="center" wrapText="1"/>
    </xf>
    <xf numFmtId="0" fontId="3" fillId="19" borderId="0" xfId="0" applyFont="1" applyFill="1" applyBorder="1" applyAlignment="1">
      <alignment horizontal="center" vertical="center"/>
    </xf>
    <xf numFmtId="0" fontId="2" fillId="19" borderId="0" xfId="0" applyFont="1" applyFill="1" applyBorder="1" applyAlignment="1">
      <alignment horizontal="center" vertical="center"/>
    </xf>
    <xf numFmtId="0" fontId="4" fillId="0" borderId="0" xfId="332" applyFont="1" applyAlignment="1">
      <alignment horizontal="left" vertical="center" wrapText="1"/>
      <protection/>
    </xf>
    <xf numFmtId="0" fontId="27" fillId="0" borderId="0" xfId="332" applyAlignment="1">
      <alignment horizontal="left" vertical="center" wrapText="1"/>
      <protection/>
    </xf>
    <xf numFmtId="0" fontId="12" fillId="0" borderId="0" xfId="332" applyFont="1" applyAlignment="1">
      <alignment horizontal="left" vertical="center"/>
      <protection/>
    </xf>
    <xf numFmtId="37" fontId="12" fillId="4" borderId="0" xfId="0" applyNumberFormat="1" applyFont="1" applyFill="1" applyAlignment="1" applyProtection="1">
      <alignment horizontal="center" vertical="center"/>
      <protection/>
    </xf>
    <xf numFmtId="0" fontId="2"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6" fillId="4" borderId="0" xfId="0" applyFont="1" applyFill="1" applyAlignment="1">
      <alignment horizontal="center" vertical="center"/>
    </xf>
    <xf numFmtId="37" fontId="3" fillId="4" borderId="0" xfId="0" applyNumberFormat="1" applyFont="1" applyFill="1" applyAlignment="1">
      <alignment horizontal="center" vertical="center"/>
    </xf>
    <xf numFmtId="3" fontId="4" fillId="4" borderId="19" xfId="71" applyNumberFormat="1" applyFont="1" applyFill="1" applyBorder="1" applyAlignment="1" applyProtection="1">
      <alignment horizontal="right" vertical="center"/>
      <protection/>
    </xf>
    <xf numFmtId="0" fontId="0" fillId="0" borderId="22" xfId="71" applyBorder="1" applyAlignment="1">
      <alignment horizontal="right" vertical="center"/>
      <protection/>
    </xf>
    <xf numFmtId="0" fontId="4" fillId="4" borderId="0" xfId="71" applyFont="1" applyFill="1" applyAlignment="1" applyProtection="1">
      <alignment horizontal="right" vertical="center"/>
      <protection/>
    </xf>
    <xf numFmtId="0" fontId="4" fillId="0" borderId="21" xfId="71" applyFont="1" applyBorder="1" applyAlignment="1">
      <alignment horizontal="right"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0" fillId="4" borderId="24" xfId="69" applyFont="1" applyFill="1" applyBorder="1" applyAlignment="1" applyProtection="1">
      <alignment horizontal="center" vertical="center"/>
      <protection locked="0"/>
    </xf>
    <xf numFmtId="0" fontId="14" fillId="0" borderId="19" xfId="69" applyFont="1" applyBorder="1" applyAlignment="1">
      <alignment horizontal="center" vertical="center"/>
      <protection/>
    </xf>
    <xf numFmtId="0" fontId="14" fillId="0" borderId="22" xfId="69" applyFont="1" applyBorder="1" applyAlignment="1">
      <alignment horizontal="center" vertical="center"/>
      <protection/>
    </xf>
    <xf numFmtId="0" fontId="4" fillId="4" borderId="0" xfId="55" applyNumberFormat="1" applyFont="1" applyFill="1" applyBorder="1" applyAlignment="1" applyProtection="1">
      <alignment horizontal="right" vertical="center"/>
      <protection/>
    </xf>
    <xf numFmtId="0" fontId="4" fillId="0" borderId="0" xfId="55" applyFont="1" applyAlignment="1" applyProtection="1">
      <alignment horizontal="right" vertical="center"/>
      <protection/>
    </xf>
    <xf numFmtId="0" fontId="0" fillId="0" borderId="0" xfId="0" applyBorder="1" applyAlignment="1">
      <alignment horizontal="right" vertical="center"/>
    </xf>
    <xf numFmtId="0" fontId="12" fillId="4" borderId="24" xfId="69"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4" fillId="4" borderId="0" xfId="90" applyNumberFormat="1" applyFont="1" applyFill="1" applyAlignment="1" applyProtection="1">
      <alignment horizontal="center"/>
      <protection/>
    </xf>
    <xf numFmtId="37" fontId="4" fillId="4" borderId="11" xfId="0" applyNumberFormat="1" applyFont="1" applyFill="1" applyBorder="1" applyAlignment="1" applyProtection="1">
      <alignment horizontal="center" vertical="center"/>
      <protection locked="0"/>
    </xf>
    <xf numFmtId="0" fontId="0" fillId="0" borderId="19" xfId="69" applyBorder="1" applyAlignment="1" applyProtection="1">
      <alignment horizontal="center"/>
      <protection/>
    </xf>
    <xf numFmtId="0" fontId="0" fillId="0" borderId="22" xfId="69" applyBorder="1" applyAlignment="1" applyProtection="1">
      <alignment horizontal="center"/>
      <protection/>
    </xf>
    <xf numFmtId="0" fontId="12" fillId="4" borderId="19" xfId="69" applyFont="1" applyFill="1" applyBorder="1" applyAlignment="1" applyProtection="1">
      <alignment horizontal="center"/>
      <protection/>
    </xf>
    <xf numFmtId="0" fontId="12" fillId="4" borderId="22" xfId="69" applyFont="1" applyFill="1" applyBorder="1" applyAlignment="1" applyProtection="1">
      <alignment horizontal="center"/>
      <protection/>
    </xf>
    <xf numFmtId="0" fontId="3" fillId="4" borderId="20" xfId="0" applyFont="1" applyFill="1" applyBorder="1" applyAlignment="1">
      <alignment horizontal="center" vertical="center"/>
    </xf>
    <xf numFmtId="0" fontId="3" fillId="4" borderId="18" xfId="0" applyFont="1" applyFill="1" applyBorder="1" applyAlignment="1">
      <alignment horizontal="center" vertic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lignment horizontal="left" vertical="justify"/>
    </xf>
    <xf numFmtId="0" fontId="4" fillId="0" borderId="0" xfId="0" applyFont="1" applyAlignment="1">
      <alignment horizontal="center"/>
    </xf>
    <xf numFmtId="0" fontId="4" fillId="0" borderId="0" xfId="0" applyFont="1" applyAlignment="1">
      <alignment horizontal="center" wrapText="1"/>
    </xf>
    <xf numFmtId="171" fontId="32" fillId="18" borderId="11" xfId="0" applyNumberFormat="1" applyFont="1" applyFill="1" applyBorder="1" applyAlignment="1" applyProtection="1">
      <alignment horizontal="center"/>
      <protection locked="0"/>
    </xf>
    <xf numFmtId="175" fontId="32" fillId="4" borderId="0" xfId="0" applyNumberFormat="1" applyFont="1" applyFill="1" applyBorder="1" applyAlignment="1">
      <alignment horizontal="center"/>
    </xf>
    <xf numFmtId="175" fontId="32" fillId="0" borderId="31" xfId="0" applyNumberFormat="1" applyFont="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76" fontId="32" fillId="4" borderId="0" xfId="0" applyNumberFormat="1" applyFont="1" applyFill="1" applyBorder="1" applyAlignment="1">
      <alignment horizontal="center"/>
    </xf>
    <xf numFmtId="0" fontId="32" fillId="0" borderId="31" xfId="0" applyFont="1" applyBorder="1" applyAlignment="1">
      <alignment horizontal="center"/>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Border="1" applyAlignment="1">
      <alignment horizontal="center"/>
    </xf>
    <xf numFmtId="0" fontId="32" fillId="4" borderId="0" xfId="0" applyFont="1" applyFill="1" applyAlignment="1">
      <alignment wrapText="1"/>
    </xf>
    <xf numFmtId="175" fontId="32" fillId="18" borderId="11" xfId="0" applyNumberFormat="1" applyFont="1" applyFill="1" applyBorder="1" applyAlignment="1" applyProtection="1">
      <alignment horizontal="center"/>
      <protection locked="0"/>
    </xf>
    <xf numFmtId="0" fontId="32" fillId="0" borderId="0" xfId="0" applyFont="1" applyAlignment="1">
      <alignment wrapText="1"/>
    </xf>
    <xf numFmtId="0" fontId="33" fillId="4" borderId="0" xfId="0" applyFont="1" applyFill="1" applyAlignment="1">
      <alignment horizontal="center"/>
    </xf>
    <xf numFmtId="175" fontId="32" fillId="4" borderId="0" xfId="0" applyNumberFormat="1" applyFont="1" applyFill="1" applyAlignment="1">
      <alignment horizontal="center"/>
    </xf>
    <xf numFmtId="175" fontId="32" fillId="4" borderId="0" xfId="0" applyNumberFormat="1" applyFont="1" applyFill="1" applyAlignment="1">
      <alignment/>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5" fontId="32" fillId="4" borderId="11" xfId="0" applyNumberFormat="1" applyFont="1" applyFill="1" applyBorder="1" applyAlignment="1">
      <alignment horizontal="center"/>
    </xf>
    <xf numFmtId="0" fontId="32" fillId="4" borderId="19" xfId="0" applyFont="1" applyFill="1" applyBorder="1" applyAlignment="1">
      <alignment horizontal="center"/>
    </xf>
    <xf numFmtId="0" fontId="32" fillId="4" borderId="0" xfId="0" applyFont="1" applyFill="1" applyBorder="1" applyAlignment="1">
      <alignment wrapText="1"/>
    </xf>
  </cellXfs>
  <cellStyles count="3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xfId="60"/>
    <cellStyle name="Normal 10 3" xfId="61"/>
    <cellStyle name="Normal 10 4" xfId="62"/>
    <cellStyle name="Normal 10 5" xfId="63"/>
    <cellStyle name="Normal 10 6" xfId="64"/>
    <cellStyle name="Normal 11" xfId="65"/>
    <cellStyle name="Normal 11 2" xfId="66"/>
    <cellStyle name="Normal 11 3" xfId="67"/>
    <cellStyle name="Normal 12" xfId="68"/>
    <cellStyle name="Normal 12 10" xfId="69"/>
    <cellStyle name="Normal 12 2" xfId="70"/>
    <cellStyle name="Normal 12 2 2" xfId="71"/>
    <cellStyle name="Normal 12 3" xfId="72"/>
    <cellStyle name="Normal 12 4" xfId="73"/>
    <cellStyle name="Normal 12 5" xfId="74"/>
    <cellStyle name="Normal 12 6" xfId="75"/>
    <cellStyle name="Normal 12 7" xfId="76"/>
    <cellStyle name="Normal 12 8" xfId="77"/>
    <cellStyle name="Normal 12 9" xfId="78"/>
    <cellStyle name="Normal 13" xfId="79"/>
    <cellStyle name="Normal 13 10" xfId="80"/>
    <cellStyle name="Normal 13 2" xfId="81"/>
    <cellStyle name="Normal 13 2 2" xfId="82"/>
    <cellStyle name="Normal 13 3" xfId="83"/>
    <cellStyle name="Normal 13 4" xfId="84"/>
    <cellStyle name="Normal 13 5" xfId="85"/>
    <cellStyle name="Normal 13 6" xfId="86"/>
    <cellStyle name="Normal 13 7" xfId="87"/>
    <cellStyle name="Normal 13 8" xfId="88"/>
    <cellStyle name="Normal 13 9" xfId="89"/>
    <cellStyle name="Normal 14" xfId="90"/>
    <cellStyle name="Normal 14 2" xfId="91"/>
    <cellStyle name="Normal 14 3" xfId="92"/>
    <cellStyle name="Normal 14 4" xfId="93"/>
    <cellStyle name="Normal 14 5" xfId="94"/>
    <cellStyle name="Normal 14 6" xfId="95"/>
    <cellStyle name="Normal 15" xfId="96"/>
    <cellStyle name="Normal 15 2" xfId="97"/>
    <cellStyle name="Normal 15 3" xfId="98"/>
    <cellStyle name="Normal 16" xfId="99"/>
    <cellStyle name="Normal 16 2" xfId="100"/>
    <cellStyle name="Normal 16 3" xfId="101"/>
    <cellStyle name="Normal 17" xfId="102"/>
    <cellStyle name="Normal 17 2" xfId="103"/>
    <cellStyle name="Normal 17 3" xfId="104"/>
    <cellStyle name="Normal 18" xfId="105"/>
    <cellStyle name="Normal 18 2" xfId="106"/>
    <cellStyle name="Normal 18 2 2" xfId="107"/>
    <cellStyle name="Normal 18 2 3" xfId="108"/>
    <cellStyle name="Normal 18 3" xfId="109"/>
    <cellStyle name="Normal 18 4" xfId="110"/>
    <cellStyle name="Normal 18 5" xfId="111"/>
    <cellStyle name="Normal 18 6" xfId="112"/>
    <cellStyle name="Normal 19" xfId="113"/>
    <cellStyle name="Normal 19 2" xfId="114"/>
    <cellStyle name="Normal 19 2 2" xfId="115"/>
    <cellStyle name="Normal 19 2 3" xfId="116"/>
    <cellStyle name="Normal 19 3" xfId="117"/>
    <cellStyle name="Normal 19 4" xfId="118"/>
    <cellStyle name="Normal 19 5" xfId="119"/>
    <cellStyle name="Normal 19 6" xfId="120"/>
    <cellStyle name="Normal 2" xfId="121"/>
    <cellStyle name="Normal 2 10" xfId="122"/>
    <cellStyle name="Normal 2 10 10" xfId="123"/>
    <cellStyle name="Normal 2 10 2" xfId="124"/>
    <cellStyle name="Normal 2 10 2 2" xfId="125"/>
    <cellStyle name="Normal 2 10 3" xfId="126"/>
    <cellStyle name="Normal 2 10 3 2" xfId="127"/>
    <cellStyle name="Normal 2 10 4" xfId="128"/>
    <cellStyle name="Normal 2 10 4 2" xfId="129"/>
    <cellStyle name="Normal 2 10 5" xfId="130"/>
    <cellStyle name="Normal 2 10 5 2" xfId="131"/>
    <cellStyle name="Normal 2 10 6" xfId="132"/>
    <cellStyle name="Normal 2 10 6 2" xfId="133"/>
    <cellStyle name="Normal 2 10 7" xfId="134"/>
    <cellStyle name="Normal 2 10 7 2" xfId="135"/>
    <cellStyle name="Normal 2 10 8" xfId="136"/>
    <cellStyle name="Normal 2 10 8 2" xfId="137"/>
    <cellStyle name="Normal 2 10 9" xfId="138"/>
    <cellStyle name="Normal 2 11" xfId="139"/>
    <cellStyle name="Normal 2 11 10" xfId="140"/>
    <cellStyle name="Normal 2 11 2" xfId="141"/>
    <cellStyle name="Normal 2 11 2 2" xfId="142"/>
    <cellStyle name="Normal 2 11 3" xfId="143"/>
    <cellStyle name="Normal 2 11 3 2" xfId="144"/>
    <cellStyle name="Normal 2 11 4" xfId="145"/>
    <cellStyle name="Normal 2 11 4 2" xfId="146"/>
    <cellStyle name="Normal 2 11 5" xfId="147"/>
    <cellStyle name="Normal 2 11 5 2" xfId="148"/>
    <cellStyle name="Normal 2 11 6" xfId="149"/>
    <cellStyle name="Normal 2 11 6 2" xfId="150"/>
    <cellStyle name="Normal 2 11 7" xfId="151"/>
    <cellStyle name="Normal 2 11 7 2" xfId="152"/>
    <cellStyle name="Normal 2 11 8" xfId="153"/>
    <cellStyle name="Normal 2 11 8 2" xfId="154"/>
    <cellStyle name="Normal 2 11 9" xfId="155"/>
    <cellStyle name="Normal 2 12" xfId="156"/>
    <cellStyle name="Normal 2 13" xfId="157"/>
    <cellStyle name="Normal 2 14" xfId="158"/>
    <cellStyle name="Normal 2 2" xfId="159"/>
    <cellStyle name="Normal 2 2 10" xfId="160"/>
    <cellStyle name="Normal 2 2 10 2" xfId="161"/>
    <cellStyle name="Normal 2 2 11" xfId="162"/>
    <cellStyle name="Normal 2 2 11 2" xfId="163"/>
    <cellStyle name="Normal 2 2 12" xfId="164"/>
    <cellStyle name="Normal 2 2 12 2" xfId="165"/>
    <cellStyle name="Normal 2 2 13" xfId="166"/>
    <cellStyle name="Normal 2 2 13 2" xfId="167"/>
    <cellStyle name="Normal 2 2 14" xfId="168"/>
    <cellStyle name="Normal 2 2 14 2" xfId="169"/>
    <cellStyle name="Normal 2 2 15" xfId="170"/>
    <cellStyle name="Normal 2 2 15 2" xfId="171"/>
    <cellStyle name="Normal 2 2 16" xfId="172"/>
    <cellStyle name="Normal 2 2 17" xfId="173"/>
    <cellStyle name="Normal 2 2 18" xfId="174"/>
    <cellStyle name="Normal 2 2 19" xfId="175"/>
    <cellStyle name="Normal 2 2 2" xfId="176"/>
    <cellStyle name="Normal 2 2 2 2" xfId="177"/>
    <cellStyle name="Normal 2 2 2 2 2" xfId="178"/>
    <cellStyle name="Normal 2 2 2 3" xfId="179"/>
    <cellStyle name="Normal 2 2 2 3 2" xfId="180"/>
    <cellStyle name="Normal 2 2 2 4" xfId="181"/>
    <cellStyle name="Normal 2 2 2 4 2" xfId="182"/>
    <cellStyle name="Normal 2 2 2 5" xfId="183"/>
    <cellStyle name="Normal 2 2 2 5 2" xfId="184"/>
    <cellStyle name="Normal 2 2 2 6" xfId="185"/>
    <cellStyle name="Normal 2 2 2 6 2" xfId="186"/>
    <cellStyle name="Normal 2 2 2 7" xfId="187"/>
    <cellStyle name="Normal 2 2 2 8" xfId="188"/>
    <cellStyle name="Normal 2 2 20" xfId="189"/>
    <cellStyle name="Normal 2 2 21"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2" xfId="208"/>
    <cellStyle name="Normal 2 3 2 2" xfId="209"/>
    <cellStyle name="Normal 2 3 3" xfId="210"/>
    <cellStyle name="Normal 2 3 3 2"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2" xfId="221"/>
    <cellStyle name="Normal 2 4 2 2" xfId="222"/>
    <cellStyle name="Normal 2 4 3" xfId="223"/>
    <cellStyle name="Normal 2 4 3 2" xfId="224"/>
    <cellStyle name="Normal 2 4 4" xfId="225"/>
    <cellStyle name="Normal 2 4 5" xfId="226"/>
    <cellStyle name="Normal 2 4 6" xfId="227"/>
    <cellStyle name="Normal 2 4 7" xfId="228"/>
    <cellStyle name="Normal 2 4 8" xfId="229"/>
    <cellStyle name="Normal 2 4 9" xfId="230"/>
    <cellStyle name="Normal 2 5" xfId="231"/>
    <cellStyle name="Normal 2 5 10" xfId="232"/>
    <cellStyle name="Normal 2 5 11"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2" xfId="247"/>
    <cellStyle name="Normal 2 6 2 2" xfId="248"/>
    <cellStyle name="Normal 2 6 3" xfId="249"/>
    <cellStyle name="Normal 2 6 3 2" xfId="250"/>
    <cellStyle name="Normal 2 6 4" xfId="251"/>
    <cellStyle name="Normal 2 6 5" xfId="252"/>
    <cellStyle name="Normal 2 6 6" xfId="253"/>
    <cellStyle name="Normal 2 6 7" xfId="254"/>
    <cellStyle name="Normal 2 6 8" xfId="255"/>
    <cellStyle name="Normal 2 6 9" xfId="256"/>
    <cellStyle name="Normal 2 7" xfId="257"/>
    <cellStyle name="Normal 2 7 10" xfId="258"/>
    <cellStyle name="Normal 2 7 2" xfId="259"/>
    <cellStyle name="Normal 2 7 2 2" xfId="260"/>
    <cellStyle name="Normal 2 7 3" xfId="261"/>
    <cellStyle name="Normal 2 7 3 2" xfId="262"/>
    <cellStyle name="Normal 2 7 4" xfId="263"/>
    <cellStyle name="Normal 2 7 4 2" xfId="264"/>
    <cellStyle name="Normal 2 7 5" xfId="265"/>
    <cellStyle name="Normal 2 7 5 2" xfId="266"/>
    <cellStyle name="Normal 2 7 6" xfId="267"/>
    <cellStyle name="Normal 2 7 6 2" xfId="268"/>
    <cellStyle name="Normal 2 7 7" xfId="269"/>
    <cellStyle name="Normal 2 7 7 2" xfId="270"/>
    <cellStyle name="Normal 2 7 8" xfId="271"/>
    <cellStyle name="Normal 2 7 8 2" xfId="272"/>
    <cellStyle name="Normal 2 7 9" xfId="273"/>
    <cellStyle name="Normal 2 8" xfId="274"/>
    <cellStyle name="Normal 2 8 10" xfId="275"/>
    <cellStyle name="Normal 2 8 2" xfId="276"/>
    <cellStyle name="Normal 2 8 2 2" xfId="277"/>
    <cellStyle name="Normal 2 8 3" xfId="278"/>
    <cellStyle name="Normal 2 8 3 2" xfId="279"/>
    <cellStyle name="Normal 2 8 4" xfId="280"/>
    <cellStyle name="Normal 2 8 4 2" xfId="281"/>
    <cellStyle name="Normal 2 8 5" xfId="282"/>
    <cellStyle name="Normal 2 8 5 2" xfId="283"/>
    <cellStyle name="Normal 2 8 6" xfId="284"/>
    <cellStyle name="Normal 2 8 6 2" xfId="285"/>
    <cellStyle name="Normal 2 8 7" xfId="286"/>
    <cellStyle name="Normal 2 8 7 2" xfId="287"/>
    <cellStyle name="Normal 2 8 8" xfId="288"/>
    <cellStyle name="Normal 2 8 8 2" xfId="289"/>
    <cellStyle name="Normal 2 8 9" xfId="290"/>
    <cellStyle name="Normal 2 9" xfId="291"/>
    <cellStyle name="Normal 2 9 10" xfId="292"/>
    <cellStyle name="Normal 2 9 2" xfId="293"/>
    <cellStyle name="Normal 2 9 2 2" xfId="294"/>
    <cellStyle name="Normal 2 9 3" xfId="295"/>
    <cellStyle name="Normal 2 9 3 2" xfId="296"/>
    <cellStyle name="Normal 2 9 4" xfId="297"/>
    <cellStyle name="Normal 2 9 4 2" xfId="298"/>
    <cellStyle name="Normal 2 9 5" xfId="299"/>
    <cellStyle name="Normal 2 9 5 2" xfId="300"/>
    <cellStyle name="Normal 2 9 6" xfId="301"/>
    <cellStyle name="Normal 2 9 6 2" xfId="302"/>
    <cellStyle name="Normal 2 9 7" xfId="303"/>
    <cellStyle name="Normal 2 9 7 2" xfId="304"/>
    <cellStyle name="Normal 2 9 8" xfId="305"/>
    <cellStyle name="Normal 2 9 8 2" xfId="306"/>
    <cellStyle name="Normal 2 9 9" xfId="307"/>
    <cellStyle name="Normal 20" xfId="308"/>
    <cellStyle name="Normal 20 2" xfId="309"/>
    <cellStyle name="Normal 20 3" xfId="310"/>
    <cellStyle name="Normal 22" xfId="311"/>
    <cellStyle name="Normal 22 2" xfId="312"/>
    <cellStyle name="Normal 22 3" xfId="313"/>
    <cellStyle name="Normal 23" xfId="314"/>
    <cellStyle name="Normal 23 2" xfId="315"/>
    <cellStyle name="Normal 23 3" xfId="316"/>
    <cellStyle name="Normal 24" xfId="317"/>
    <cellStyle name="Normal 24 2" xfId="318"/>
    <cellStyle name="Normal 24 3" xfId="319"/>
    <cellStyle name="Normal 25" xfId="320"/>
    <cellStyle name="Normal 25 2" xfId="321"/>
    <cellStyle name="Normal 25 3" xfId="322"/>
    <cellStyle name="Normal 3" xfId="323"/>
    <cellStyle name="Normal 3 2" xfId="324"/>
    <cellStyle name="Normal 4" xfId="325"/>
    <cellStyle name="Normal 4 2" xfId="326"/>
    <cellStyle name="Normal 5" xfId="327"/>
    <cellStyle name="Normal 5 2" xfId="328"/>
    <cellStyle name="Normal 5 3" xfId="329"/>
    <cellStyle name="Normal 6" xfId="330"/>
    <cellStyle name="Normal 6 2" xfId="331"/>
    <cellStyle name="Normal 7 2" xfId="332"/>
    <cellStyle name="Normal 7 3" xfId="333"/>
    <cellStyle name="Normal 8" xfId="334"/>
    <cellStyle name="Normal 8 2" xfId="335"/>
    <cellStyle name="Normal 9" xfId="336"/>
    <cellStyle name="Normal 9 2" xfId="337"/>
    <cellStyle name="Normal 9 3" xfId="338"/>
    <cellStyle name="Normal_debt" xfId="339"/>
    <cellStyle name="Normal_lpform" xfId="340"/>
    <cellStyle name="Note" xfId="341"/>
    <cellStyle name="Output" xfId="342"/>
    <cellStyle name="Percent" xfId="343"/>
    <cellStyle name="Title" xfId="344"/>
    <cellStyle name="Total" xfId="345"/>
    <cellStyle name="Warning Text" xfId="346"/>
  </cellStyles>
  <dxfs count="32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5</xdr:col>
      <xdr:colOff>723900</xdr:colOff>
      <xdr:row>31</xdr:row>
      <xdr:rowOff>66675</xdr:rowOff>
    </xdr:to>
    <xdr:pic>
      <xdr:nvPicPr>
        <xdr:cNvPr id="1" name="Picture 1"/>
        <xdr:cNvPicPr preferRelativeResize="1">
          <a:picLocks noChangeAspect="1"/>
        </xdr:cNvPicPr>
      </xdr:nvPicPr>
      <xdr:blipFill>
        <a:blip r:embed="rId1"/>
        <a:stretch>
          <a:fillRect/>
        </a:stretch>
      </xdr:blipFill>
      <xdr:spPr>
        <a:xfrm>
          <a:off x="38100" y="19050"/>
          <a:ext cx="4876800" cy="5953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419100</xdr:colOff>
      <xdr:row>29</xdr:row>
      <xdr:rowOff>133350</xdr:rowOff>
    </xdr:to>
    <xdr:pic>
      <xdr:nvPicPr>
        <xdr:cNvPr id="1" name="Picture 1"/>
        <xdr:cNvPicPr preferRelativeResize="1">
          <a:picLocks noChangeAspect="1"/>
        </xdr:cNvPicPr>
      </xdr:nvPicPr>
      <xdr:blipFill>
        <a:blip r:embed="rId1"/>
        <a:stretch>
          <a:fillRect/>
        </a:stretch>
      </xdr:blipFill>
      <xdr:spPr>
        <a:xfrm>
          <a:off x="0" y="0"/>
          <a:ext cx="4610100" cy="5657850"/>
        </a:xfrm>
        <a:prstGeom prst="rect">
          <a:avLst/>
        </a:prstGeom>
        <a:noFill/>
        <a:ln w="9525" cmpd="sng">
          <a:noFill/>
        </a:ln>
      </xdr:spPr>
    </xdr:pic>
    <xdr:clientData/>
  </xdr:twoCellAnchor>
  <xdr:twoCellAnchor>
    <xdr:from>
      <xdr:col>0</xdr:col>
      <xdr:colOff>0</xdr:colOff>
      <xdr:row>31</xdr:row>
      <xdr:rowOff>0</xdr:rowOff>
    </xdr:from>
    <xdr:to>
      <xdr:col>8</xdr:col>
      <xdr:colOff>523875</xdr:colOff>
      <xdr:row>70</xdr:row>
      <xdr:rowOff>9525</xdr:rowOff>
    </xdr:to>
    <xdr:pic>
      <xdr:nvPicPr>
        <xdr:cNvPr id="2" name="Picture 2"/>
        <xdr:cNvPicPr preferRelativeResize="1">
          <a:picLocks noChangeAspect="1"/>
        </xdr:cNvPicPr>
      </xdr:nvPicPr>
      <xdr:blipFill>
        <a:blip r:embed="rId2"/>
        <a:stretch>
          <a:fillRect/>
        </a:stretch>
      </xdr:blipFill>
      <xdr:spPr>
        <a:xfrm>
          <a:off x="0" y="5905500"/>
          <a:ext cx="7229475" cy="743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189</v>
      </c>
    </row>
    <row r="3" ht="39.75" customHeight="1">
      <c r="A3" s="34" t="s">
        <v>267</v>
      </c>
    </row>
    <row r="4" ht="15.75">
      <c r="A4" s="35"/>
    </row>
    <row r="5" ht="49.5" customHeight="1">
      <c r="A5" s="36" t="s">
        <v>781</v>
      </c>
    </row>
    <row r="6" ht="15.75">
      <c r="A6" s="36"/>
    </row>
    <row r="7" ht="66.75" customHeight="1">
      <c r="A7" s="36" t="s">
        <v>346</v>
      </c>
    </row>
    <row r="8" ht="15.75">
      <c r="A8" s="36"/>
    </row>
    <row r="9" ht="32.25" customHeight="1">
      <c r="A9" s="36" t="s">
        <v>268</v>
      </c>
    </row>
    <row r="11" ht="51" customHeight="1">
      <c r="A11" s="36" t="s">
        <v>841</v>
      </c>
    </row>
    <row r="13" ht="15.75">
      <c r="A13" s="32" t="s">
        <v>792</v>
      </c>
    </row>
    <row r="14" ht="15.75">
      <c r="A14" s="32"/>
    </row>
    <row r="15" ht="15.75">
      <c r="A15" s="35" t="s">
        <v>793</v>
      </c>
    </row>
    <row r="17" ht="37.5" customHeight="1">
      <c r="A17" s="37" t="s">
        <v>295</v>
      </c>
    </row>
    <row r="18" ht="9" customHeight="1">
      <c r="A18" s="37"/>
    </row>
    <row r="20" ht="15.75">
      <c r="A20" s="32" t="s">
        <v>847</v>
      </c>
    </row>
    <row r="22" ht="36" customHeight="1">
      <c r="A22" s="36" t="s">
        <v>269</v>
      </c>
    </row>
    <row r="23" ht="15.75">
      <c r="A23" s="36"/>
    </row>
    <row r="24" ht="15.75">
      <c r="A24" s="38" t="s">
        <v>270</v>
      </c>
    </row>
    <row r="25" ht="12" customHeight="1">
      <c r="A25" s="36"/>
    </row>
    <row r="26" ht="15.75">
      <c r="A26" s="39" t="s">
        <v>168</v>
      </c>
    </row>
    <row r="27" ht="15.75">
      <c r="A27" s="40"/>
    </row>
    <row r="28" ht="84.75" customHeight="1">
      <c r="A28" s="41" t="s">
        <v>774</v>
      </c>
    </row>
    <row r="29" ht="12.75" customHeight="1">
      <c r="A29" s="42"/>
    </row>
    <row r="30" ht="15.75">
      <c r="A30" s="43" t="s">
        <v>271</v>
      </c>
    </row>
    <row r="31" ht="15.75">
      <c r="A31" s="42"/>
    </row>
    <row r="32" ht="15.75">
      <c r="A32" s="44" t="s">
        <v>791</v>
      </c>
    </row>
    <row r="33" ht="15.75">
      <c r="A33" s="42"/>
    </row>
    <row r="34" ht="15.75">
      <c r="A34" s="36" t="s">
        <v>103</v>
      </c>
    </row>
    <row r="36" ht="15.75">
      <c r="A36" s="32" t="s">
        <v>104</v>
      </c>
    </row>
    <row r="38" ht="66.75" customHeight="1">
      <c r="A38" s="36" t="s">
        <v>753</v>
      </c>
    </row>
    <row r="39" ht="35.25" customHeight="1">
      <c r="A39" s="36" t="s">
        <v>191</v>
      </c>
    </row>
    <row r="40" ht="53.25" customHeight="1">
      <c r="A40" s="45" t="s">
        <v>272</v>
      </c>
    </row>
    <row r="42" ht="84" customHeight="1">
      <c r="A42" s="36" t="s">
        <v>754</v>
      </c>
    </row>
    <row r="43" ht="53.25" customHeight="1">
      <c r="A43" s="36" t="s">
        <v>273</v>
      </c>
    </row>
    <row r="44" ht="102" customHeight="1">
      <c r="A44" s="36" t="s">
        <v>842</v>
      </c>
    </row>
    <row r="45" ht="15.75" customHeight="1">
      <c r="A45" s="36"/>
    </row>
    <row r="46" ht="73.5" customHeight="1">
      <c r="A46" s="386" t="s">
        <v>755</v>
      </c>
    </row>
    <row r="47" ht="69.75" customHeight="1">
      <c r="A47" s="387" t="s">
        <v>9</v>
      </c>
    </row>
    <row r="48" ht="15.75" customHeight="1">
      <c r="A48" s="36"/>
    </row>
    <row r="49" ht="69.75" customHeight="1">
      <c r="A49" s="36" t="s">
        <v>10</v>
      </c>
    </row>
    <row r="50" ht="37.5" customHeight="1">
      <c r="A50" s="36" t="s">
        <v>11</v>
      </c>
    </row>
    <row r="51" ht="69" customHeight="1">
      <c r="A51" s="36" t="s">
        <v>12</v>
      </c>
    </row>
    <row r="53" ht="84.75" customHeight="1">
      <c r="A53" s="36" t="s">
        <v>13</v>
      </c>
    </row>
    <row r="54" ht="116.25" customHeight="1">
      <c r="A54" s="36" t="s">
        <v>14</v>
      </c>
    </row>
    <row r="55" ht="38.25" customHeight="1">
      <c r="A55" s="36" t="s">
        <v>15</v>
      </c>
    </row>
    <row r="56" ht="15.75">
      <c r="A56" s="36"/>
    </row>
    <row r="57" ht="68.25" customHeight="1">
      <c r="A57" s="36" t="s">
        <v>16</v>
      </c>
    </row>
    <row r="58" ht="15.75">
      <c r="A58" s="36"/>
    </row>
    <row r="59" ht="66.75" customHeight="1">
      <c r="A59" s="36" t="s">
        <v>17</v>
      </c>
    </row>
    <row r="60" ht="37.5" customHeight="1">
      <c r="A60" s="36" t="s">
        <v>31</v>
      </c>
    </row>
    <row r="61" ht="91.5" customHeight="1">
      <c r="A61" s="36" t="s">
        <v>32</v>
      </c>
    </row>
    <row r="62" ht="47.25" customHeight="1">
      <c r="A62" s="360" t="s">
        <v>33</v>
      </c>
    </row>
    <row r="64" s="36" customFormat="1" ht="66.75" customHeight="1">
      <c r="A64" s="36" t="s">
        <v>18</v>
      </c>
    </row>
    <row r="66" ht="67.5" customHeight="1">
      <c r="A66" s="36" t="s">
        <v>19</v>
      </c>
    </row>
    <row r="68" ht="95.25" customHeight="1">
      <c r="A68" s="36" t="s">
        <v>347</v>
      </c>
    </row>
    <row r="69" ht="95.25" customHeight="1">
      <c r="A69" s="522" t="s">
        <v>756</v>
      </c>
    </row>
    <row r="70" ht="75" customHeight="1">
      <c r="A70" s="522" t="s">
        <v>757</v>
      </c>
    </row>
    <row r="71" ht="137.25" customHeight="1">
      <c r="A71" s="36" t="s">
        <v>758</v>
      </c>
    </row>
    <row r="72" ht="114.75" customHeight="1">
      <c r="A72" s="36" t="s">
        <v>759</v>
      </c>
    </row>
    <row r="73" ht="135" customHeight="1">
      <c r="A73" s="36" t="s">
        <v>760</v>
      </c>
    </row>
    <row r="74" ht="141.75" customHeight="1">
      <c r="A74" s="36" t="s">
        <v>761</v>
      </c>
    </row>
    <row r="75" ht="117" customHeight="1">
      <c r="A75" s="36" t="s">
        <v>762</v>
      </c>
    </row>
    <row r="76" ht="45" customHeight="1">
      <c r="A76" s="36" t="s">
        <v>763</v>
      </c>
    </row>
    <row r="77" ht="86.25" customHeight="1">
      <c r="A77" s="36" t="s">
        <v>764</v>
      </c>
    </row>
    <row r="78" ht="129.75" customHeight="1">
      <c r="A78" s="36" t="s">
        <v>765</v>
      </c>
    </row>
    <row r="79" ht="110.25" customHeight="1">
      <c r="A79" s="523" t="s">
        <v>766</v>
      </c>
    </row>
    <row r="80" ht="117" customHeight="1">
      <c r="A80" s="524" t="s">
        <v>767</v>
      </c>
    </row>
    <row r="81" ht="72" customHeight="1">
      <c r="A81" s="385" t="s">
        <v>768</v>
      </c>
    </row>
    <row r="82" ht="20.25" customHeight="1"/>
    <row r="83" ht="125.25" customHeight="1">
      <c r="A83" s="36" t="s">
        <v>20</v>
      </c>
    </row>
    <row r="84" ht="134.25" customHeight="1">
      <c r="A84" s="36" t="s">
        <v>21</v>
      </c>
    </row>
    <row r="85" ht="59.25" customHeight="1">
      <c r="A85" s="36" t="s">
        <v>22</v>
      </c>
    </row>
    <row r="86" ht="30.75" customHeight="1">
      <c r="A86" s="36" t="s">
        <v>23</v>
      </c>
    </row>
    <row r="87" ht="15" customHeight="1"/>
    <row r="88" ht="36.75" customHeight="1">
      <c r="A88" s="36" t="s">
        <v>24</v>
      </c>
    </row>
    <row r="89" ht="34.5" customHeight="1">
      <c r="A89" s="388" t="s">
        <v>26</v>
      </c>
    </row>
    <row r="90" ht="99.75" customHeight="1">
      <c r="A90" s="522" t="s">
        <v>769</v>
      </c>
    </row>
    <row r="91" ht="34.5" customHeight="1">
      <c r="A91" s="522" t="s">
        <v>770</v>
      </c>
    </row>
    <row r="92" ht="85.5" customHeight="1">
      <c r="A92" s="522" t="s">
        <v>771</v>
      </c>
    </row>
    <row r="93" ht="91.5" customHeight="1">
      <c r="A93" s="522" t="s">
        <v>319</v>
      </c>
    </row>
    <row r="94" ht="58.5" customHeight="1">
      <c r="A94" s="388" t="s">
        <v>320</v>
      </c>
    </row>
    <row r="95" ht="66" customHeight="1">
      <c r="A95" s="388" t="s">
        <v>321</v>
      </c>
    </row>
    <row r="96" ht="16.5" customHeight="1">
      <c r="A96" s="36"/>
    </row>
    <row r="97" ht="72.75" customHeight="1">
      <c r="A97" s="36" t="s">
        <v>25</v>
      </c>
    </row>
    <row r="99" ht="69" customHeight="1">
      <c r="A99" s="522" t="s">
        <v>322</v>
      </c>
    </row>
    <row r="100" ht="110.25" customHeight="1">
      <c r="A100" s="522" t="s">
        <v>323</v>
      </c>
    </row>
    <row r="101" ht="132" customHeight="1">
      <c r="A101" s="522" t="s">
        <v>324</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3" sqref="A3"/>
    </sheetView>
  </sheetViews>
  <sheetFormatPr defaultColWidth="8.796875" defaultRowHeight="15"/>
  <cols>
    <col min="1" max="1" width="70.59765625" style="528" customWidth="1"/>
    <col min="2" max="16384" width="8.8984375" style="528" customWidth="1"/>
  </cols>
  <sheetData>
    <row r="1" ht="18.75">
      <c r="A1" s="529" t="s">
        <v>626</v>
      </c>
    </row>
    <row r="2" ht="18.75">
      <c r="A2" s="529"/>
    </row>
    <row r="3" ht="18.75">
      <c r="A3" s="529"/>
    </row>
    <row r="4" ht="51.75" customHeight="1">
      <c r="A4" s="539" t="s">
        <v>328</v>
      </c>
    </row>
    <row r="5" ht="18.75">
      <c r="A5" s="529"/>
    </row>
    <row r="6" ht="15.75">
      <c r="A6" s="530"/>
    </row>
    <row r="7" ht="47.25">
      <c r="A7" s="531" t="s">
        <v>627</v>
      </c>
    </row>
    <row r="8" ht="15.75">
      <c r="A8" s="530"/>
    </row>
    <row r="9" ht="15.75">
      <c r="A9" s="530"/>
    </row>
    <row r="10" ht="63">
      <c r="A10" s="531" t="s">
        <v>628</v>
      </c>
    </row>
    <row r="11" ht="15.75">
      <c r="A11" s="532"/>
    </row>
    <row r="12" ht="15.75">
      <c r="A12" s="530"/>
    </row>
    <row r="13" ht="47.25">
      <c r="A13" s="531" t="s">
        <v>629</v>
      </c>
    </row>
    <row r="14" ht="15.75">
      <c r="A14" s="532"/>
    </row>
    <row r="15" ht="15.75">
      <c r="A15" s="530"/>
    </row>
    <row r="16" ht="47.25">
      <c r="A16" s="531" t="s">
        <v>630</v>
      </c>
    </row>
    <row r="17" ht="15.75">
      <c r="A17" s="532"/>
    </row>
    <row r="18" ht="15.75">
      <c r="A18" s="532"/>
    </row>
    <row r="19" ht="47.25">
      <c r="A19" s="531" t="s">
        <v>631</v>
      </c>
    </row>
    <row r="20" ht="15.75">
      <c r="A20" s="532"/>
    </row>
    <row r="21" ht="15.75">
      <c r="A21" s="532"/>
    </row>
    <row r="22" ht="47.25">
      <c r="A22" s="531" t="s">
        <v>632</v>
      </c>
    </row>
    <row r="23" ht="15.75">
      <c r="A23" s="532"/>
    </row>
    <row r="24" ht="15.75">
      <c r="A24" s="532"/>
    </row>
    <row r="25" ht="31.5">
      <c r="A25" s="531" t="s">
        <v>633</v>
      </c>
    </row>
    <row r="26" ht="15.75">
      <c r="A26" s="530"/>
    </row>
    <row r="27" ht="15.75">
      <c r="A27" s="530"/>
    </row>
    <row r="28" ht="60">
      <c r="A28" s="533" t="s">
        <v>634</v>
      </c>
    </row>
    <row r="29" ht="15">
      <c r="A29" s="534"/>
    </row>
    <row r="30" ht="15">
      <c r="A30" s="534"/>
    </row>
    <row r="31" ht="47.25">
      <c r="A31" s="531" t="s">
        <v>635</v>
      </c>
    </row>
    <row r="32" ht="15.75">
      <c r="A32" s="530"/>
    </row>
    <row r="33" ht="15.75">
      <c r="A33" s="530"/>
    </row>
    <row r="34" ht="66.75" customHeight="1">
      <c r="A34" s="538" t="s">
        <v>329</v>
      </c>
    </row>
    <row r="35" ht="15.75">
      <c r="A35" s="530"/>
    </row>
    <row r="36" ht="15.75">
      <c r="A36" s="530"/>
    </row>
    <row r="37" ht="63">
      <c r="A37" s="535" t="s">
        <v>636</v>
      </c>
    </row>
    <row r="38" ht="15.75">
      <c r="A38" s="532"/>
    </row>
    <row r="39" ht="15.75">
      <c r="A39" s="530"/>
    </row>
    <row r="40" ht="63">
      <c r="A40" s="531" t="s">
        <v>637</v>
      </c>
    </row>
    <row r="41" ht="15.75">
      <c r="A41" s="532"/>
    </row>
    <row r="42" ht="15.75">
      <c r="A42" s="532"/>
    </row>
    <row r="43" ht="82.5" customHeight="1">
      <c r="A43" s="527" t="s">
        <v>330</v>
      </c>
    </row>
    <row r="44" ht="15.75">
      <c r="A44" s="532"/>
    </row>
    <row r="45" ht="15.75">
      <c r="A45" s="532"/>
    </row>
    <row r="46" ht="69" customHeight="1">
      <c r="A46" s="527" t="s">
        <v>331</v>
      </c>
    </row>
    <row r="47" ht="15.75">
      <c r="A47" s="532"/>
    </row>
    <row r="48" ht="15.75">
      <c r="A48" s="532"/>
    </row>
    <row r="49" ht="69" customHeight="1">
      <c r="A49" s="527" t="s">
        <v>332</v>
      </c>
    </row>
    <row r="50" ht="15.75">
      <c r="A50" s="532"/>
    </row>
    <row r="51" ht="15.75">
      <c r="A51" s="532"/>
    </row>
    <row r="52" ht="63">
      <c r="A52" s="531" t="s">
        <v>638</v>
      </c>
    </row>
    <row r="53" ht="15.75">
      <c r="A53" s="532"/>
    </row>
    <row r="54" ht="15.75">
      <c r="A54" s="532"/>
    </row>
    <row r="55" ht="63">
      <c r="A55" s="531" t="s">
        <v>639</v>
      </c>
    </row>
    <row r="56" ht="15.75">
      <c r="A56" s="532"/>
    </row>
    <row r="57" ht="15.75">
      <c r="A57" s="532"/>
    </row>
    <row r="58" ht="47.25">
      <c r="A58" s="531" t="s">
        <v>640</v>
      </c>
    </row>
    <row r="59" ht="15.75">
      <c r="A59" s="532"/>
    </row>
    <row r="60" ht="15.75">
      <c r="A60" s="532"/>
    </row>
    <row r="61" ht="47.25">
      <c r="A61" s="531" t="s">
        <v>641</v>
      </c>
    </row>
    <row r="62" ht="15.75">
      <c r="A62" s="532"/>
    </row>
    <row r="63" ht="15.75">
      <c r="A63" s="532"/>
    </row>
    <row r="64" ht="78.75">
      <c r="A64" s="531" t="s">
        <v>642</v>
      </c>
    </row>
    <row r="65" ht="15">
      <c r="A65" s="536"/>
    </row>
  </sheetData>
  <sheetProtection sheet="1" objects="1" scenario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H1" sqref="H1"/>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Elbing City</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112</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919</v>
      </c>
      <c r="C5" s="203" t="s">
        <v>919</v>
      </c>
      <c r="D5" s="203" t="s">
        <v>93</v>
      </c>
      <c r="E5" s="203"/>
      <c r="F5" s="203" t="s">
        <v>226</v>
      </c>
      <c r="G5" s="48"/>
      <c r="H5" s="48"/>
      <c r="I5" s="229" t="s">
        <v>920</v>
      </c>
      <c r="J5" s="230"/>
      <c r="K5" s="229" t="s">
        <v>920</v>
      </c>
      <c r="L5" s="230"/>
    </row>
    <row r="6" spans="1:12" ht="15.75">
      <c r="A6" s="48"/>
      <c r="B6" s="231" t="s">
        <v>921</v>
      </c>
      <c r="C6" s="231" t="s">
        <v>227</v>
      </c>
      <c r="D6" s="231" t="s">
        <v>922</v>
      </c>
      <c r="E6" s="231" t="s">
        <v>874</v>
      </c>
      <c r="F6" s="231" t="s">
        <v>228</v>
      </c>
      <c r="G6" s="667" t="s">
        <v>923</v>
      </c>
      <c r="H6" s="668"/>
      <c r="I6" s="669">
        <f>L1-1</f>
        <v>2011</v>
      </c>
      <c r="J6" s="657"/>
      <c r="K6" s="669">
        <f>L1</f>
        <v>2012</v>
      </c>
      <c r="L6" s="657"/>
    </row>
    <row r="7" spans="1:12" ht="15.75">
      <c r="A7" s="233" t="s">
        <v>924</v>
      </c>
      <c r="B7" s="205" t="s">
        <v>925</v>
      </c>
      <c r="C7" s="205" t="s">
        <v>229</v>
      </c>
      <c r="D7" s="205" t="s">
        <v>899</v>
      </c>
      <c r="E7" s="205" t="s">
        <v>926</v>
      </c>
      <c r="F7" s="232" t="str">
        <f>CONCATENATE("Jan 1,",L1-1,"")</f>
        <v>Jan 1,2011</v>
      </c>
      <c r="G7" s="159" t="s">
        <v>93</v>
      </c>
      <c r="H7" s="159" t="s">
        <v>95</v>
      </c>
      <c r="I7" s="159" t="s">
        <v>93</v>
      </c>
      <c r="J7" s="159" t="s">
        <v>95</v>
      </c>
      <c r="K7" s="159" t="s">
        <v>93</v>
      </c>
      <c r="L7" s="159" t="s">
        <v>95</v>
      </c>
    </row>
    <row r="8" spans="1:12" ht="15.75">
      <c r="A8" s="233" t="s">
        <v>927</v>
      </c>
      <c r="B8" s="66"/>
      <c r="C8" s="66"/>
      <c r="D8" s="234"/>
      <c r="E8" s="235"/>
      <c r="F8" s="235"/>
      <c r="G8" s="66"/>
      <c r="H8" s="66"/>
      <c r="I8" s="235"/>
      <c r="J8" s="235"/>
      <c r="K8" s="235"/>
      <c r="L8" s="235"/>
    </row>
    <row r="9" spans="1:12" ht="15.75">
      <c r="A9" s="70"/>
      <c r="B9" s="392"/>
      <c r="C9" s="392"/>
      <c r="D9" s="236"/>
      <c r="E9" s="237"/>
      <c r="F9" s="238"/>
      <c r="G9" s="239"/>
      <c r="H9" s="239"/>
      <c r="I9" s="238"/>
      <c r="J9" s="238"/>
      <c r="K9" s="238"/>
      <c r="L9" s="238"/>
    </row>
    <row r="10" spans="1:12" ht="15.75">
      <c r="A10" s="70" t="s">
        <v>441</v>
      </c>
      <c r="B10" s="392">
        <v>36540</v>
      </c>
      <c r="C10" s="392">
        <v>42217</v>
      </c>
      <c r="D10" s="236">
        <v>6</v>
      </c>
      <c r="E10" s="237">
        <v>90000</v>
      </c>
      <c r="F10" s="238">
        <v>39000</v>
      </c>
      <c r="G10" s="239" t="s">
        <v>442</v>
      </c>
      <c r="H10" s="239">
        <v>40756</v>
      </c>
      <c r="I10" s="238">
        <v>2340</v>
      </c>
      <c r="J10" s="238">
        <v>7000</v>
      </c>
      <c r="K10" s="238">
        <v>1920</v>
      </c>
      <c r="L10" s="238">
        <v>7000</v>
      </c>
    </row>
    <row r="11" spans="1:12" ht="15.75">
      <c r="A11" s="70"/>
      <c r="B11" s="392"/>
      <c r="C11" s="392"/>
      <c r="D11" s="236"/>
      <c r="E11" s="237"/>
      <c r="F11" s="238"/>
      <c r="G11" s="239"/>
      <c r="H11" s="239"/>
      <c r="I11" s="238"/>
      <c r="J11" s="238"/>
      <c r="K11" s="238"/>
      <c r="L11" s="238"/>
    </row>
    <row r="12" spans="1:12" ht="15.75">
      <c r="A12" s="70"/>
      <c r="B12" s="392"/>
      <c r="C12" s="392"/>
      <c r="D12" s="236"/>
      <c r="E12" s="237"/>
      <c r="F12" s="238"/>
      <c r="G12" s="239"/>
      <c r="H12" s="239"/>
      <c r="I12" s="238"/>
      <c r="J12" s="238"/>
      <c r="K12" s="238"/>
      <c r="L12" s="238"/>
    </row>
    <row r="13" spans="1:12" ht="15.75">
      <c r="A13" s="70"/>
      <c r="B13" s="392"/>
      <c r="C13" s="392"/>
      <c r="D13" s="236"/>
      <c r="E13" s="237"/>
      <c r="F13" s="238"/>
      <c r="G13" s="239"/>
      <c r="H13" s="239"/>
      <c r="I13" s="238"/>
      <c r="J13" s="238"/>
      <c r="K13" s="238"/>
      <c r="L13" s="238"/>
    </row>
    <row r="14" spans="1:12" ht="15.75">
      <c r="A14" s="70"/>
      <c r="B14" s="392"/>
      <c r="C14" s="392"/>
      <c r="D14" s="236"/>
      <c r="E14" s="237"/>
      <c r="F14" s="238"/>
      <c r="G14" s="239"/>
      <c r="H14" s="239"/>
      <c r="I14" s="238"/>
      <c r="J14" s="238"/>
      <c r="K14" s="238"/>
      <c r="L14" s="238"/>
    </row>
    <row r="15" spans="1:12" ht="15.75">
      <c r="A15" s="70"/>
      <c r="B15" s="392"/>
      <c r="C15" s="392"/>
      <c r="D15" s="236"/>
      <c r="E15" s="237"/>
      <c r="F15" s="238"/>
      <c r="G15" s="239"/>
      <c r="H15" s="239"/>
      <c r="I15" s="238"/>
      <c r="J15" s="238"/>
      <c r="K15" s="238"/>
      <c r="L15" s="238"/>
    </row>
    <row r="16" spans="1:12" ht="15.75">
      <c r="A16" s="70"/>
      <c r="B16" s="392"/>
      <c r="C16" s="392"/>
      <c r="D16" s="236"/>
      <c r="E16" s="237"/>
      <c r="F16" s="238"/>
      <c r="G16" s="239"/>
      <c r="H16" s="239"/>
      <c r="I16" s="238"/>
      <c r="J16" s="238"/>
      <c r="K16" s="238"/>
      <c r="L16" s="238"/>
    </row>
    <row r="17" spans="1:12" ht="15.75">
      <c r="A17" s="70"/>
      <c r="B17" s="392"/>
      <c r="C17" s="392"/>
      <c r="D17" s="236"/>
      <c r="E17" s="237"/>
      <c r="F17" s="238"/>
      <c r="G17" s="239"/>
      <c r="H17" s="239"/>
      <c r="I17" s="238"/>
      <c r="J17" s="238"/>
      <c r="K17" s="238"/>
      <c r="L17" s="238"/>
    </row>
    <row r="18" spans="1:12" ht="15.75">
      <c r="A18" s="70"/>
      <c r="B18" s="392"/>
      <c r="C18" s="392"/>
      <c r="D18" s="236"/>
      <c r="E18" s="237"/>
      <c r="F18" s="238"/>
      <c r="G18" s="239"/>
      <c r="H18" s="239"/>
      <c r="I18" s="238"/>
      <c r="J18" s="238"/>
      <c r="K18" s="238"/>
      <c r="L18" s="238"/>
    </row>
    <row r="19" spans="1:12" ht="15.75">
      <c r="A19" s="70"/>
      <c r="B19" s="392"/>
      <c r="C19" s="392"/>
      <c r="D19" s="236"/>
      <c r="E19" s="237"/>
      <c r="F19" s="238"/>
      <c r="G19" s="239"/>
      <c r="H19" s="239"/>
      <c r="I19" s="238"/>
      <c r="J19" s="238"/>
      <c r="K19" s="238"/>
      <c r="L19" s="238"/>
    </row>
    <row r="20" spans="1:12" ht="15.75">
      <c r="A20" s="240" t="s">
        <v>928</v>
      </c>
      <c r="B20" s="241"/>
      <c r="C20" s="241"/>
      <c r="D20" s="242"/>
      <c r="E20" s="243"/>
      <c r="F20" s="244">
        <f>SUM(F9:F19)</f>
        <v>39000</v>
      </c>
      <c r="G20" s="245"/>
      <c r="H20" s="245"/>
      <c r="I20" s="244">
        <f>SUM(I9:I19)</f>
        <v>2340</v>
      </c>
      <c r="J20" s="244">
        <f>SUM(J9:J19)</f>
        <v>7000</v>
      </c>
      <c r="K20" s="244">
        <f>SUM(K9:K19)</f>
        <v>1920</v>
      </c>
      <c r="L20" s="244">
        <f>SUM(L9:L19)</f>
        <v>7000</v>
      </c>
    </row>
    <row r="21" spans="1:12" ht="15.75">
      <c r="A21" s="233" t="s">
        <v>929</v>
      </c>
      <c r="B21" s="246"/>
      <c r="C21" s="246"/>
      <c r="D21" s="247"/>
      <c r="E21" s="248"/>
      <c r="F21" s="248"/>
      <c r="G21" s="249"/>
      <c r="H21" s="249"/>
      <c r="I21" s="248"/>
      <c r="J21" s="248"/>
      <c r="K21" s="248"/>
      <c r="L21" s="248"/>
    </row>
    <row r="22" spans="1:12" ht="15.75">
      <c r="A22" s="70"/>
      <c r="B22" s="392"/>
      <c r="C22" s="392"/>
      <c r="D22" s="236"/>
      <c r="E22" s="237"/>
      <c r="F22" s="238"/>
      <c r="G22" s="239"/>
      <c r="H22" s="239"/>
      <c r="I22" s="238"/>
      <c r="J22" s="238"/>
      <c r="K22" s="238"/>
      <c r="L22" s="238"/>
    </row>
    <row r="23" spans="1:12" ht="15.75">
      <c r="A23" s="70" t="s">
        <v>443</v>
      </c>
      <c r="B23" s="392">
        <v>36206</v>
      </c>
      <c r="C23" s="392">
        <v>44075</v>
      </c>
      <c r="D23" s="236">
        <v>3.49</v>
      </c>
      <c r="E23" s="237">
        <v>282000</v>
      </c>
      <c r="F23" s="238">
        <v>158294</v>
      </c>
      <c r="G23" s="239" t="s">
        <v>444</v>
      </c>
      <c r="H23" s="239">
        <v>40787</v>
      </c>
      <c r="I23" s="238">
        <v>5646</v>
      </c>
      <c r="J23" s="238">
        <v>14075</v>
      </c>
      <c r="K23" s="238">
        <v>5151</v>
      </c>
      <c r="L23" s="238">
        <v>14570</v>
      </c>
    </row>
    <row r="24" spans="1:12" ht="15.75">
      <c r="A24" s="70"/>
      <c r="B24" s="392"/>
      <c r="C24" s="392"/>
      <c r="D24" s="236"/>
      <c r="E24" s="237"/>
      <c r="F24" s="238"/>
      <c r="G24" s="239"/>
      <c r="H24" s="239"/>
      <c r="I24" s="238"/>
      <c r="J24" s="238"/>
      <c r="K24" s="238"/>
      <c r="L24" s="238"/>
    </row>
    <row r="25" spans="1:12" ht="15.75">
      <c r="A25" s="70"/>
      <c r="B25" s="392"/>
      <c r="C25" s="392"/>
      <c r="D25" s="236"/>
      <c r="E25" s="237"/>
      <c r="F25" s="238"/>
      <c r="G25" s="239"/>
      <c r="H25" s="239"/>
      <c r="I25" s="238"/>
      <c r="J25" s="238"/>
      <c r="K25" s="238"/>
      <c r="L25" s="238"/>
    </row>
    <row r="26" spans="1:12" ht="15.75">
      <c r="A26" s="70"/>
      <c r="B26" s="392"/>
      <c r="C26" s="392"/>
      <c r="D26" s="236"/>
      <c r="E26" s="237"/>
      <c r="F26" s="238"/>
      <c r="G26" s="239"/>
      <c r="H26" s="239"/>
      <c r="I26" s="238"/>
      <c r="J26" s="238"/>
      <c r="K26" s="238"/>
      <c r="L26" s="238"/>
    </row>
    <row r="27" spans="1:12" ht="15.75">
      <c r="A27" s="70"/>
      <c r="B27" s="392"/>
      <c r="C27" s="392"/>
      <c r="D27" s="236"/>
      <c r="E27" s="237"/>
      <c r="F27" s="238"/>
      <c r="G27" s="239"/>
      <c r="H27" s="239"/>
      <c r="I27" s="238"/>
      <c r="J27" s="238"/>
      <c r="K27" s="238"/>
      <c r="L27" s="238"/>
    </row>
    <row r="28" spans="1:12" ht="15.75">
      <c r="A28" s="70"/>
      <c r="B28" s="392"/>
      <c r="C28" s="392"/>
      <c r="D28" s="236"/>
      <c r="E28" s="237"/>
      <c r="F28" s="238"/>
      <c r="G28" s="239"/>
      <c r="H28" s="239"/>
      <c r="I28" s="238"/>
      <c r="J28" s="238"/>
      <c r="K28" s="238"/>
      <c r="L28" s="238"/>
    </row>
    <row r="29" spans="1:12" ht="15.75">
      <c r="A29" s="70"/>
      <c r="B29" s="392"/>
      <c r="C29" s="392"/>
      <c r="D29" s="236"/>
      <c r="E29" s="237"/>
      <c r="F29" s="238"/>
      <c r="G29" s="239"/>
      <c r="H29" s="239"/>
      <c r="I29" s="238"/>
      <c r="J29" s="238"/>
      <c r="K29" s="238"/>
      <c r="L29" s="238"/>
    </row>
    <row r="30" spans="1:12" ht="15.75">
      <c r="A30" s="70"/>
      <c r="B30" s="392"/>
      <c r="C30" s="392"/>
      <c r="D30" s="236"/>
      <c r="E30" s="237"/>
      <c r="F30" s="238"/>
      <c r="G30" s="239"/>
      <c r="H30" s="239"/>
      <c r="I30" s="238"/>
      <c r="J30" s="238"/>
      <c r="K30" s="238"/>
      <c r="L30" s="238"/>
    </row>
    <row r="31" spans="1:12" ht="15.75">
      <c r="A31" s="70"/>
      <c r="B31" s="392"/>
      <c r="C31" s="392"/>
      <c r="D31" s="236"/>
      <c r="E31" s="237"/>
      <c r="F31" s="238"/>
      <c r="G31" s="239"/>
      <c r="H31" s="239"/>
      <c r="I31" s="238"/>
      <c r="J31" s="238"/>
      <c r="K31" s="238"/>
      <c r="L31" s="238"/>
    </row>
    <row r="32" spans="1:12" ht="15.75">
      <c r="A32" s="240" t="s">
        <v>930</v>
      </c>
      <c r="B32" s="241"/>
      <c r="C32" s="241"/>
      <c r="D32" s="250"/>
      <c r="E32" s="243"/>
      <c r="F32" s="251">
        <f>SUM(F22:F31)</f>
        <v>158294</v>
      </c>
      <c r="G32" s="245"/>
      <c r="H32" s="245"/>
      <c r="I32" s="251">
        <f>SUM(I22:I31)</f>
        <v>5646</v>
      </c>
      <c r="J32" s="251">
        <f>SUM(J22:J31)</f>
        <v>14075</v>
      </c>
      <c r="K32" s="244">
        <f>SUM(K22:K31)</f>
        <v>5151</v>
      </c>
      <c r="L32" s="251">
        <f>SUM(L22:L31)</f>
        <v>14570</v>
      </c>
    </row>
    <row r="33" spans="1:12" ht="15.75">
      <c r="A33" s="233" t="s">
        <v>931</v>
      </c>
      <c r="B33" s="246"/>
      <c r="C33" s="246"/>
      <c r="D33" s="247"/>
      <c r="E33" s="248"/>
      <c r="F33" s="252"/>
      <c r="G33" s="249"/>
      <c r="H33" s="249"/>
      <c r="I33" s="248"/>
      <c r="J33" s="248"/>
      <c r="K33" s="248"/>
      <c r="L33" s="248"/>
    </row>
    <row r="34" spans="1:12" ht="15.75">
      <c r="A34" s="70"/>
      <c r="B34" s="392"/>
      <c r="C34" s="392"/>
      <c r="D34" s="236"/>
      <c r="E34" s="237"/>
      <c r="F34" s="238"/>
      <c r="G34" s="239"/>
      <c r="H34" s="239"/>
      <c r="I34" s="238"/>
      <c r="J34" s="238"/>
      <c r="K34" s="238"/>
      <c r="L34" s="238"/>
    </row>
    <row r="35" spans="1:12" ht="15.75">
      <c r="A35" s="70"/>
      <c r="B35" s="392"/>
      <c r="C35" s="392"/>
      <c r="D35" s="236"/>
      <c r="E35" s="237"/>
      <c r="F35" s="238"/>
      <c r="G35" s="239"/>
      <c r="H35" s="239"/>
      <c r="I35" s="238"/>
      <c r="J35" s="238"/>
      <c r="K35" s="238"/>
      <c r="L35" s="238"/>
    </row>
    <row r="36" spans="1:12" ht="15.75">
      <c r="A36" s="70"/>
      <c r="B36" s="392"/>
      <c r="C36" s="392"/>
      <c r="D36" s="236"/>
      <c r="E36" s="237"/>
      <c r="F36" s="238"/>
      <c r="G36" s="239"/>
      <c r="H36" s="239"/>
      <c r="I36" s="238"/>
      <c r="J36" s="238"/>
      <c r="K36" s="238"/>
      <c r="L36" s="238"/>
    </row>
    <row r="37" spans="1:12" ht="15.75">
      <c r="A37" s="70"/>
      <c r="B37" s="392"/>
      <c r="C37" s="392"/>
      <c r="D37" s="236"/>
      <c r="E37" s="237"/>
      <c r="F37" s="238"/>
      <c r="G37" s="239"/>
      <c r="H37" s="239"/>
      <c r="I37" s="238"/>
      <c r="J37" s="238"/>
      <c r="K37" s="238"/>
      <c r="L37" s="238"/>
    </row>
    <row r="38" spans="1:12" ht="15.75">
      <c r="A38" s="70"/>
      <c r="B38" s="392"/>
      <c r="C38" s="392"/>
      <c r="D38" s="236"/>
      <c r="E38" s="237"/>
      <c r="F38" s="238"/>
      <c r="G38" s="239"/>
      <c r="H38" s="239"/>
      <c r="I38" s="238"/>
      <c r="J38" s="238"/>
      <c r="K38" s="238"/>
      <c r="L38" s="238"/>
    </row>
    <row r="39" spans="1:12" ht="15.75">
      <c r="A39" s="70"/>
      <c r="B39" s="392"/>
      <c r="C39" s="392"/>
      <c r="D39" s="236"/>
      <c r="E39" s="237"/>
      <c r="F39" s="238"/>
      <c r="G39" s="239"/>
      <c r="H39" s="239"/>
      <c r="I39" s="238"/>
      <c r="J39" s="238"/>
      <c r="K39" s="238"/>
      <c r="L39" s="238"/>
    </row>
    <row r="40" spans="1:12" ht="15.75">
      <c r="A40" s="70"/>
      <c r="B40" s="392"/>
      <c r="C40" s="392"/>
      <c r="D40" s="236"/>
      <c r="E40" s="237"/>
      <c r="F40" s="238"/>
      <c r="G40" s="239"/>
      <c r="H40" s="239"/>
      <c r="I40" s="238"/>
      <c r="J40" s="238"/>
      <c r="K40" s="238"/>
      <c r="L40" s="238"/>
    </row>
    <row r="41" spans="1:28" ht="15.75">
      <c r="A41" s="70"/>
      <c r="B41" s="392"/>
      <c r="C41" s="392"/>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230</v>
      </c>
      <c r="B42" s="221"/>
      <c r="C42" s="221"/>
      <c r="D42" s="250"/>
      <c r="E42" s="243"/>
      <c r="F42" s="251">
        <f>SUM(F34:F41)</f>
        <v>0</v>
      </c>
      <c r="G42" s="243"/>
      <c r="H42" s="243"/>
      <c r="I42" s="251">
        <f>SUM(I34:I41)</f>
        <v>0</v>
      </c>
      <c r="J42" s="251">
        <f>SUM(J34:J41)</f>
        <v>0</v>
      </c>
      <c r="K42" s="251">
        <f>SUM(K34:K41)</f>
        <v>0</v>
      </c>
      <c r="L42" s="251">
        <f>SUM(L34:L41)</f>
        <v>0</v>
      </c>
    </row>
    <row r="43" spans="1:12" ht="15.75">
      <c r="A43" s="240" t="s">
        <v>932</v>
      </c>
      <c r="B43" s="221"/>
      <c r="C43" s="221"/>
      <c r="D43" s="221"/>
      <c r="E43" s="243"/>
      <c r="F43" s="251">
        <f>SUM(F20+F32+F42)</f>
        <v>197294</v>
      </c>
      <c r="G43" s="243"/>
      <c r="H43" s="243"/>
      <c r="I43" s="251">
        <f>SUM(I20+I32+I42)</f>
        <v>7986</v>
      </c>
      <c r="J43" s="251">
        <f>SUM(J20+J32+J42)</f>
        <v>21075</v>
      </c>
      <c r="K43" s="251">
        <f>SUM(K20+K32+K42)</f>
        <v>7071</v>
      </c>
      <c r="L43" s="251">
        <f>SUM(L20+L32+L42)</f>
        <v>21570</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B11" sqref="B1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Elbing City</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106</v>
      </c>
      <c r="B4" s="8"/>
      <c r="C4" s="8"/>
      <c r="D4" s="8"/>
      <c r="E4" s="8"/>
      <c r="F4" s="8"/>
      <c r="G4" s="8"/>
      <c r="H4" s="8"/>
    </row>
    <row r="5" spans="1:8" ht="15.75">
      <c r="A5" s="4"/>
      <c r="B5" s="16"/>
      <c r="C5" s="16"/>
      <c r="D5" s="16"/>
      <c r="E5" s="16"/>
      <c r="F5" s="16"/>
      <c r="G5" s="16"/>
      <c r="H5" s="16"/>
    </row>
    <row r="6" spans="1:8" ht="15.75">
      <c r="A6" s="5"/>
      <c r="B6" s="9"/>
      <c r="C6" s="9"/>
      <c r="D6" s="9"/>
      <c r="E6" s="12" t="s">
        <v>853</v>
      </c>
      <c r="F6" s="9"/>
      <c r="G6" s="9"/>
      <c r="H6" s="9"/>
    </row>
    <row r="7" spans="1:8" ht="15.75">
      <c r="A7" s="5"/>
      <c r="B7" s="13"/>
      <c r="C7" s="13" t="s">
        <v>92</v>
      </c>
      <c r="D7" s="13" t="s">
        <v>93</v>
      </c>
      <c r="E7" s="13" t="s">
        <v>874</v>
      </c>
      <c r="F7" s="13" t="s">
        <v>95</v>
      </c>
      <c r="G7" s="13" t="s">
        <v>96</v>
      </c>
      <c r="H7" s="13" t="s">
        <v>96</v>
      </c>
    </row>
    <row r="8" spans="1:8" ht="15.75">
      <c r="A8" s="5"/>
      <c r="B8" s="13" t="s">
        <v>97</v>
      </c>
      <c r="C8" s="13" t="s">
        <v>98</v>
      </c>
      <c r="D8" s="13" t="s">
        <v>922</v>
      </c>
      <c r="E8" s="13" t="s">
        <v>99</v>
      </c>
      <c r="F8" s="13" t="s">
        <v>146</v>
      </c>
      <c r="G8" s="13" t="s">
        <v>100</v>
      </c>
      <c r="H8" s="13" t="s">
        <v>100</v>
      </c>
    </row>
    <row r="9" spans="1:8" ht="15.75">
      <c r="A9" s="17" t="s">
        <v>101</v>
      </c>
      <c r="B9" s="14" t="s">
        <v>919</v>
      </c>
      <c r="C9" s="19" t="s">
        <v>102</v>
      </c>
      <c r="D9" s="14" t="s">
        <v>899</v>
      </c>
      <c r="E9" s="19" t="s">
        <v>171</v>
      </c>
      <c r="F9" s="15" t="str">
        <f>CONCATENATE("Jan 1,",H1-1,"")</f>
        <v>Jan 1,2011</v>
      </c>
      <c r="G9" s="14">
        <f>H1-1</f>
        <v>2011</v>
      </c>
      <c r="H9" s="14">
        <f>H1</f>
        <v>2012</v>
      </c>
    </row>
    <row r="10" spans="1:8" ht="15.75">
      <c r="A10" s="3"/>
      <c r="B10" s="29"/>
      <c r="C10" s="24"/>
      <c r="D10" s="22"/>
      <c r="E10" s="23"/>
      <c r="F10" s="23"/>
      <c r="G10" s="23"/>
      <c r="H10" s="23"/>
    </row>
    <row r="11" spans="1:8" ht="15.75">
      <c r="A11" s="3" t="s">
        <v>445</v>
      </c>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869</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797</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05">
      <selection activeCell="B131" sqref="B131"/>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c r="C3" s="48"/>
      <c r="D3" s="48"/>
      <c r="E3" s="139"/>
    </row>
    <row r="4" spans="2:5" ht="15.75">
      <c r="B4" s="411" t="s">
        <v>110</v>
      </c>
      <c r="C4" s="257"/>
      <c r="D4" s="257"/>
      <c r="E4" s="257"/>
    </row>
    <row r="5" spans="2:5" ht="15.75">
      <c r="B5" s="175" t="s">
        <v>881</v>
      </c>
      <c r="C5" s="620" t="s">
        <v>903</v>
      </c>
      <c r="D5" s="621" t="s">
        <v>192</v>
      </c>
      <c r="E5" s="622" t="s">
        <v>193</v>
      </c>
    </row>
    <row r="6" spans="2:5" ht="15.75">
      <c r="B6" s="571" t="str">
        <f>inputPrYr!B17</f>
        <v>General</v>
      </c>
      <c r="C6" s="394">
        <f>E1-2</f>
        <v>2010</v>
      </c>
      <c r="D6" s="394">
        <f>E1-1</f>
        <v>2011</v>
      </c>
      <c r="E6" s="258">
        <f>E1</f>
        <v>2012</v>
      </c>
    </row>
    <row r="7" spans="2:5" ht="15.75">
      <c r="B7" s="259" t="s">
        <v>165</v>
      </c>
      <c r="C7" s="260">
        <v>22304</v>
      </c>
      <c r="D7" s="262">
        <f>C112</f>
        <v>18207</v>
      </c>
      <c r="E7" s="235">
        <f>D112</f>
        <v>11710</v>
      </c>
    </row>
    <row r="8" spans="2:5" ht="15.75">
      <c r="B8" s="263" t="s">
        <v>167</v>
      </c>
      <c r="C8" s="162"/>
      <c r="D8" s="162"/>
      <c r="E8" s="88"/>
    </row>
    <row r="9" spans="2:5" ht="15.75">
      <c r="B9" s="259" t="s">
        <v>882</v>
      </c>
      <c r="C9" s="264">
        <f>2585+15812</f>
        <v>18397</v>
      </c>
      <c r="D9" s="262">
        <f>inputPrYr!E17</f>
        <v>18811</v>
      </c>
      <c r="E9" s="266" t="s">
        <v>870</v>
      </c>
    </row>
    <row r="10" spans="2:5" ht="15.75">
      <c r="B10" s="259" t="s">
        <v>883</v>
      </c>
      <c r="C10" s="264">
        <v>672</v>
      </c>
      <c r="D10" s="264">
        <v>174</v>
      </c>
      <c r="E10" s="267">
        <v>215</v>
      </c>
    </row>
    <row r="11" spans="2:5" ht="15.75">
      <c r="B11" s="259" t="s">
        <v>884</v>
      </c>
      <c r="C11" s="264">
        <f>2109-39</f>
        <v>2070</v>
      </c>
      <c r="D11" s="264">
        <v>2886</v>
      </c>
      <c r="E11" s="235">
        <f>mvalloc!C7</f>
        <v>2826</v>
      </c>
    </row>
    <row r="12" spans="2:5" ht="15.75">
      <c r="B12" s="259" t="s">
        <v>885</v>
      </c>
      <c r="C12" s="264">
        <v>23</v>
      </c>
      <c r="D12" s="264">
        <v>63</v>
      </c>
      <c r="E12" s="235">
        <f>mvalloc!D7</f>
        <v>31</v>
      </c>
    </row>
    <row r="13" spans="2:5" ht="15.75">
      <c r="B13" s="259" t="s">
        <v>142</v>
      </c>
      <c r="C13" s="264">
        <v>5</v>
      </c>
      <c r="D13" s="264">
        <v>10</v>
      </c>
      <c r="E13" s="235">
        <f>mvalloc!E7</f>
        <v>15</v>
      </c>
    </row>
    <row r="14" spans="2:5" ht="15.75">
      <c r="B14" s="259" t="s">
        <v>143</v>
      </c>
      <c r="C14" s="264"/>
      <c r="D14" s="264"/>
      <c r="E14" s="235">
        <f>inputOth!E16</f>
        <v>0</v>
      </c>
    </row>
    <row r="15" spans="2:5" ht="15.75">
      <c r="B15" s="259" t="s">
        <v>208</v>
      </c>
      <c r="C15" s="264"/>
      <c r="D15" s="264"/>
      <c r="E15" s="235">
        <f>inputOth!E42</f>
        <v>0</v>
      </c>
    </row>
    <row r="16" spans="2:5" ht="15.75">
      <c r="B16" s="259" t="s">
        <v>209</v>
      </c>
      <c r="C16" s="264"/>
      <c r="D16" s="264"/>
      <c r="E16" s="235">
        <f>inputOth!E43</f>
        <v>0</v>
      </c>
    </row>
    <row r="17" spans="2:5" ht="15.75">
      <c r="B17" s="162" t="s">
        <v>210</v>
      </c>
      <c r="C17" s="264"/>
      <c r="D17" s="264"/>
      <c r="E17" s="235">
        <f>mvalloc!F7</f>
        <v>0</v>
      </c>
    </row>
    <row r="18" spans="2:5" ht="15.75">
      <c r="B18" s="260" t="s">
        <v>888</v>
      </c>
      <c r="C18" s="264"/>
      <c r="D18" s="264"/>
      <c r="E18" s="267"/>
    </row>
    <row r="19" spans="2:5" ht="15.75">
      <c r="B19" s="260" t="s">
        <v>886</v>
      </c>
      <c r="C19" s="264"/>
      <c r="D19" s="264"/>
      <c r="E19" s="267"/>
    </row>
    <row r="20" spans="2:5" ht="15.75">
      <c r="B20" s="573" t="s">
        <v>340</v>
      </c>
      <c r="C20" s="264"/>
      <c r="D20" s="264"/>
      <c r="E20" s="267"/>
    </row>
    <row r="21" spans="2:5" ht="15.75">
      <c r="B21" s="572" t="s">
        <v>341</v>
      </c>
      <c r="C21" s="264"/>
      <c r="D21" s="264"/>
      <c r="E21" s="267"/>
    </row>
    <row r="22" spans="2:5" ht="15.75">
      <c r="B22" s="572" t="s">
        <v>342</v>
      </c>
      <c r="C22" s="264">
        <v>8122</v>
      </c>
      <c r="D22" s="264">
        <v>8200</v>
      </c>
      <c r="E22" s="267">
        <v>8200</v>
      </c>
    </row>
    <row r="23" spans="2:5" ht="15.75">
      <c r="B23" s="572" t="s">
        <v>343</v>
      </c>
      <c r="C23" s="264"/>
      <c r="D23" s="264"/>
      <c r="E23" s="267"/>
    </row>
    <row r="24" spans="2:5" ht="15.75">
      <c r="B24" s="260" t="s">
        <v>405</v>
      </c>
      <c r="C24" s="264">
        <v>1620</v>
      </c>
      <c r="D24" s="264">
        <v>1620</v>
      </c>
      <c r="E24" s="267">
        <v>1620</v>
      </c>
    </row>
    <row r="25" spans="2:5" ht="15.75">
      <c r="B25" s="260"/>
      <c r="C25" s="264"/>
      <c r="D25" s="264"/>
      <c r="E25" s="267"/>
    </row>
    <row r="26" spans="2:5" ht="15.75">
      <c r="B26" s="260" t="s">
        <v>406</v>
      </c>
      <c r="C26" s="264">
        <v>10997</v>
      </c>
      <c r="D26" s="264">
        <v>11000</v>
      </c>
      <c r="E26" s="267">
        <v>11000</v>
      </c>
    </row>
    <row r="27" spans="2:5" ht="15.75">
      <c r="B27" s="260"/>
      <c r="C27" s="264"/>
      <c r="D27" s="264"/>
      <c r="E27" s="267"/>
    </row>
    <row r="28" spans="2:5" ht="15.75">
      <c r="B28" s="260" t="s">
        <v>416</v>
      </c>
      <c r="C28" s="264">
        <v>250</v>
      </c>
      <c r="D28" s="264"/>
      <c r="E28" s="267"/>
    </row>
    <row r="29" spans="2:5" ht="15.75">
      <c r="B29" s="260" t="s">
        <v>418</v>
      </c>
      <c r="C29" s="264">
        <v>125</v>
      </c>
      <c r="D29" s="264">
        <v>98</v>
      </c>
      <c r="E29" s="267"/>
    </row>
    <row r="30" spans="2:5" ht="15.75">
      <c r="B30" s="260" t="s">
        <v>417</v>
      </c>
      <c r="C30" s="264">
        <v>78</v>
      </c>
      <c r="D30" s="264"/>
      <c r="E30" s="267"/>
    </row>
    <row r="31" spans="2:5" ht="15.75">
      <c r="B31" s="260" t="s">
        <v>419</v>
      </c>
      <c r="C31" s="264"/>
      <c r="D31" s="264">
        <v>455</v>
      </c>
      <c r="E31" s="267">
        <v>500</v>
      </c>
    </row>
    <row r="32" spans="2:5" ht="15.75">
      <c r="B32" s="260"/>
      <c r="C32" s="264"/>
      <c r="D32" s="264"/>
      <c r="E32" s="267"/>
    </row>
    <row r="33" spans="2:5" ht="15.75">
      <c r="B33" s="260"/>
      <c r="C33" s="264"/>
      <c r="D33" s="264"/>
      <c r="E33" s="267"/>
    </row>
    <row r="34" spans="2:5" ht="15.75">
      <c r="B34" s="260"/>
      <c r="C34" s="264"/>
      <c r="D34" s="264"/>
      <c r="E34" s="267"/>
    </row>
    <row r="35" spans="2:5" ht="15.75">
      <c r="B35" s="260"/>
      <c r="C35" s="264"/>
      <c r="D35" s="264"/>
      <c r="E35" s="267"/>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887</v>
      </c>
      <c r="C52" s="264"/>
      <c r="D52" s="264"/>
      <c r="E52" s="267"/>
    </row>
    <row r="53" spans="2:5" ht="15.75">
      <c r="B53" s="268" t="s">
        <v>889</v>
      </c>
      <c r="C53" s="264"/>
      <c r="D53" s="264"/>
      <c r="E53" s="267"/>
    </row>
    <row r="54" spans="2:5" ht="15.75">
      <c r="B54" s="162" t="s">
        <v>789</v>
      </c>
      <c r="C54" s="264"/>
      <c r="D54" s="264"/>
      <c r="E54" s="267"/>
    </row>
    <row r="55" spans="2:5" ht="15.75">
      <c r="B55" s="259" t="s">
        <v>360</v>
      </c>
      <c r="C55" s="269">
        <f>IF(C56*0.1&lt;C54,"Exceed 10% Rule","")</f>
      </c>
      <c r="D55" s="269">
        <f>IF(D56*0.1&lt;D54,"Exceed 10% Rule","")</f>
      </c>
      <c r="E55" s="309">
        <f>IF(E56*0.1+E118&lt;E54,"Exceed 10% Rule","")</f>
      </c>
    </row>
    <row r="56" spans="2:5" ht="15.75">
      <c r="B56" s="271" t="s">
        <v>890</v>
      </c>
      <c r="C56" s="273">
        <f>SUM(C9:C54)</f>
        <v>42359</v>
      </c>
      <c r="D56" s="273">
        <f>SUM(D9:D54)</f>
        <v>43317</v>
      </c>
      <c r="E56" s="274">
        <f>SUM(E10:E54)</f>
        <v>24407</v>
      </c>
    </row>
    <row r="57" spans="2:5" ht="15.75">
      <c r="B57" s="271" t="s">
        <v>891</v>
      </c>
      <c r="C57" s="273">
        <f>C7+C56</f>
        <v>64663</v>
      </c>
      <c r="D57" s="273">
        <f>D7+D56</f>
        <v>61524</v>
      </c>
      <c r="E57" s="274">
        <f>E7+E56</f>
        <v>36117</v>
      </c>
    </row>
    <row r="58" spans="2:5" ht="15.75">
      <c r="B58" s="48"/>
      <c r="C58" s="48"/>
      <c r="D58" s="48"/>
      <c r="E58" s="48"/>
    </row>
    <row r="59" spans="2:5" ht="15.75">
      <c r="B59" s="688" t="s">
        <v>175</v>
      </c>
      <c r="C59" s="688"/>
      <c r="D59" s="688"/>
      <c r="E59" s="688"/>
    </row>
    <row r="60" spans="2:5" ht="15.75">
      <c r="B60" s="176"/>
      <c r="C60" s="176"/>
      <c r="D60" s="176"/>
      <c r="E60" s="176"/>
    </row>
    <row r="61" spans="2:5" ht="15.75">
      <c r="B61" s="201" t="str">
        <f>inputPrYr!D2</f>
        <v>Elbing City</v>
      </c>
      <c r="C61" s="48"/>
      <c r="D61" s="48"/>
      <c r="E61" s="172"/>
    </row>
    <row r="62" spans="2:5" ht="15.75">
      <c r="B62" s="48"/>
      <c r="C62" s="48"/>
      <c r="D62" s="48"/>
      <c r="E62" s="139"/>
    </row>
    <row r="63" spans="2:5" ht="15.75">
      <c r="B63" s="275" t="s">
        <v>109</v>
      </c>
      <c r="C63" s="228"/>
      <c r="D63" s="228"/>
      <c r="E63" s="228"/>
    </row>
    <row r="64" spans="2:5" ht="15.75">
      <c r="B64" s="48" t="s">
        <v>881</v>
      </c>
      <c r="C64" s="620" t="s">
        <v>903</v>
      </c>
      <c r="D64" s="621" t="s">
        <v>192</v>
      </c>
      <c r="E64" s="622" t="s">
        <v>193</v>
      </c>
    </row>
    <row r="65" spans="2:5" ht="15.75">
      <c r="B65" s="78" t="str">
        <f>inputPrYr!B17</f>
        <v>General</v>
      </c>
      <c r="C65" s="394">
        <f>C6</f>
        <v>2010</v>
      </c>
      <c r="D65" s="394">
        <f>D6</f>
        <v>2011</v>
      </c>
      <c r="E65" s="258">
        <f>E6</f>
        <v>2012</v>
      </c>
    </row>
    <row r="66" spans="2:5" ht="15.75">
      <c r="B66" s="276" t="s">
        <v>891</v>
      </c>
      <c r="C66" s="262">
        <f>C57</f>
        <v>64663</v>
      </c>
      <c r="D66" s="262">
        <f>D57</f>
        <v>61524</v>
      </c>
      <c r="E66" s="235">
        <f>E57</f>
        <v>36117</v>
      </c>
    </row>
    <row r="67" spans="2:5" ht="15.75">
      <c r="B67" s="263" t="s">
        <v>893</v>
      </c>
      <c r="C67" s="162"/>
      <c r="D67" s="162"/>
      <c r="E67" s="88"/>
    </row>
    <row r="68" spans="2:6" ht="15.75">
      <c r="B68" s="259">
        <f>GenDetail!A7</f>
        <v>0</v>
      </c>
      <c r="C68" s="277">
        <f>GenDetail!B15</f>
        <v>0</v>
      </c>
      <c r="D68" s="277">
        <f>GenDetail!C15</f>
        <v>0</v>
      </c>
      <c r="E68" s="83">
        <f>GenDetail!D15</f>
        <v>0</v>
      </c>
      <c r="F68" s="278"/>
    </row>
    <row r="69" spans="2:6" ht="15.75">
      <c r="B69" s="259">
        <f>GenDetail!A16</f>
        <v>0</v>
      </c>
      <c r="C69" s="277">
        <f>GenDetail!B22</f>
        <v>0</v>
      </c>
      <c r="D69" s="277">
        <f>GenDetail!C22</f>
        <v>0</v>
      </c>
      <c r="E69" s="83">
        <f>GenDetail!D22</f>
        <v>0</v>
      </c>
      <c r="F69" s="278"/>
    </row>
    <row r="70" spans="2:5" ht="15.75">
      <c r="B70" s="259">
        <f>GenDetail!A23</f>
        <v>0</v>
      </c>
      <c r="C70" s="277">
        <f>GenDetail!B29</f>
        <v>0</v>
      </c>
      <c r="D70" s="277">
        <f>GenDetail!C29</f>
        <v>0</v>
      </c>
      <c r="E70" s="83">
        <f>GenDetail!D29</f>
        <v>0</v>
      </c>
    </row>
    <row r="71" spans="2:5" ht="15.75">
      <c r="B71" s="259">
        <f>GenDetail!A30</f>
        <v>0</v>
      </c>
      <c r="C71" s="277">
        <f>GenDetail!B35</f>
        <v>0</v>
      </c>
      <c r="D71" s="277">
        <f>GenDetail!C35</f>
        <v>0</v>
      </c>
      <c r="E71" s="83">
        <f>GenDetail!D35</f>
        <v>0</v>
      </c>
    </row>
    <row r="72" spans="2:5" ht="15.75">
      <c r="B72" s="259">
        <f>GenDetail!A36</f>
        <v>0</v>
      </c>
      <c r="C72" s="277">
        <f>GenDetail!B42</f>
        <v>0</v>
      </c>
      <c r="D72" s="277">
        <f>GenDetail!C42</f>
        <v>0</v>
      </c>
      <c r="E72" s="83">
        <f>GenDetail!D42</f>
        <v>0</v>
      </c>
    </row>
    <row r="73" spans="2:5" ht="15.75">
      <c r="B73" s="259">
        <f>GenDetail!A43</f>
        <v>0</v>
      </c>
      <c r="C73" s="277">
        <f>GenDetail!B49</f>
        <v>0</v>
      </c>
      <c r="D73" s="277">
        <f>GenDetail!C49</f>
        <v>0</v>
      </c>
      <c r="E73" s="83">
        <f>GenDetail!D49</f>
        <v>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48</v>
      </c>
      <c r="C84" s="395">
        <f>SUM(C68:C83)</f>
        <v>0</v>
      </c>
      <c r="D84" s="395">
        <f>SUM(D68:D83)</f>
        <v>0</v>
      </c>
      <c r="E84" s="296">
        <f>SUM(E68:E83)</f>
        <v>0</v>
      </c>
    </row>
    <row r="85" spans="2:5" ht="15.75">
      <c r="B85" s="268" t="s">
        <v>407</v>
      </c>
      <c r="C85" s="264">
        <v>11134</v>
      </c>
      <c r="D85" s="264">
        <v>11500</v>
      </c>
      <c r="E85" s="267">
        <v>12000</v>
      </c>
    </row>
    <row r="86" spans="2:5" ht="15.75">
      <c r="B86" s="268" t="s">
        <v>408</v>
      </c>
      <c r="C86" s="264">
        <v>224</v>
      </c>
      <c r="D86" s="264">
        <v>12000</v>
      </c>
      <c r="E86" s="267">
        <v>10000</v>
      </c>
    </row>
    <row r="87" spans="2:5" ht="15.75">
      <c r="B87" s="268" t="s">
        <v>409</v>
      </c>
      <c r="C87" s="264">
        <v>2636</v>
      </c>
      <c r="D87" s="264">
        <v>2700</v>
      </c>
      <c r="E87" s="267">
        <v>2700</v>
      </c>
    </row>
    <row r="88" spans="2:5" ht="15.75">
      <c r="B88" s="268" t="s">
        <v>410</v>
      </c>
      <c r="C88" s="264">
        <v>2046</v>
      </c>
      <c r="D88" s="264">
        <v>2500</v>
      </c>
      <c r="E88" s="267">
        <v>2500</v>
      </c>
    </row>
    <row r="89" spans="2:5" ht="15.75">
      <c r="B89" s="268" t="s">
        <v>411</v>
      </c>
      <c r="C89" s="264">
        <v>2448</v>
      </c>
      <c r="D89" s="264">
        <v>2429</v>
      </c>
      <c r="E89" s="267">
        <v>2500</v>
      </c>
    </row>
    <row r="90" spans="2:5" ht="15.75">
      <c r="B90" s="268" t="s">
        <v>412</v>
      </c>
      <c r="C90" s="264">
        <v>1653</v>
      </c>
      <c r="D90" s="264">
        <v>1800</v>
      </c>
      <c r="E90" s="267">
        <v>2000</v>
      </c>
    </row>
    <row r="91" spans="2:5" ht="15.75">
      <c r="B91" s="280" t="s">
        <v>413</v>
      </c>
      <c r="C91" s="264">
        <v>266</v>
      </c>
      <c r="D91" s="264">
        <v>300</v>
      </c>
      <c r="E91" s="267">
        <v>300</v>
      </c>
    </row>
    <row r="92" spans="2:5" ht="15.75">
      <c r="B92" s="280" t="s">
        <v>414</v>
      </c>
      <c r="C92" s="264">
        <v>1763</v>
      </c>
      <c r="D92" s="264">
        <v>1880</v>
      </c>
      <c r="E92" s="267">
        <v>1900</v>
      </c>
    </row>
    <row r="93" spans="2:5" ht="15.75">
      <c r="B93" s="280" t="s">
        <v>415</v>
      </c>
      <c r="C93" s="264">
        <v>9786</v>
      </c>
      <c r="D93" s="264">
        <v>10100</v>
      </c>
      <c r="E93" s="267">
        <v>10200</v>
      </c>
    </row>
    <row r="94" spans="2:5" ht="15.75">
      <c r="B94" s="280" t="s">
        <v>422</v>
      </c>
      <c r="C94" s="264"/>
      <c r="D94" s="264">
        <v>4605</v>
      </c>
      <c r="E94" s="267">
        <v>10500</v>
      </c>
    </row>
    <row r="95" spans="2:5" ht="15.75">
      <c r="B95" s="280" t="s">
        <v>420</v>
      </c>
      <c r="C95" s="264">
        <v>14500</v>
      </c>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788</v>
      </c>
      <c r="C108" s="264"/>
      <c r="D108" s="264"/>
      <c r="E108" s="282">
        <f>nhood!E6</f>
      </c>
    </row>
    <row r="109" spans="2:5" ht="15.75">
      <c r="B109" s="281" t="s">
        <v>789</v>
      </c>
      <c r="C109" s="264"/>
      <c r="D109" s="264"/>
      <c r="E109" s="267"/>
    </row>
    <row r="110" spans="2:10" ht="15.75">
      <c r="B110" s="281" t="s">
        <v>361</v>
      </c>
      <c r="C110" s="269">
        <f>IF(C111*0.1&lt;C109,"Exceed 10% Rule","")</f>
      </c>
      <c r="D110" s="269">
        <f>IF(D111*0.1&lt;D109,"Exceed 10% Rule","")</f>
      </c>
      <c r="E110" s="309">
        <f>IF(E111*0.1&lt;E109,"Exceed 10% Rule","")</f>
      </c>
      <c r="G110" s="658" t="str">
        <f>CONCATENATE("Projected Carryover Into ",E1+1,"")</f>
        <v>Projected Carryover Into 2013</v>
      </c>
      <c r="H110" s="659"/>
      <c r="I110" s="659"/>
      <c r="J110" s="660"/>
    </row>
    <row r="111" spans="2:10" ht="15.75">
      <c r="B111" s="271" t="s">
        <v>897</v>
      </c>
      <c r="C111" s="273">
        <f>SUM(C84:C109)</f>
        <v>46456</v>
      </c>
      <c r="D111" s="273">
        <f>SUM(D84:D109)</f>
        <v>49814</v>
      </c>
      <c r="E111" s="274">
        <f>SUM(E84:E109)</f>
        <v>54600</v>
      </c>
      <c r="G111" s="580"/>
      <c r="H111" s="574"/>
      <c r="I111" s="574"/>
      <c r="J111" s="581"/>
    </row>
    <row r="112" spans="2:10" ht="15.75">
      <c r="B112" s="153" t="s">
        <v>166</v>
      </c>
      <c r="C112" s="277">
        <f>C57-C111</f>
        <v>18207</v>
      </c>
      <c r="D112" s="277">
        <f>D57-D111</f>
        <v>11710</v>
      </c>
      <c r="E112" s="266" t="s">
        <v>870</v>
      </c>
      <c r="G112" s="582">
        <f>D112</f>
        <v>11710</v>
      </c>
      <c r="H112" s="583" t="str">
        <f>CONCATENATE("",E1-1," Ending Cash Balance (est.)")</f>
        <v>2011 Ending Cash Balance (est.)</v>
      </c>
      <c r="I112" s="584"/>
      <c r="J112" s="581"/>
    </row>
    <row r="113" spans="2:10" ht="15.75">
      <c r="B113" s="139" t="str">
        <f>CONCATENATE("",E1-2,"/",E1-1," Budget Authority Amount:")</f>
        <v>2010/2011 Budget Authority Amount:</v>
      </c>
      <c r="C113" s="248">
        <f>inputOth!B61</f>
        <v>54913</v>
      </c>
      <c r="D113" s="248">
        <f>inputPrYr!D17</f>
        <v>54200</v>
      </c>
      <c r="E113" s="266" t="s">
        <v>870</v>
      </c>
      <c r="F113" s="283"/>
      <c r="G113" s="582">
        <f>E56</f>
        <v>24407</v>
      </c>
      <c r="H113" s="585" t="str">
        <f>CONCATENATE("",E1," Non-AV Receipts (est.)")</f>
        <v>2012 Non-AV Receipts (est.)</v>
      </c>
      <c r="I113" s="584"/>
      <c r="J113" s="581"/>
    </row>
    <row r="114" spans="2:10" ht="15.75">
      <c r="B114" s="139"/>
      <c r="C114" s="694" t="s">
        <v>46</v>
      </c>
      <c r="D114" s="695"/>
      <c r="E114" s="267"/>
      <c r="F114" s="465">
        <f>IF(E111/0.95-E111&lt;E114,"Exceeds 5%","")</f>
      </c>
      <c r="G114" s="586">
        <f>E118</f>
        <v>18853</v>
      </c>
      <c r="H114" s="585" t="str">
        <f>CONCATENATE("",E1," Ad Valorem Tax (est.)")</f>
        <v>2012 Ad Valorem Tax (est.)</v>
      </c>
      <c r="I114" s="584"/>
      <c r="J114" s="581"/>
    </row>
    <row r="115" spans="2:10" ht="15.75">
      <c r="B115" s="561" t="str">
        <f>CONCATENATE(C132,"     ",D132)</f>
        <v>     </v>
      </c>
      <c r="C115" s="696" t="s">
        <v>47</v>
      </c>
      <c r="D115" s="697"/>
      <c r="E115" s="235">
        <f>E111+E114</f>
        <v>54600</v>
      </c>
      <c r="G115" s="582">
        <f>SUM(G112:G114)</f>
        <v>54970</v>
      </c>
      <c r="H115" s="585" t="str">
        <f>CONCATENATE("Total ",E1," Resources Available")</f>
        <v>Total 2012 Resources Available</v>
      </c>
      <c r="I115" s="584"/>
      <c r="J115" s="581"/>
    </row>
    <row r="116" spans="2:10" ht="15.75">
      <c r="B116" s="561" t="str">
        <f>CONCATENATE(C133,"     ",D133)</f>
        <v>     </v>
      </c>
      <c r="C116" s="284"/>
      <c r="D116" s="172" t="s">
        <v>898</v>
      </c>
      <c r="E116" s="83">
        <f>IF(E115-E57&gt;0,E115-E57,0)</f>
        <v>18483</v>
      </c>
      <c r="G116" s="587"/>
      <c r="H116" s="585"/>
      <c r="I116" s="585"/>
      <c r="J116" s="581"/>
    </row>
    <row r="117" spans="2:10" ht="15.75">
      <c r="B117" s="172"/>
      <c r="C117" s="405" t="s">
        <v>45</v>
      </c>
      <c r="D117" s="406">
        <f>inputOth!$E$48</f>
        <v>0.02</v>
      </c>
      <c r="E117" s="235">
        <f>ROUND(IF(D117&gt;0,(E116*D117),0),0)</f>
        <v>370</v>
      </c>
      <c r="G117" s="586">
        <f>C111*0.05+C111</f>
        <v>48778.8</v>
      </c>
      <c r="H117" s="585" t="str">
        <f>CONCATENATE("Less ",E1-2," Expenditures + 5%")</f>
        <v>Less 2010 Expenditures + 5%</v>
      </c>
      <c r="I117" s="584"/>
      <c r="J117" s="581"/>
    </row>
    <row r="118" spans="2:10" ht="15.75">
      <c r="B118" s="48"/>
      <c r="C118" s="698" t="str">
        <f>CONCATENATE("Amount of  ",$E$1-1," Ad Valorem Tax")</f>
        <v>Amount of  2011 Ad Valorem Tax</v>
      </c>
      <c r="D118" s="699"/>
      <c r="E118" s="296">
        <f>E116+E117</f>
        <v>18853</v>
      </c>
      <c r="G118" s="592">
        <f>G115-G117</f>
        <v>6191.199999999997</v>
      </c>
      <c r="H118" s="588" t="str">
        <f>CONCATENATE("Projected ",E1+1," Carryover (est.)")</f>
        <v>Projected 2013 Carryover (est.)</v>
      </c>
      <c r="I118" s="589"/>
      <c r="J118" s="590"/>
    </row>
    <row r="119" spans="2:10" ht="15.75">
      <c r="B119" s="48"/>
      <c r="C119" s="48"/>
      <c r="D119" s="48"/>
      <c r="E119" s="48"/>
      <c r="G119" s="407"/>
      <c r="H119" s="407"/>
      <c r="I119" s="407"/>
      <c r="J119" s="407"/>
    </row>
    <row r="120" spans="2:10" ht="15.75">
      <c r="B120" s="688" t="s">
        <v>185</v>
      </c>
      <c r="C120" s="688"/>
      <c r="D120" s="688"/>
      <c r="E120" s="688"/>
      <c r="G120" s="570">
        <f>IF(inputOth!E7=0,"",ROUND(general!E118/inputOth!E7*1000,3))</f>
        <v>15.679</v>
      </c>
      <c r="H120" s="596" t="str">
        <f>CONCATENATE("Projected ",E1-1," Mill Rate (est.)")</f>
        <v>Projected 2011 Mill Rate (est.)</v>
      </c>
      <c r="I120" s="595"/>
      <c r="J120" s="594"/>
    </row>
    <row r="122" spans="2:10" ht="15.75">
      <c r="B122" s="107"/>
      <c r="G122" s="658" t="str">
        <f>CONCATENATE("Desired Carryover Into ",E1+1,"")</f>
        <v>Desired Carryover Into 2013</v>
      </c>
      <c r="H122" s="656"/>
      <c r="I122" s="656"/>
      <c r="J122" s="660"/>
    </row>
    <row r="123" spans="7:10" ht="15.75">
      <c r="G123" s="580"/>
      <c r="H123" s="574"/>
      <c r="I123" s="574"/>
      <c r="J123" s="581"/>
    </row>
    <row r="124" spans="7:10" ht="15.75">
      <c r="G124" s="591" t="s">
        <v>344</v>
      </c>
      <c r="H124" s="585"/>
      <c r="I124" s="585"/>
      <c r="J124" s="579">
        <v>0</v>
      </c>
    </row>
    <row r="125" spans="2:10" ht="15.75">
      <c r="B125" s="33"/>
      <c r="C125" s="33"/>
      <c r="G125" s="598" t="s">
        <v>345</v>
      </c>
      <c r="H125" s="442"/>
      <c r="I125" s="575"/>
      <c r="J125" s="597">
        <f>IF(J124=0,"",ROUND((J124+E118-G118)/inputOth!E7*1000,3)-general!G120)</f>
      </c>
    </row>
    <row r="126" spans="7:10" ht="15.75">
      <c r="G126" s="578" t="str">
        <f>CONCATENATE("",E1," Total Expenditures Must Be:")</f>
        <v>2012 Total Expenditures Must Be:</v>
      </c>
      <c r="H126" s="577"/>
      <c r="I126" s="576"/>
      <c r="J126" s="593">
        <v>0</v>
      </c>
    </row>
    <row r="132" spans="3:4" ht="15.75" hidden="1">
      <c r="C132" s="560">
        <f>IF(C111&gt;C113,"See Tab A","")</f>
      </c>
      <c r="D132" s="560">
        <f>IF(D111&gt;D113,"See Tab C","")</f>
      </c>
    </row>
    <row r="133" spans="3:4" ht="15.75" hidden="1">
      <c r="C133" s="560">
        <f>IF(C112&lt;0,"See Tab B","")</f>
      </c>
      <c r="D133" s="560">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8" operator="greaterThan" stopIfTrue="1">
      <formula>$E$111*0.1</formula>
    </cfRule>
  </conditionalFormatting>
  <conditionalFormatting sqref="E114">
    <cfRule type="cellIs" priority="3" dxfId="8"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zoomScalePageLayoutView="0" workbookViewId="0" topLeftCell="A1">
      <selection activeCell="B72" sqref="B72"/>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Elbing City</v>
      </c>
      <c r="B1" s="48"/>
      <c r="C1" s="175"/>
      <c r="D1" s="48">
        <f>inputPrYr!C5</f>
        <v>2012</v>
      </c>
    </row>
    <row r="2" spans="1:4" ht="15.75">
      <c r="A2" s="48"/>
      <c r="B2" s="48"/>
      <c r="C2" s="48"/>
      <c r="D2" s="175"/>
    </row>
    <row r="3" spans="1:4" ht="15.75">
      <c r="A3" s="256"/>
      <c r="B3" s="285"/>
      <c r="C3" s="285"/>
      <c r="D3" s="285"/>
    </row>
    <row r="4" spans="1:4" ht="15.75">
      <c r="A4" s="233" t="s">
        <v>881</v>
      </c>
      <c r="B4" s="623" t="s">
        <v>903</v>
      </c>
      <c r="C4" s="622" t="s">
        <v>192</v>
      </c>
      <c r="D4" s="622" t="s">
        <v>193</v>
      </c>
    </row>
    <row r="5" spans="1:4" ht="15.75">
      <c r="A5" s="624" t="s">
        <v>652</v>
      </c>
      <c r="B5" s="258">
        <f>D1-2</f>
        <v>2010</v>
      </c>
      <c r="C5" s="258">
        <f>D1-1</f>
        <v>2011</v>
      </c>
      <c r="D5" s="258">
        <f>D1</f>
        <v>2012</v>
      </c>
    </row>
    <row r="6" spans="1:4" ht="15.75">
      <c r="A6" s="233" t="s">
        <v>893</v>
      </c>
      <c r="B6" s="88"/>
      <c r="C6" s="88"/>
      <c r="D6" s="88"/>
    </row>
    <row r="7" spans="1:4" ht="15.75">
      <c r="A7" s="287"/>
      <c r="B7" s="88"/>
      <c r="C7" s="88"/>
      <c r="D7" s="88"/>
    </row>
    <row r="8" spans="1:4" ht="15.75">
      <c r="A8" s="288" t="s">
        <v>901</v>
      </c>
      <c r="B8" s="267"/>
      <c r="C8" s="267"/>
      <c r="D8" s="267"/>
    </row>
    <row r="9" spans="1:4" ht="15.75">
      <c r="A9" s="288" t="s">
        <v>894</v>
      </c>
      <c r="B9" s="267"/>
      <c r="C9" s="267"/>
      <c r="D9" s="267"/>
    </row>
    <row r="10" spans="1:4" ht="15.75">
      <c r="A10" s="288" t="s">
        <v>895</v>
      </c>
      <c r="B10" s="267"/>
      <c r="C10" s="267"/>
      <c r="D10" s="267"/>
    </row>
    <row r="11" spans="1:4" ht="15.75">
      <c r="A11" s="288" t="s">
        <v>896</v>
      </c>
      <c r="B11" s="267"/>
      <c r="C11" s="267"/>
      <c r="D11" s="267"/>
    </row>
    <row r="12" spans="1:4" ht="15.75">
      <c r="A12" s="288"/>
      <c r="B12" s="267"/>
      <c r="C12" s="267"/>
      <c r="D12" s="267"/>
    </row>
    <row r="13" spans="1:4" ht="15.75">
      <c r="A13" s="70"/>
      <c r="B13" s="267"/>
      <c r="C13" s="267"/>
      <c r="D13" s="267"/>
    </row>
    <row r="14" spans="1:4" ht="15.75">
      <c r="A14" s="70"/>
      <c r="B14" s="267"/>
      <c r="C14" s="267"/>
      <c r="D14" s="267"/>
    </row>
    <row r="15" spans="1:4" ht="15.75">
      <c r="A15" s="233" t="s">
        <v>853</v>
      </c>
      <c r="B15" s="272">
        <f>SUM(B8:B14)</f>
        <v>0</v>
      </c>
      <c r="C15" s="272">
        <f>SUM(C8:C14)</f>
        <v>0</v>
      </c>
      <c r="D15" s="272">
        <f>SUM(D8:D14)</f>
        <v>0</v>
      </c>
    </row>
    <row r="16" spans="1:4" ht="15.75">
      <c r="A16" s="289"/>
      <c r="B16" s="201"/>
      <c r="C16" s="201"/>
      <c r="D16" s="201"/>
    </row>
    <row r="17" spans="1:4" ht="15.75">
      <c r="A17" s="288" t="s">
        <v>901</v>
      </c>
      <c r="B17" s="267"/>
      <c r="C17" s="267"/>
      <c r="D17" s="267"/>
    </row>
    <row r="18" spans="1:4" ht="15.75">
      <c r="A18" s="288" t="s">
        <v>894</v>
      </c>
      <c r="B18" s="267"/>
      <c r="C18" s="267"/>
      <c r="D18" s="267"/>
    </row>
    <row r="19" spans="1:4" ht="15.75">
      <c r="A19" s="288" t="s">
        <v>895</v>
      </c>
      <c r="B19" s="267"/>
      <c r="C19" s="267"/>
      <c r="D19" s="267"/>
    </row>
    <row r="20" spans="1:4" ht="15.75">
      <c r="A20" s="288" t="s">
        <v>896</v>
      </c>
      <c r="B20" s="267"/>
      <c r="C20" s="267"/>
      <c r="D20" s="267"/>
    </row>
    <row r="21" spans="1:4" ht="15.75">
      <c r="A21" s="288"/>
      <c r="B21" s="267"/>
      <c r="C21" s="267"/>
      <c r="D21" s="267"/>
    </row>
    <row r="22" spans="1:4" ht="15.75">
      <c r="A22" s="233" t="s">
        <v>853</v>
      </c>
      <c r="B22" s="272">
        <f>SUM(B17:B21)</f>
        <v>0</v>
      </c>
      <c r="C22" s="272">
        <f>SUM(C17:C21)</f>
        <v>0</v>
      </c>
      <c r="D22" s="272">
        <f>SUM(D17:D21)</f>
        <v>0</v>
      </c>
    </row>
    <row r="23" spans="1:4" ht="15.75">
      <c r="A23" s="289"/>
      <c r="B23" s="201"/>
      <c r="C23" s="201"/>
      <c r="D23" s="201"/>
    </row>
    <row r="24" spans="1:4" ht="15.75">
      <c r="A24" s="288" t="s">
        <v>901</v>
      </c>
      <c r="B24" s="267"/>
      <c r="C24" s="267"/>
      <c r="D24" s="267"/>
    </row>
    <row r="25" spans="1:4" ht="15.75">
      <c r="A25" s="288" t="s">
        <v>894</v>
      </c>
      <c r="B25" s="267"/>
      <c r="C25" s="267"/>
      <c r="D25" s="267"/>
    </row>
    <row r="26" spans="1:4" ht="15.75">
      <c r="A26" s="288" t="s">
        <v>895</v>
      </c>
      <c r="B26" s="267"/>
      <c r="C26" s="267"/>
      <c r="D26" s="267"/>
    </row>
    <row r="27" spans="1:4" ht="15.75">
      <c r="A27" s="288" t="s">
        <v>896</v>
      </c>
      <c r="B27" s="267"/>
      <c r="C27" s="267"/>
      <c r="D27" s="267"/>
    </row>
    <row r="28" spans="1:4" ht="15.75">
      <c r="A28" s="288"/>
      <c r="B28" s="267"/>
      <c r="C28" s="267"/>
      <c r="D28" s="267"/>
    </row>
    <row r="29" spans="1:4" ht="15.75">
      <c r="A29" s="233" t="s">
        <v>853</v>
      </c>
      <c r="B29" s="272">
        <f>SUM(B24:B28)</f>
        <v>0</v>
      </c>
      <c r="C29" s="272">
        <f>SUM(C24:C28)</f>
        <v>0</v>
      </c>
      <c r="D29" s="272">
        <f>SUM(D24:D28)</f>
        <v>0</v>
      </c>
    </row>
    <row r="30" spans="1:4" ht="15.75">
      <c r="A30" s="289"/>
      <c r="B30" s="201"/>
      <c r="C30" s="201"/>
      <c r="D30" s="201"/>
    </row>
    <row r="31" spans="1:4" ht="15.75">
      <c r="A31" s="288" t="s">
        <v>901</v>
      </c>
      <c r="B31" s="267"/>
      <c r="C31" s="267"/>
      <c r="D31" s="267"/>
    </row>
    <row r="32" spans="1:4" ht="15.75">
      <c r="A32" s="288" t="s">
        <v>894</v>
      </c>
      <c r="B32" s="267"/>
      <c r="C32" s="267"/>
      <c r="D32" s="267"/>
    </row>
    <row r="33" spans="1:4" ht="15.75">
      <c r="A33" s="288" t="s">
        <v>895</v>
      </c>
      <c r="B33" s="267"/>
      <c r="C33" s="267"/>
      <c r="D33" s="267"/>
    </row>
    <row r="34" spans="1:4" ht="15.75">
      <c r="A34" s="288" t="s">
        <v>896</v>
      </c>
      <c r="B34" s="267"/>
      <c r="C34" s="267"/>
      <c r="D34" s="267"/>
    </row>
    <row r="35" spans="1:4" ht="15.75">
      <c r="A35" s="233" t="s">
        <v>853</v>
      </c>
      <c r="B35" s="272">
        <f>SUM(B31:B34)</f>
        <v>0</v>
      </c>
      <c r="C35" s="272">
        <f>SUM(C31:C34)</f>
        <v>0</v>
      </c>
      <c r="D35" s="272">
        <f>SUM(D31:D34)</f>
        <v>0</v>
      </c>
    </row>
    <row r="36" spans="1:4" ht="15.75">
      <c r="A36" s="289"/>
      <c r="B36" s="201"/>
      <c r="C36" s="201"/>
      <c r="D36" s="201"/>
    </row>
    <row r="37" spans="1:4" ht="15.75">
      <c r="A37" s="288" t="s">
        <v>901</v>
      </c>
      <c r="B37" s="267"/>
      <c r="C37" s="267"/>
      <c r="D37" s="267"/>
    </row>
    <row r="38" spans="1:4" ht="15.75">
      <c r="A38" s="288" t="s">
        <v>894</v>
      </c>
      <c r="B38" s="267"/>
      <c r="C38" s="267"/>
      <c r="D38" s="267"/>
    </row>
    <row r="39" spans="1:4" ht="15.75">
      <c r="A39" s="288" t="s">
        <v>895</v>
      </c>
      <c r="B39" s="267"/>
      <c r="C39" s="267"/>
      <c r="D39" s="267"/>
    </row>
    <row r="40" spans="1:4" ht="15.75">
      <c r="A40" s="288" t="s">
        <v>896</v>
      </c>
      <c r="B40" s="267"/>
      <c r="C40" s="267"/>
      <c r="D40" s="267"/>
    </row>
    <row r="41" spans="1:4" ht="15.75">
      <c r="A41" s="288"/>
      <c r="B41" s="267"/>
      <c r="C41" s="267"/>
      <c r="D41" s="267"/>
    </row>
    <row r="42" spans="1:4" ht="15.75">
      <c r="A42" s="233" t="s">
        <v>853</v>
      </c>
      <c r="B42" s="272">
        <f>SUM(B37:B41)</f>
        <v>0</v>
      </c>
      <c r="C42" s="272">
        <f>SUM(C37:C41)</f>
        <v>0</v>
      </c>
      <c r="D42" s="272">
        <f>SUM(D37:D41)</f>
        <v>0</v>
      </c>
    </row>
    <row r="43" spans="1:4" ht="15.75">
      <c r="A43" s="289"/>
      <c r="B43" s="201"/>
      <c r="C43" s="201"/>
      <c r="D43" s="201"/>
    </row>
    <row r="44" spans="1:4" ht="15.75">
      <c r="A44" s="288" t="s">
        <v>901</v>
      </c>
      <c r="B44" s="267"/>
      <c r="C44" s="267"/>
      <c r="D44" s="267"/>
    </row>
    <row r="45" spans="1:4" ht="15.75">
      <c r="A45" s="288" t="s">
        <v>894</v>
      </c>
      <c r="B45" s="267"/>
      <c r="C45" s="267"/>
      <c r="D45" s="267"/>
    </row>
    <row r="46" spans="1:4" ht="15.75">
      <c r="A46" s="288" t="s">
        <v>895</v>
      </c>
      <c r="B46" s="267"/>
      <c r="C46" s="267"/>
      <c r="D46" s="267"/>
    </row>
    <row r="47" spans="1:4" ht="15.75">
      <c r="A47" s="288" t="s">
        <v>896</v>
      </c>
      <c r="B47" s="267"/>
      <c r="C47" s="267"/>
      <c r="D47" s="267"/>
    </row>
    <row r="48" spans="1:4" ht="15.75">
      <c r="A48" s="288"/>
      <c r="B48" s="267"/>
      <c r="C48" s="267"/>
      <c r="D48" s="267"/>
    </row>
    <row r="49" spans="1:4" ht="15.75">
      <c r="A49" s="233" t="s">
        <v>853</v>
      </c>
      <c r="B49" s="272">
        <f>SUM(B44:B48)</f>
        <v>0</v>
      </c>
      <c r="C49" s="272">
        <f>SUM(C44:C48)</f>
        <v>0</v>
      </c>
      <c r="D49" s="272">
        <f>SUM(D44:D48)</f>
        <v>0</v>
      </c>
    </row>
    <row r="50" spans="1:4" ht="15.75">
      <c r="A50" s="289"/>
      <c r="B50" s="201"/>
      <c r="C50" s="201"/>
      <c r="D50" s="201"/>
    </row>
    <row r="51" spans="1:4" ht="15.75">
      <c r="A51" s="288" t="s">
        <v>901</v>
      </c>
      <c r="B51" s="267"/>
      <c r="C51" s="267"/>
      <c r="D51" s="267"/>
    </row>
    <row r="52" spans="1:4" ht="15.75">
      <c r="A52" s="288" t="s">
        <v>894</v>
      </c>
      <c r="B52" s="267"/>
      <c r="C52" s="267"/>
      <c r="D52" s="267"/>
    </row>
    <row r="53" spans="1:4" ht="15.75">
      <c r="A53" s="288" t="s">
        <v>895</v>
      </c>
      <c r="B53" s="267"/>
      <c r="C53" s="267"/>
      <c r="D53" s="267"/>
    </row>
    <row r="54" spans="1:4" ht="15.75">
      <c r="A54" s="288" t="s">
        <v>896</v>
      </c>
      <c r="B54" s="267"/>
      <c r="C54" s="267"/>
      <c r="D54" s="267"/>
    </row>
    <row r="55" spans="1:4" ht="15.75">
      <c r="A55" s="288"/>
      <c r="B55" s="267"/>
      <c r="C55" s="267"/>
      <c r="D55" s="267"/>
    </row>
    <row r="56" spans="1:4" ht="15.75">
      <c r="A56" s="233" t="s">
        <v>853</v>
      </c>
      <c r="B56" s="272">
        <f>SUM(B51:B55)</f>
        <v>0</v>
      </c>
      <c r="C56" s="272">
        <f>SUM(C51:C55)</f>
        <v>0</v>
      </c>
      <c r="D56" s="272">
        <f>SUM(D51:D55)</f>
        <v>0</v>
      </c>
    </row>
    <row r="57" spans="1:4" ht="15.75">
      <c r="A57" s="289"/>
      <c r="B57" s="201"/>
      <c r="C57" s="201"/>
      <c r="D57" s="201"/>
    </row>
    <row r="58" spans="1:4" ht="15.75">
      <c r="A58" s="288" t="s">
        <v>901</v>
      </c>
      <c r="B58" s="267"/>
      <c r="C58" s="267"/>
      <c r="D58" s="267"/>
    </row>
    <row r="59" spans="1:4" ht="15.75">
      <c r="A59" s="288" t="s">
        <v>894</v>
      </c>
      <c r="B59" s="267"/>
      <c r="C59" s="267"/>
      <c r="D59" s="267"/>
    </row>
    <row r="60" spans="1:4" ht="15.75">
      <c r="A60" s="288" t="s">
        <v>895</v>
      </c>
      <c r="B60" s="267"/>
      <c r="C60" s="267"/>
      <c r="D60" s="267"/>
    </row>
    <row r="61" spans="1:4" ht="15.75">
      <c r="A61" s="288" t="s">
        <v>896</v>
      </c>
      <c r="B61" s="267"/>
      <c r="C61" s="267"/>
      <c r="D61" s="267"/>
    </row>
    <row r="62" spans="1:4" ht="15.75">
      <c r="A62" s="288"/>
      <c r="B62" s="267"/>
      <c r="C62" s="267"/>
      <c r="D62" s="267"/>
    </row>
    <row r="63" spans="1:4" ht="15.75">
      <c r="A63" s="233" t="s">
        <v>853</v>
      </c>
      <c r="B63" s="272">
        <f>SUM(B58:B62)</f>
        <v>0</v>
      </c>
      <c r="C63" s="272">
        <f>SUM(C58:C62)</f>
        <v>0</v>
      </c>
      <c r="D63" s="272">
        <f>SUM(D58:D62)</f>
        <v>0</v>
      </c>
    </row>
    <row r="64" spans="1:4" ht="15.75">
      <c r="A64" s="48"/>
      <c r="B64" s="201"/>
      <c r="C64" s="201"/>
      <c r="D64" s="201"/>
    </row>
    <row r="65" spans="1:4" ht="16.5" thickBot="1">
      <c r="A65" s="233" t="s">
        <v>648</v>
      </c>
      <c r="B65" s="290">
        <f>B15+B22+B29+B35+B42+B49+B56+B63</f>
        <v>0</v>
      </c>
      <c r="C65" s="290">
        <f>C15+C22+C29+C35+C42+C49+C56+C63</f>
        <v>0</v>
      </c>
      <c r="D65" s="290">
        <f>D15+D22+D29+D35+D42+D49+D56+D63</f>
        <v>0</v>
      </c>
    </row>
    <row r="66" spans="1:4" ht="16.5" thickTop="1">
      <c r="A66" s="291"/>
      <c r="B66" s="201"/>
      <c r="C66" s="201"/>
      <c r="D66" s="201"/>
    </row>
    <row r="67" spans="1:4" ht="15.75">
      <c r="A67" s="424" t="s">
        <v>900</v>
      </c>
      <c r="B67" s="292" t="s">
        <v>186</v>
      </c>
      <c r="C67" s="201"/>
      <c r="D67" s="201"/>
    </row>
    <row r="68" spans="1:4" ht="15.75">
      <c r="A68" s="48"/>
      <c r="B68" s="201"/>
      <c r="C68" s="201"/>
      <c r="D68" s="201"/>
    </row>
    <row r="69" spans="1:4" ht="15.75">
      <c r="A69" s="201" t="str">
        <f>A1</f>
        <v>Elbing City</v>
      </c>
      <c r="B69" s="48"/>
      <c r="C69" s="175"/>
      <c r="D69" s="48">
        <f>D1</f>
        <v>2012</v>
      </c>
    </row>
    <row r="70" spans="1:4" ht="15.75">
      <c r="A70" s="48"/>
      <c r="B70" s="48"/>
      <c r="C70" s="48"/>
      <c r="D70" s="175"/>
    </row>
    <row r="71" spans="1:4" ht="15.75">
      <c r="A71" s="256"/>
      <c r="B71" s="285"/>
      <c r="C71" s="285"/>
      <c r="D71" s="285"/>
    </row>
    <row r="72" spans="1:4" ht="15.75">
      <c r="A72" s="233" t="s">
        <v>881</v>
      </c>
      <c r="B72" s="623" t="s">
        <v>903</v>
      </c>
      <c r="C72" s="625" t="s">
        <v>192</v>
      </c>
      <c r="D72" s="625" t="s">
        <v>193</v>
      </c>
    </row>
    <row r="73" spans="1:4" ht="15.75">
      <c r="A73" s="624" t="s">
        <v>653</v>
      </c>
      <c r="B73" s="358">
        <f>D69-2</f>
        <v>2010</v>
      </c>
      <c r="C73" s="258">
        <f>D69-1</f>
        <v>2011</v>
      </c>
      <c r="D73" s="258">
        <f>D69</f>
        <v>2012</v>
      </c>
    </row>
    <row r="74" spans="1:4" ht="15.75">
      <c r="A74" s="233" t="s">
        <v>893</v>
      </c>
      <c r="B74" s="88"/>
      <c r="C74" s="88"/>
      <c r="D74" s="88"/>
    </row>
    <row r="75" spans="1:4" ht="15.75">
      <c r="A75" s="287"/>
      <c r="B75" s="88"/>
      <c r="C75" s="88"/>
      <c r="D75" s="88"/>
    </row>
    <row r="76" spans="1:4" ht="15.75">
      <c r="A76" s="288" t="s">
        <v>901</v>
      </c>
      <c r="B76" s="267"/>
      <c r="C76" s="267"/>
      <c r="D76" s="267"/>
    </row>
    <row r="77" spans="1:4" ht="15.75">
      <c r="A77" s="288" t="s">
        <v>894</v>
      </c>
      <c r="B77" s="267"/>
      <c r="C77" s="267"/>
      <c r="D77" s="267"/>
    </row>
    <row r="78" spans="1:4" ht="15.75">
      <c r="A78" s="288" t="s">
        <v>895</v>
      </c>
      <c r="B78" s="267"/>
      <c r="C78" s="267"/>
      <c r="D78" s="267"/>
    </row>
    <row r="79" spans="1:4" ht="15.75">
      <c r="A79" s="288" t="s">
        <v>896</v>
      </c>
      <c r="B79" s="267"/>
      <c r="C79" s="267"/>
      <c r="D79" s="267"/>
    </row>
    <row r="80" spans="1:4" ht="15.75">
      <c r="A80" s="70"/>
      <c r="B80" s="267"/>
      <c r="C80" s="267"/>
      <c r="D80" s="267"/>
    </row>
    <row r="81" spans="1:4" ht="15.75">
      <c r="A81" s="233" t="s">
        <v>853</v>
      </c>
      <c r="B81" s="272">
        <f>SUM(B76:B80)</f>
        <v>0</v>
      </c>
      <c r="C81" s="272">
        <f>SUM(C76:C80)</f>
        <v>0</v>
      </c>
      <c r="D81" s="272">
        <f>SUM(D76:D80)</f>
        <v>0</v>
      </c>
    </row>
    <row r="82" spans="1:4" ht="15.75">
      <c r="A82" s="289"/>
      <c r="B82" s="201"/>
      <c r="C82" s="201"/>
      <c r="D82" s="201"/>
    </row>
    <row r="83" spans="1:4" ht="15.75">
      <c r="A83" s="288" t="s">
        <v>901</v>
      </c>
      <c r="B83" s="267"/>
      <c r="C83" s="267"/>
      <c r="D83" s="267"/>
    </row>
    <row r="84" spans="1:4" ht="15.75">
      <c r="A84" s="288" t="s">
        <v>894</v>
      </c>
      <c r="B84" s="267"/>
      <c r="C84" s="267"/>
      <c r="D84" s="267"/>
    </row>
    <row r="85" spans="1:4" ht="15.75">
      <c r="A85" s="288" t="s">
        <v>895</v>
      </c>
      <c r="B85" s="267"/>
      <c r="C85" s="267"/>
      <c r="D85" s="267"/>
    </row>
    <row r="86" spans="1:4" ht="15.75">
      <c r="A86" s="288" t="s">
        <v>896</v>
      </c>
      <c r="B86" s="267"/>
      <c r="C86" s="267"/>
      <c r="D86" s="267"/>
    </row>
    <row r="87" spans="1:4" ht="15.75">
      <c r="A87" s="288"/>
      <c r="B87" s="267"/>
      <c r="C87" s="267"/>
      <c r="D87" s="267"/>
    </row>
    <row r="88" spans="1:4" ht="15.75">
      <c r="A88" s="233" t="s">
        <v>853</v>
      </c>
      <c r="B88" s="272">
        <f>SUM(B83:B87)</f>
        <v>0</v>
      </c>
      <c r="C88" s="272">
        <f>SUM(C83:C87)</f>
        <v>0</v>
      </c>
      <c r="D88" s="272">
        <f>SUM(D83:D87)</f>
        <v>0</v>
      </c>
    </row>
    <row r="89" spans="1:4" ht="15.75">
      <c r="A89" s="289"/>
      <c r="B89" s="201"/>
      <c r="C89" s="201"/>
      <c r="D89" s="201"/>
    </row>
    <row r="90" spans="1:4" ht="15.75">
      <c r="A90" s="288" t="s">
        <v>901</v>
      </c>
      <c r="B90" s="267"/>
      <c r="C90" s="267"/>
      <c r="D90" s="267"/>
    </row>
    <row r="91" spans="1:4" ht="15.75">
      <c r="A91" s="288" t="s">
        <v>894</v>
      </c>
      <c r="B91" s="267"/>
      <c r="C91" s="267"/>
      <c r="D91" s="267"/>
    </row>
    <row r="92" spans="1:4" ht="15.75">
      <c r="A92" s="288" t="s">
        <v>895</v>
      </c>
      <c r="B92" s="267"/>
      <c r="C92" s="267"/>
      <c r="D92" s="267"/>
    </row>
    <row r="93" spans="1:4" ht="15.75">
      <c r="A93" s="288" t="s">
        <v>896</v>
      </c>
      <c r="B93" s="267"/>
      <c r="C93" s="267"/>
      <c r="D93" s="267"/>
    </row>
    <row r="94" spans="1:4" ht="15.75">
      <c r="A94" s="288"/>
      <c r="B94" s="267"/>
      <c r="C94" s="267"/>
      <c r="D94" s="267"/>
    </row>
    <row r="95" spans="1:4" ht="15.75">
      <c r="A95" s="233" t="s">
        <v>853</v>
      </c>
      <c r="B95" s="272">
        <f>SUM(B90:B94)</f>
        <v>0</v>
      </c>
      <c r="C95" s="272">
        <f>SUM(C90:C94)</f>
        <v>0</v>
      </c>
      <c r="D95" s="272">
        <f>SUM(D90:D94)</f>
        <v>0</v>
      </c>
    </row>
    <row r="96" spans="1:4" ht="15.75">
      <c r="A96" s="289"/>
      <c r="B96" s="201"/>
      <c r="C96" s="201"/>
      <c r="D96" s="201"/>
    </row>
    <row r="97" spans="1:4" ht="15.75">
      <c r="A97" s="288" t="s">
        <v>901</v>
      </c>
      <c r="B97" s="267"/>
      <c r="C97" s="267"/>
      <c r="D97" s="267"/>
    </row>
    <row r="98" spans="1:4" ht="15.75">
      <c r="A98" s="288" t="s">
        <v>894</v>
      </c>
      <c r="B98" s="267"/>
      <c r="C98" s="267"/>
      <c r="D98" s="267"/>
    </row>
    <row r="99" spans="1:4" ht="15.75">
      <c r="A99" s="288" t="s">
        <v>895</v>
      </c>
      <c r="B99" s="267"/>
      <c r="C99" s="267"/>
      <c r="D99" s="267"/>
    </row>
    <row r="100" spans="1:4" ht="15.75">
      <c r="A100" s="288" t="s">
        <v>896</v>
      </c>
      <c r="B100" s="267"/>
      <c r="C100" s="267"/>
      <c r="D100" s="267"/>
    </row>
    <row r="101" spans="1:4" ht="15.75">
      <c r="A101" s="233" t="s">
        <v>853</v>
      </c>
      <c r="B101" s="272">
        <f>SUM(B97:B100)</f>
        <v>0</v>
      </c>
      <c r="C101" s="272">
        <f>SUM(C97:C100)</f>
        <v>0</v>
      </c>
      <c r="D101" s="272">
        <f>SUM(D97:D100)</f>
        <v>0</v>
      </c>
    </row>
    <row r="102" spans="1:4" ht="15.75">
      <c r="A102" s="289"/>
      <c r="B102" s="201"/>
      <c r="C102" s="201"/>
      <c r="D102" s="201"/>
    </row>
    <row r="103" spans="1:4" ht="15.75">
      <c r="A103" s="288" t="s">
        <v>901</v>
      </c>
      <c r="B103" s="267"/>
      <c r="C103" s="267"/>
      <c r="D103" s="267"/>
    </row>
    <row r="104" spans="1:4" ht="15.75">
      <c r="A104" s="288" t="s">
        <v>894</v>
      </c>
      <c r="B104" s="267"/>
      <c r="C104" s="267"/>
      <c r="D104" s="267"/>
    </row>
    <row r="105" spans="1:4" ht="15.75">
      <c r="A105" s="288" t="s">
        <v>895</v>
      </c>
      <c r="B105" s="267"/>
      <c r="C105" s="267"/>
      <c r="D105" s="267"/>
    </row>
    <row r="106" spans="1:4" ht="15.75">
      <c r="A106" s="288" t="s">
        <v>896</v>
      </c>
      <c r="B106" s="267"/>
      <c r="C106" s="267"/>
      <c r="D106" s="267"/>
    </row>
    <row r="107" spans="1:4" ht="15.75">
      <c r="A107" s="288"/>
      <c r="B107" s="267"/>
      <c r="C107" s="267"/>
      <c r="D107" s="267"/>
    </row>
    <row r="108" spans="1:4" ht="15.75">
      <c r="A108" s="233" t="s">
        <v>853</v>
      </c>
      <c r="B108" s="272">
        <f>SUM(B103:B107)</f>
        <v>0</v>
      </c>
      <c r="C108" s="272">
        <f>SUM(C103:C107)</f>
        <v>0</v>
      </c>
      <c r="D108" s="272">
        <f>SUM(D103:D107)</f>
        <v>0</v>
      </c>
    </row>
    <row r="109" spans="1:4" ht="15.75">
      <c r="A109" s="289"/>
      <c r="B109" s="201"/>
      <c r="C109" s="201"/>
      <c r="D109" s="201"/>
    </row>
    <row r="110" spans="1:4" ht="15.75">
      <c r="A110" s="288" t="s">
        <v>901</v>
      </c>
      <c r="B110" s="267"/>
      <c r="C110" s="267"/>
      <c r="D110" s="267"/>
    </row>
    <row r="111" spans="1:4" ht="15.75">
      <c r="A111" s="288" t="s">
        <v>894</v>
      </c>
      <c r="B111" s="267"/>
      <c r="C111" s="267"/>
      <c r="D111" s="267"/>
    </row>
    <row r="112" spans="1:4" ht="15.75">
      <c r="A112" s="288" t="s">
        <v>895</v>
      </c>
      <c r="B112" s="267"/>
      <c r="C112" s="267"/>
      <c r="D112" s="267"/>
    </row>
    <row r="113" spans="1:4" ht="15.75">
      <c r="A113" s="288" t="s">
        <v>896</v>
      </c>
      <c r="B113" s="267"/>
      <c r="C113" s="267"/>
      <c r="D113" s="267"/>
    </row>
    <row r="114" spans="1:4" ht="15.75">
      <c r="A114" s="288"/>
      <c r="B114" s="267"/>
      <c r="C114" s="267"/>
      <c r="D114" s="267"/>
    </row>
    <row r="115" spans="1:4" ht="15.75">
      <c r="A115" s="233" t="s">
        <v>853</v>
      </c>
      <c r="B115" s="272">
        <f>SUM(B110:B114)</f>
        <v>0</v>
      </c>
      <c r="C115" s="272">
        <f>SUM(C110:C114)</f>
        <v>0</v>
      </c>
      <c r="D115" s="272">
        <f>SUM(D110:D114)</f>
        <v>0</v>
      </c>
    </row>
    <row r="116" spans="1:4" ht="15.75">
      <c r="A116" s="289"/>
      <c r="B116" s="201"/>
      <c r="C116" s="201"/>
      <c r="D116" s="201"/>
    </row>
    <row r="117" spans="1:4" ht="15.75">
      <c r="A117" s="288" t="s">
        <v>901</v>
      </c>
      <c r="B117" s="267"/>
      <c r="C117" s="267"/>
      <c r="D117" s="267"/>
    </row>
    <row r="118" spans="1:4" ht="15.75">
      <c r="A118" s="288" t="s">
        <v>894</v>
      </c>
      <c r="B118" s="267"/>
      <c r="C118" s="267"/>
      <c r="D118" s="267"/>
    </row>
    <row r="119" spans="1:4" ht="15.75">
      <c r="A119" s="288" t="s">
        <v>895</v>
      </c>
      <c r="B119" s="267"/>
      <c r="C119" s="267"/>
      <c r="D119" s="267"/>
    </row>
    <row r="120" spans="1:4" ht="15.75">
      <c r="A120" s="288" t="s">
        <v>896</v>
      </c>
      <c r="B120" s="267"/>
      <c r="C120" s="267"/>
      <c r="D120" s="267"/>
    </row>
    <row r="121" spans="1:4" ht="15.75">
      <c r="A121" s="288"/>
      <c r="B121" s="267"/>
      <c r="C121" s="267"/>
      <c r="D121" s="267"/>
    </row>
    <row r="122" spans="1:4" ht="15.75">
      <c r="A122" s="233" t="s">
        <v>853</v>
      </c>
      <c r="B122" s="272">
        <f>SUM(B117:B121)</f>
        <v>0</v>
      </c>
      <c r="C122" s="272">
        <f>SUM(C117:C121)</f>
        <v>0</v>
      </c>
      <c r="D122" s="272">
        <f>SUM(D117:D121)</f>
        <v>0</v>
      </c>
    </row>
    <row r="123" spans="1:4" ht="15.75">
      <c r="A123" s="289"/>
      <c r="B123" s="201"/>
      <c r="C123" s="201"/>
      <c r="D123" s="201"/>
    </row>
    <row r="124" spans="1:4" ht="15.75">
      <c r="A124" s="288" t="s">
        <v>901</v>
      </c>
      <c r="B124" s="267"/>
      <c r="C124" s="267"/>
      <c r="D124" s="267"/>
    </row>
    <row r="125" spans="1:4" ht="15.75">
      <c r="A125" s="288" t="s">
        <v>894</v>
      </c>
      <c r="B125" s="267"/>
      <c r="C125" s="267"/>
      <c r="D125" s="267"/>
    </row>
    <row r="126" spans="1:4" ht="15.75">
      <c r="A126" s="288" t="s">
        <v>895</v>
      </c>
      <c r="B126" s="267"/>
      <c r="C126" s="267"/>
      <c r="D126" s="267"/>
    </row>
    <row r="127" spans="1:4" ht="15.75">
      <c r="A127" s="288" t="s">
        <v>896</v>
      </c>
      <c r="B127" s="267"/>
      <c r="C127" s="267"/>
      <c r="D127" s="267"/>
    </row>
    <row r="128" spans="1:4" ht="15.75">
      <c r="A128" s="288"/>
      <c r="B128" s="267"/>
      <c r="C128" s="267"/>
      <c r="D128" s="267"/>
    </row>
    <row r="129" spans="1:4" ht="15.75">
      <c r="A129" s="233" t="s">
        <v>853</v>
      </c>
      <c r="B129" s="272">
        <f>SUM(B124:B128)</f>
        <v>0</v>
      </c>
      <c r="C129" s="272">
        <f>SUM(C124:C128)</f>
        <v>0</v>
      </c>
      <c r="D129" s="272">
        <f>SUM(D124:D128)</f>
        <v>0</v>
      </c>
    </row>
    <row r="130" spans="1:4" ht="15.75">
      <c r="A130" s="233"/>
      <c r="B130" s="201"/>
      <c r="C130" s="201"/>
      <c r="D130" s="201"/>
    </row>
    <row r="131" spans="1:4" ht="15.75">
      <c r="A131" s="66" t="s">
        <v>650</v>
      </c>
      <c r="B131" s="282">
        <f>B81+B88+B95+B101+B108+B115+B122+B129</f>
        <v>0</v>
      </c>
      <c r="C131" s="282">
        <f>C81+C88+C95+C101+C108+C115+C122+C129</f>
        <v>0</v>
      </c>
      <c r="D131" s="282">
        <f>D81+D88+D95+D101+D108+D115+D122+D129</f>
        <v>0</v>
      </c>
    </row>
    <row r="132" spans="1:4" ht="15.75">
      <c r="A132" s="233" t="s">
        <v>649</v>
      </c>
      <c r="B132" s="272">
        <f>B65</f>
        <v>0</v>
      </c>
      <c r="C132" s="272">
        <f>C65</f>
        <v>0</v>
      </c>
      <c r="D132" s="272">
        <f>D65</f>
        <v>0</v>
      </c>
    </row>
    <row r="133" spans="1:4" ht="16.5" thickBot="1">
      <c r="A133" s="233" t="s">
        <v>651</v>
      </c>
      <c r="B133" s="290">
        <f>SUM(B131:B132)</f>
        <v>0</v>
      </c>
      <c r="C133" s="290">
        <f>SUM(C131:C132)</f>
        <v>0</v>
      </c>
      <c r="D133" s="290">
        <f>SUM(D131:D132)</f>
        <v>0</v>
      </c>
    </row>
    <row r="134" spans="1:4" ht="16.5" thickTop="1">
      <c r="A134" s="291" t="s">
        <v>823</v>
      </c>
      <c r="B134" s="201"/>
      <c r="C134" s="201"/>
      <c r="D134" s="201"/>
    </row>
    <row r="135" spans="1:4" ht="15.75">
      <c r="A135" s="424" t="s">
        <v>900</v>
      </c>
      <c r="B135" s="292" t="s">
        <v>647</v>
      </c>
      <c r="C135" s="201"/>
      <c r="D135" s="20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56">
      <selection activeCell="D85" sqref="D8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2" t="str">
        <f>inputPrYr!D2</f>
        <v>Elbing City</v>
      </c>
      <c r="C1" s="422"/>
      <c r="D1" s="408"/>
      <c r="E1" s="416">
        <f>inputPrYr!C5</f>
        <v>2012</v>
      </c>
    </row>
    <row r="2" spans="2:5" ht="15.75">
      <c r="B2" s="408"/>
      <c r="C2" s="408"/>
      <c r="D2" s="408"/>
      <c r="E2" s="424"/>
    </row>
    <row r="3" spans="2:5" ht="15.75">
      <c r="B3" s="411" t="s">
        <v>110</v>
      </c>
      <c r="C3" s="411"/>
      <c r="D3" s="427"/>
      <c r="E3" s="417"/>
    </row>
    <row r="4" spans="2:5" ht="15.75">
      <c r="B4" s="410" t="s">
        <v>881</v>
      </c>
      <c r="C4" s="626" t="s">
        <v>903</v>
      </c>
      <c r="D4" s="627" t="s">
        <v>192</v>
      </c>
      <c r="E4" s="628" t="s">
        <v>193</v>
      </c>
    </row>
    <row r="5" spans="2:5" ht="15.75">
      <c r="B5" s="459" t="s">
        <v>822</v>
      </c>
      <c r="C5" s="445">
        <f>E1-2</f>
        <v>2010</v>
      </c>
      <c r="D5" s="445">
        <f>E1-1</f>
        <v>2011</v>
      </c>
      <c r="E5" s="426">
        <f>E1</f>
        <v>2012</v>
      </c>
    </row>
    <row r="6" spans="2:5" ht="15.75">
      <c r="B6" s="418" t="s">
        <v>165</v>
      </c>
      <c r="C6" s="455">
        <v>2091</v>
      </c>
      <c r="D6" s="454">
        <f>C33</f>
        <v>1344</v>
      </c>
      <c r="E6" s="419">
        <f>D33</f>
        <v>921</v>
      </c>
    </row>
    <row r="7" spans="2:5" ht="15.75">
      <c r="B7" s="418" t="s">
        <v>167</v>
      </c>
      <c r="C7" s="420"/>
      <c r="D7" s="454"/>
      <c r="E7" s="419"/>
    </row>
    <row r="8" spans="2:5" ht="15.75">
      <c r="B8" s="418" t="s">
        <v>882</v>
      </c>
      <c r="C8" s="452">
        <f>927+5667</f>
        <v>6594</v>
      </c>
      <c r="D8" s="454">
        <f>inputPrYr!E18</f>
        <v>7706</v>
      </c>
      <c r="E8" s="436" t="s">
        <v>870</v>
      </c>
    </row>
    <row r="9" spans="2:5" ht="15.75">
      <c r="B9" s="418" t="s">
        <v>883</v>
      </c>
      <c r="C9" s="452">
        <f>619+4</f>
        <v>623</v>
      </c>
      <c r="D9" s="456">
        <v>150</v>
      </c>
      <c r="E9" s="412">
        <v>150</v>
      </c>
    </row>
    <row r="10" spans="2:5" ht="15.75">
      <c r="B10" s="418" t="s">
        <v>884</v>
      </c>
      <c r="C10" s="452">
        <f>1807-37</f>
        <v>1770</v>
      </c>
      <c r="D10" s="456">
        <v>1035</v>
      </c>
      <c r="E10" s="419">
        <f>mvalloc!C8</f>
        <v>1158</v>
      </c>
    </row>
    <row r="11" spans="2:5" ht="15.75">
      <c r="B11" s="418" t="s">
        <v>885</v>
      </c>
      <c r="C11" s="452">
        <v>18</v>
      </c>
      <c r="D11" s="456">
        <v>22</v>
      </c>
      <c r="E11" s="419">
        <f>mvalloc!D8</f>
        <v>12</v>
      </c>
    </row>
    <row r="12" spans="2:5" ht="15.75">
      <c r="B12" s="421" t="s">
        <v>142</v>
      </c>
      <c r="C12" s="452">
        <v>8</v>
      </c>
      <c r="D12" s="456">
        <v>4</v>
      </c>
      <c r="E12" s="419">
        <f>mvalloc!E8</f>
        <v>6</v>
      </c>
    </row>
    <row r="13" spans="2:5" ht="15.75">
      <c r="B13" s="421" t="s">
        <v>210</v>
      </c>
      <c r="C13" s="452"/>
      <c r="D13" s="456"/>
      <c r="E13" s="419">
        <f>mvalloc!F8</f>
        <v>0</v>
      </c>
    </row>
    <row r="14" spans="2:5" ht="15.75">
      <c r="B14" s="439"/>
      <c r="C14" s="452"/>
      <c r="D14" s="456"/>
      <c r="E14" s="412"/>
    </row>
    <row r="15" spans="2:5" ht="15.75">
      <c r="B15" s="439"/>
      <c r="C15" s="452"/>
      <c r="D15" s="456"/>
      <c r="E15" s="412"/>
    </row>
    <row r="16" spans="2:5" ht="15.75">
      <c r="B16" s="439"/>
      <c r="C16" s="452"/>
      <c r="D16" s="456"/>
      <c r="E16" s="412"/>
    </row>
    <row r="17" spans="2:9" ht="15.75">
      <c r="B17" s="433" t="s">
        <v>889</v>
      </c>
      <c r="C17" s="452"/>
      <c r="D17" s="456"/>
      <c r="E17" s="412"/>
      <c r="F17" s="407"/>
      <c r="G17" s="407"/>
      <c r="H17" s="407"/>
      <c r="I17" s="407"/>
    </row>
    <row r="18" spans="2:9" ht="15.75">
      <c r="B18" s="418" t="s">
        <v>789</v>
      </c>
      <c r="C18" s="264"/>
      <c r="D18" s="264"/>
      <c r="E18" s="68"/>
      <c r="F18" s="407"/>
      <c r="G18" s="407"/>
      <c r="H18" s="407"/>
      <c r="I18" s="407"/>
    </row>
    <row r="19" spans="2:9" ht="15.75">
      <c r="B19" s="418" t="s">
        <v>360</v>
      </c>
      <c r="C19" s="269">
        <f>IF(C20*0.1&lt;C18,"Exceed 10% Rule","")</f>
      </c>
      <c r="D19" s="269">
        <f>IF(D20*0.1&lt;D18,"Exceed 10% Rule","")</f>
      </c>
      <c r="E19" s="309">
        <f>IF(E20*0.1+E39&lt;E18,"Exceed 10% Rule","")</f>
      </c>
      <c r="F19" s="407"/>
      <c r="G19" s="407"/>
      <c r="H19" s="407"/>
      <c r="I19" s="407"/>
    </row>
    <row r="20" spans="2:9" ht="15.75">
      <c r="B20" s="429" t="s">
        <v>890</v>
      </c>
      <c r="C20" s="457">
        <f>SUM(C8:C18)</f>
        <v>9013</v>
      </c>
      <c r="D20" s="457">
        <f>SUM(D8:D18)</f>
        <v>8917</v>
      </c>
      <c r="E20" s="440">
        <f>SUM(E9:E18)</f>
        <v>1326</v>
      </c>
      <c r="F20" s="407"/>
      <c r="G20" s="407"/>
      <c r="H20" s="407"/>
      <c r="I20" s="407"/>
    </row>
    <row r="21" spans="2:9" ht="15.75">
      <c r="B21" s="429" t="s">
        <v>891</v>
      </c>
      <c r="C21" s="457">
        <f>SUM(C6+C20)</f>
        <v>11104</v>
      </c>
      <c r="D21" s="457">
        <f>SUM(D6+D20)</f>
        <v>10261</v>
      </c>
      <c r="E21" s="440">
        <f>SUM(E6+E20)</f>
        <v>2247</v>
      </c>
      <c r="F21" s="407"/>
      <c r="G21" s="407"/>
      <c r="H21" s="407"/>
      <c r="I21" s="407"/>
    </row>
    <row r="22" spans="2:9" ht="15.75">
      <c r="B22" s="418" t="s">
        <v>893</v>
      </c>
      <c r="C22" s="418"/>
      <c r="D22" s="454"/>
      <c r="E22" s="419"/>
      <c r="F22" s="407"/>
      <c r="G22" s="407"/>
      <c r="H22" s="407"/>
      <c r="I22" s="407"/>
    </row>
    <row r="23" spans="2:9" ht="15.75">
      <c r="B23" s="439"/>
      <c r="C23" s="521"/>
      <c r="D23" s="456"/>
      <c r="E23" s="412"/>
      <c r="F23" s="407"/>
      <c r="G23" s="407"/>
      <c r="H23" s="407"/>
      <c r="I23" s="407"/>
    </row>
    <row r="24" spans="2:9" ht="15.75">
      <c r="B24" s="439" t="s">
        <v>95</v>
      </c>
      <c r="C24" s="521">
        <v>7000</v>
      </c>
      <c r="D24" s="456">
        <v>7000</v>
      </c>
      <c r="E24" s="412">
        <v>7000</v>
      </c>
      <c r="F24" s="407"/>
      <c r="G24" s="407"/>
      <c r="H24" s="407"/>
      <c r="I24" s="407"/>
    </row>
    <row r="25" spans="2:9" ht="15.75">
      <c r="B25" s="439" t="s">
        <v>93</v>
      </c>
      <c r="C25" s="521">
        <v>2760</v>
      </c>
      <c r="D25" s="456">
        <v>2340</v>
      </c>
      <c r="E25" s="412">
        <v>1920</v>
      </c>
      <c r="F25" s="407"/>
      <c r="G25" s="407"/>
      <c r="H25" s="407"/>
      <c r="I25" s="407"/>
    </row>
    <row r="26" spans="2:9" ht="15.75">
      <c r="B26" s="439" t="s">
        <v>421</v>
      </c>
      <c r="C26" s="521"/>
      <c r="D26" s="456"/>
      <c r="E26" s="412">
        <v>1000</v>
      </c>
      <c r="F26" s="407"/>
      <c r="G26" s="407"/>
      <c r="H26" s="407"/>
      <c r="I26" s="407"/>
    </row>
    <row r="27" spans="2:9" ht="15.75">
      <c r="B27" s="439"/>
      <c r="C27" s="521"/>
      <c r="D27" s="456"/>
      <c r="E27" s="412"/>
      <c r="F27" s="407"/>
      <c r="G27" s="407"/>
      <c r="H27" s="407"/>
      <c r="I27" s="407"/>
    </row>
    <row r="28" spans="2:9" ht="15.75">
      <c r="B28" s="439"/>
      <c r="C28" s="521"/>
      <c r="D28" s="456"/>
      <c r="E28" s="412"/>
      <c r="F28" s="407"/>
      <c r="G28" s="407"/>
      <c r="H28" s="407"/>
      <c r="I28" s="407"/>
    </row>
    <row r="29" spans="2:9" ht="15.75">
      <c r="B29" s="435" t="s">
        <v>788</v>
      </c>
      <c r="C29" s="521"/>
      <c r="D29" s="456"/>
      <c r="E29" s="419">
        <f>nhood!E7</f>
      </c>
      <c r="F29" s="407"/>
      <c r="G29" s="407"/>
      <c r="H29" s="407"/>
      <c r="I29" s="407"/>
    </row>
    <row r="30" spans="2:9" ht="15.75">
      <c r="B30" s="435" t="s">
        <v>789</v>
      </c>
      <c r="C30" s="521"/>
      <c r="D30" s="456"/>
      <c r="E30" s="412"/>
      <c r="F30" s="407"/>
      <c r="G30" s="407"/>
      <c r="H30" s="407"/>
      <c r="I30" s="407"/>
    </row>
    <row r="31" spans="2:9" ht="15.75">
      <c r="B31" s="435" t="s">
        <v>362</v>
      </c>
      <c r="C31" s="269">
        <f>IF(C32*0.1&lt;C30,"Exceed 10% Rule","")</f>
      </c>
      <c r="D31" s="269">
        <f>IF(D32*0.1&lt;D30,"Exceed 10% Rule","")</f>
      </c>
      <c r="E31" s="309">
        <f>IF(E32*0.1&lt;E30,"Exceed 10% Rule","")</f>
      </c>
      <c r="F31" s="407"/>
      <c r="G31" s="700" t="str">
        <f>CONCATENATE("Projected Carryover Into ",E1+1,"")</f>
        <v>Projected Carryover Into 2013</v>
      </c>
      <c r="H31" s="701"/>
      <c r="I31" s="702"/>
    </row>
    <row r="32" spans="2:9" ht="15.75">
      <c r="B32" s="429" t="s">
        <v>897</v>
      </c>
      <c r="C32" s="453">
        <f>SUM(C23:C30)</f>
        <v>9760</v>
      </c>
      <c r="D32" s="453">
        <f>SUM(D23:D30)</f>
        <v>9340</v>
      </c>
      <c r="E32" s="434">
        <f>SUM(E23:E30)</f>
        <v>9920</v>
      </c>
      <c r="F32" s="407"/>
      <c r="G32" s="441"/>
      <c r="H32" s="442"/>
      <c r="I32" s="443"/>
    </row>
    <row r="33" spans="2:9" ht="15.75">
      <c r="B33" s="418" t="s">
        <v>166</v>
      </c>
      <c r="C33" s="458">
        <f>SUM(C21-C32)</f>
        <v>1344</v>
      </c>
      <c r="D33" s="458">
        <f>SUM(D21-D32)</f>
        <v>921</v>
      </c>
      <c r="E33" s="436" t="s">
        <v>870</v>
      </c>
      <c r="F33" s="407"/>
      <c r="G33" s="448">
        <f>D33</f>
        <v>921</v>
      </c>
      <c r="H33" s="451" t="str">
        <f>CONCATENATE("",E1-1," Ending Cash Balance (est.)")</f>
        <v>2011 Ending Cash Balance (est.)</v>
      </c>
      <c r="I33" s="443"/>
    </row>
    <row r="34" spans="2:9" ht="15.75">
      <c r="B34" s="423" t="str">
        <f>CONCATENATE("",E1-2,"/",E1-1," Budget Authority Amount:")</f>
        <v>2010/2011 Budget Authority Amount:</v>
      </c>
      <c r="C34" s="425">
        <f>inputOth!B62</f>
        <v>9760</v>
      </c>
      <c r="D34" s="430">
        <f>inputPrYr!D18</f>
        <v>10140</v>
      </c>
      <c r="E34" s="436" t="s">
        <v>870</v>
      </c>
      <c r="F34" s="431"/>
      <c r="G34" s="448">
        <f>E20</f>
        <v>1326</v>
      </c>
      <c r="H34" s="450" t="str">
        <f>CONCATENATE("",E1," Non-AV Receipts (est.)")</f>
        <v>2012 Non-AV Receipts (est.)</v>
      </c>
      <c r="I34" s="443"/>
    </row>
    <row r="35" spans="2:9" ht="15.75">
      <c r="B35" s="423"/>
      <c r="C35" s="694" t="s">
        <v>46</v>
      </c>
      <c r="D35" s="695"/>
      <c r="E35" s="68"/>
      <c r="F35" s="465">
        <f>IF(E32/0.95-E32&lt;E35,"Exceeds 5%","")</f>
      </c>
      <c r="G35" s="447">
        <f>E39</f>
        <v>7826</v>
      </c>
      <c r="H35" s="450" t="str">
        <f>CONCATENATE("",E1," Ad Valorem Tax (est.)")</f>
        <v>2012 Ad Valorem Tax (est.)</v>
      </c>
      <c r="I35" s="443"/>
    </row>
    <row r="36" spans="2:9" ht="15.75">
      <c r="B36" s="561" t="str">
        <f>CONCATENATE(C89,"     ",D89)</f>
        <v>     </v>
      </c>
      <c r="C36" s="696" t="s">
        <v>47</v>
      </c>
      <c r="D36" s="697"/>
      <c r="E36" s="419">
        <f>SUM(E32+E35)</f>
        <v>9920</v>
      </c>
      <c r="F36" s="407"/>
      <c r="G36" s="448">
        <f>SUM(G33:G35)</f>
        <v>10073</v>
      </c>
      <c r="H36" s="450" t="str">
        <f>CONCATENATE("Total ",E1," Resources Available")</f>
        <v>Total 2012 Resources Available</v>
      </c>
      <c r="I36" s="443"/>
    </row>
    <row r="37" spans="2:9" ht="15.75">
      <c r="B37" s="561" t="str">
        <f>CONCATENATE(C90,"     ",D90)</f>
        <v>     </v>
      </c>
      <c r="C37" s="432"/>
      <c r="D37" s="424" t="s">
        <v>898</v>
      </c>
      <c r="E37" s="413">
        <f>IF(E36-E21&gt;0,E36-E21,0)</f>
        <v>7673</v>
      </c>
      <c r="F37" s="407"/>
      <c r="G37" s="446"/>
      <c r="H37" s="450"/>
      <c r="I37" s="443"/>
    </row>
    <row r="38" spans="2:9" ht="15.75">
      <c r="B38" s="424"/>
      <c r="C38" s="405" t="s">
        <v>45</v>
      </c>
      <c r="D38" s="406">
        <f>inputOth!$E$48</f>
        <v>0.02</v>
      </c>
      <c r="E38" s="419">
        <f>ROUND(IF(D38&gt;0,(E37*D38),0),0)</f>
        <v>153</v>
      </c>
      <c r="F38" s="407"/>
      <c r="G38" s="447">
        <f>C32</f>
        <v>9760</v>
      </c>
      <c r="H38" s="450" t="str">
        <f>CONCATENATE("Less ",E1-2," Expenditures")</f>
        <v>Less 2010 Expenditures</v>
      </c>
      <c r="I38" s="443"/>
    </row>
    <row r="39" spans="2:9" ht="15.75">
      <c r="B39" s="408"/>
      <c r="C39" s="703" t="s">
        <v>50</v>
      </c>
      <c r="D39" s="704"/>
      <c r="E39" s="437">
        <f>SUM(E37:E38)</f>
        <v>7826</v>
      </c>
      <c r="F39" s="407"/>
      <c r="G39" s="447">
        <f>SUM(G36-G38)</f>
        <v>313</v>
      </c>
      <c r="H39" s="449" t="str">
        <f>CONCATENATE("Projected ",E1+1," carryover (est.)")</f>
        <v>Projected 2013 carryover (est.)</v>
      </c>
      <c r="I39" s="444"/>
    </row>
    <row r="40" spans="2:9" ht="15.75">
      <c r="B40" s="410"/>
      <c r="C40" s="410"/>
      <c r="D40" s="427"/>
      <c r="E40" s="427"/>
      <c r="F40" s="407"/>
      <c r="G40" s="407"/>
      <c r="H40" s="407"/>
      <c r="I40" s="407"/>
    </row>
    <row r="41" spans="2:9" ht="15.75">
      <c r="B41" s="410" t="s">
        <v>881</v>
      </c>
      <c r="C41" s="626" t="s">
        <v>903</v>
      </c>
      <c r="D41" s="627" t="s">
        <v>192</v>
      </c>
      <c r="E41" s="628" t="s">
        <v>193</v>
      </c>
      <c r="F41" s="407"/>
      <c r="G41" s="407"/>
      <c r="H41" s="407"/>
      <c r="I41" s="407"/>
    </row>
    <row r="42" spans="2:9" ht="15.75">
      <c r="B42" s="460">
        <f>inputPrYr!B20</f>
        <v>0</v>
      </c>
      <c r="C42" s="445">
        <f>E1-2</f>
        <v>2010</v>
      </c>
      <c r="D42" s="445">
        <f>E1-1</f>
        <v>2011</v>
      </c>
      <c r="E42" s="426">
        <f>E1</f>
        <v>2012</v>
      </c>
      <c r="F42" s="407"/>
      <c r="G42" s="407"/>
      <c r="H42" s="407"/>
      <c r="I42" s="407"/>
    </row>
    <row r="43" spans="2:9" ht="15.75">
      <c r="B43" s="418" t="s">
        <v>165</v>
      </c>
      <c r="C43" s="452"/>
      <c r="D43" s="454">
        <f>C70</f>
        <v>0</v>
      </c>
      <c r="E43" s="419">
        <f>D70</f>
        <v>0</v>
      </c>
      <c r="F43" s="407"/>
      <c r="G43" s="407"/>
      <c r="H43" s="407"/>
      <c r="I43" s="407"/>
    </row>
    <row r="44" spans="2:9" ht="15.75">
      <c r="B44" s="428" t="s">
        <v>167</v>
      </c>
      <c r="C44" s="418"/>
      <c r="D44" s="454"/>
      <c r="E44" s="419"/>
      <c r="F44" s="407"/>
      <c r="G44" s="407"/>
      <c r="H44" s="407"/>
      <c r="I44" s="407"/>
    </row>
    <row r="45" spans="2:9" ht="15.75">
      <c r="B45" s="418" t="s">
        <v>882</v>
      </c>
      <c r="C45" s="452"/>
      <c r="D45" s="454">
        <f>inputPrYr!E20</f>
        <v>0</v>
      </c>
      <c r="E45" s="436" t="s">
        <v>870</v>
      </c>
      <c r="F45" s="407"/>
      <c r="G45" s="407"/>
      <c r="H45" s="407"/>
      <c r="I45" s="407"/>
    </row>
    <row r="46" spans="2:9" ht="15.75">
      <c r="B46" s="418" t="s">
        <v>883</v>
      </c>
      <c r="C46" s="452"/>
      <c r="D46" s="456"/>
      <c r="E46" s="412"/>
      <c r="F46" s="407"/>
      <c r="G46" s="407"/>
      <c r="H46" s="407"/>
      <c r="I46" s="407"/>
    </row>
    <row r="47" spans="2:9" ht="15.75">
      <c r="B47" s="418" t="s">
        <v>884</v>
      </c>
      <c r="C47" s="452"/>
      <c r="D47" s="456"/>
      <c r="E47" s="419" t="str">
        <f>mvalloc!C9</f>
        <v>  </v>
      </c>
      <c r="F47" s="407"/>
      <c r="G47" s="407"/>
      <c r="H47" s="407"/>
      <c r="I47" s="407"/>
    </row>
    <row r="48" spans="2:9" ht="15.75">
      <c r="B48" s="418" t="s">
        <v>885</v>
      </c>
      <c r="C48" s="452"/>
      <c r="D48" s="456"/>
      <c r="E48" s="419" t="str">
        <f>mvalloc!D9</f>
        <v> </v>
      </c>
      <c r="F48" s="407"/>
      <c r="G48" s="407"/>
      <c r="H48" s="407"/>
      <c r="I48" s="407"/>
    </row>
    <row r="49" spans="2:5" ht="15.75">
      <c r="B49" s="421" t="s">
        <v>142</v>
      </c>
      <c r="C49" s="452"/>
      <c r="D49" s="456"/>
      <c r="E49" s="419" t="str">
        <f>mvalloc!E9</f>
        <v> </v>
      </c>
    </row>
    <row r="50" spans="2:5" ht="15.75">
      <c r="B50" s="421" t="s">
        <v>210</v>
      </c>
      <c r="C50" s="452"/>
      <c r="D50" s="456"/>
      <c r="E50" s="419" t="str">
        <f>mvalloc!F9</f>
        <v> </v>
      </c>
    </row>
    <row r="51" spans="2:5" ht="15.75">
      <c r="B51" s="439"/>
      <c r="C51" s="452"/>
      <c r="D51" s="456"/>
      <c r="E51" s="412"/>
    </row>
    <row r="52" spans="2:5" ht="15.75">
      <c r="B52" s="439"/>
      <c r="C52" s="452"/>
      <c r="D52" s="456"/>
      <c r="E52" s="412"/>
    </row>
    <row r="53" spans="2:5" ht="15.75">
      <c r="B53" s="439"/>
      <c r="C53" s="452"/>
      <c r="D53" s="456"/>
      <c r="E53" s="412"/>
    </row>
    <row r="54" spans="2:5" ht="15.75">
      <c r="B54" s="433" t="s">
        <v>889</v>
      </c>
      <c r="C54" s="452"/>
      <c r="D54" s="456"/>
      <c r="E54" s="412"/>
    </row>
    <row r="55" spans="2:5" ht="15.75">
      <c r="B55" s="418" t="s">
        <v>789</v>
      </c>
      <c r="C55" s="452"/>
      <c r="D55" s="264"/>
      <c r="E55" s="68"/>
    </row>
    <row r="56" spans="2:5" ht="15.75">
      <c r="B56" s="418" t="s">
        <v>360</v>
      </c>
      <c r="C56" s="269">
        <f>IF(C57*0.1&lt;C55,"Exceed 10% Rule","")</f>
      </c>
      <c r="D56" s="269">
        <f>IF(D57*0.1&lt;D55,"Exceed 10% Rule","")</f>
      </c>
      <c r="E56" s="309">
        <f>IF(E57*0.1+E76&lt;E55,"Exceed 10% Rule","")</f>
      </c>
    </row>
    <row r="57" spans="2:5" ht="15.75">
      <c r="B57" s="429" t="s">
        <v>890</v>
      </c>
      <c r="C57" s="453">
        <f>SUM(C45:C55)</f>
        <v>0</v>
      </c>
      <c r="D57" s="453">
        <f>SUM(D45:D55)</f>
        <v>0</v>
      </c>
      <c r="E57" s="434">
        <f>SUM(E46:E55)</f>
        <v>0</v>
      </c>
    </row>
    <row r="58" spans="2:5" ht="15.75">
      <c r="B58" s="429" t="s">
        <v>891</v>
      </c>
      <c r="C58" s="453">
        <f>SUM(C43+C57)</f>
        <v>0</v>
      </c>
      <c r="D58" s="453">
        <f>SUM(D43+D57)</f>
        <v>0</v>
      </c>
      <c r="E58" s="434">
        <f>SUM(E43+E57)</f>
        <v>0</v>
      </c>
    </row>
    <row r="59" spans="2:5" ht="15.75">
      <c r="B59" s="418" t="s">
        <v>893</v>
      </c>
      <c r="C59" s="418"/>
      <c r="D59" s="454"/>
      <c r="E59" s="419"/>
    </row>
    <row r="60" spans="2:5" ht="15.75">
      <c r="B60" s="439"/>
      <c r="C60" s="452"/>
      <c r="D60" s="456"/>
      <c r="E60" s="412"/>
    </row>
    <row r="61" spans="2:5" ht="15.75">
      <c r="B61" s="439"/>
      <c r="C61" s="452"/>
      <c r="D61" s="456"/>
      <c r="E61" s="412"/>
    </row>
    <row r="62" spans="2:5" ht="15.75">
      <c r="B62" s="439"/>
      <c r="C62" s="452"/>
      <c r="D62" s="456"/>
      <c r="E62" s="412"/>
    </row>
    <row r="63" spans="2:5" ht="15.75">
      <c r="B63" s="439"/>
      <c r="C63" s="452"/>
      <c r="D63" s="456"/>
      <c r="E63" s="412"/>
    </row>
    <row r="64" spans="2:5" ht="15.75">
      <c r="B64" s="439"/>
      <c r="C64" s="452"/>
      <c r="D64" s="456"/>
      <c r="E64" s="412"/>
    </row>
    <row r="65" spans="2:5" ht="15.75">
      <c r="B65" s="439"/>
      <c r="C65" s="452"/>
      <c r="D65" s="456"/>
      <c r="E65" s="412"/>
    </row>
    <row r="66" spans="2:6" ht="15.75">
      <c r="B66" s="421" t="s">
        <v>788</v>
      </c>
      <c r="C66" s="452"/>
      <c r="D66" s="456"/>
      <c r="E66" s="419">
        <f>nhood!E8</f>
      </c>
      <c r="F66" s="407"/>
    </row>
    <row r="67" spans="2:6" ht="15.75">
      <c r="B67" s="421" t="s">
        <v>789</v>
      </c>
      <c r="C67" s="521"/>
      <c r="D67" s="456"/>
      <c r="E67" s="412"/>
      <c r="F67" s="407"/>
    </row>
    <row r="68" spans="2:6" ht="15.75">
      <c r="B68" s="421" t="s">
        <v>361</v>
      </c>
      <c r="C68" s="269">
        <f>IF(C69*0.1&lt;C67,"Exceed 10% Rule","")</f>
      </c>
      <c r="D68" s="269">
        <f>IF(D69*0.1&lt;D67,"Exceed 10% Rule","")</f>
      </c>
      <c r="E68" s="309">
        <f>IF(E69*0.1&lt;E67,"Exceed 10% Rule","")</f>
      </c>
      <c r="F68" s="407"/>
    </row>
    <row r="69" spans="2:6" ht="15.75">
      <c r="B69" s="429" t="s">
        <v>897</v>
      </c>
      <c r="C69" s="453">
        <f>SUM(C60:C67)</f>
        <v>0</v>
      </c>
      <c r="D69" s="453">
        <f>SUM(D60:D67)</f>
        <v>0</v>
      </c>
      <c r="E69" s="434">
        <f>SUM(E60:E67)</f>
        <v>0</v>
      </c>
      <c r="F69" s="407"/>
    </row>
    <row r="70" spans="2:6" ht="15.75">
      <c r="B70" s="418" t="s">
        <v>166</v>
      </c>
      <c r="C70" s="458">
        <f>SUM(C58-C69)</f>
        <v>0</v>
      </c>
      <c r="D70" s="458">
        <f>SUM(D58-D69)</f>
        <v>0</v>
      </c>
      <c r="E70" s="436" t="s">
        <v>870</v>
      </c>
      <c r="F70" s="407"/>
    </row>
    <row r="71" spans="2:6" ht="15.75">
      <c r="B71" s="423" t="str">
        <f>CONCATENATE("",E1-2,"/",E1-1," Budget Authority Amount:")</f>
        <v>2010/2011 Budget Authority Amount:</v>
      </c>
      <c r="C71" s="425">
        <f>inputOth!B63</f>
        <v>0</v>
      </c>
      <c r="D71" s="425">
        <f>inputPrYr!D20</f>
        <v>0</v>
      </c>
      <c r="E71" s="436" t="s">
        <v>870</v>
      </c>
      <c r="F71" s="431"/>
    </row>
    <row r="72" spans="2:6" ht="15.75">
      <c r="B72" s="423"/>
      <c r="C72" s="694" t="s">
        <v>46</v>
      </c>
      <c r="D72" s="695"/>
      <c r="E72" s="68"/>
      <c r="F72" s="465">
        <f>IF(E69/0.95-E69&lt;E72,"Exceeds 5%","")</f>
      </c>
    </row>
    <row r="73" spans="2:6" ht="15.75">
      <c r="B73" s="561" t="str">
        <f>CONCATENATE(C91,"     ",D91)</f>
        <v>     </v>
      </c>
      <c r="C73" s="696" t="s">
        <v>47</v>
      </c>
      <c r="D73" s="697"/>
      <c r="E73" s="419">
        <f>SUM(E69+E72)</f>
        <v>0</v>
      </c>
      <c r="F73" s="407"/>
    </row>
    <row r="74" spans="2:6" ht="15.75">
      <c r="B74" s="561" t="str">
        <f>CONCATENATE(C92,"     ",D92)</f>
        <v>     </v>
      </c>
      <c r="C74" s="432"/>
      <c r="D74" s="424" t="s">
        <v>898</v>
      </c>
      <c r="E74" s="413">
        <f>IF(E73-E58&gt;0,E73-E58,0)</f>
        <v>0</v>
      </c>
      <c r="F74" s="407"/>
    </row>
    <row r="75" spans="2:6" ht="15.75">
      <c r="B75" s="424"/>
      <c r="C75" s="405" t="s">
        <v>45</v>
      </c>
      <c r="D75" s="406">
        <f>inputOth!$E$48</f>
        <v>0.02</v>
      </c>
      <c r="E75" s="419">
        <f>ROUND(IF(D75&gt;0,(E74*D75),0),0)</f>
        <v>0</v>
      </c>
      <c r="F75" s="407"/>
    </row>
    <row r="76" spans="2:6" ht="15.75">
      <c r="B76" s="408"/>
      <c r="C76" s="703" t="s">
        <v>50</v>
      </c>
      <c r="D76" s="704"/>
      <c r="E76" s="437">
        <f>SUM(E74:E75)</f>
        <v>0</v>
      </c>
      <c r="F76" s="407"/>
    </row>
    <row r="77" spans="2:6" ht="15.75">
      <c r="B77" s="424" t="s">
        <v>900</v>
      </c>
      <c r="C77" s="438">
        <v>8</v>
      </c>
      <c r="D77" s="414"/>
      <c r="E77" s="408"/>
      <c r="F77" s="407"/>
    </row>
    <row r="79" spans="2:6" ht="15.75">
      <c r="B79" s="415"/>
      <c r="C79" s="415"/>
      <c r="D79" s="407"/>
      <c r="E79" s="407"/>
      <c r="F79" s="407"/>
    </row>
    <row r="84" spans="3:4" ht="15.75">
      <c r="C84" s="409" t="s">
        <v>49</v>
      </c>
      <c r="D84" s="409" t="s">
        <v>49</v>
      </c>
    </row>
    <row r="85" spans="3:4" ht="15.75">
      <c r="C85" s="409" t="s">
        <v>49</v>
      </c>
      <c r="D85" s="409" t="s">
        <v>49</v>
      </c>
    </row>
    <row r="87" spans="3:4" ht="15.75">
      <c r="C87" s="409" t="s">
        <v>49</v>
      </c>
      <c r="D87" s="409" t="s">
        <v>49</v>
      </c>
    </row>
    <row r="88" spans="3:4" ht="16.5" customHeight="1">
      <c r="C88" s="409" t="s">
        <v>49</v>
      </c>
      <c r="D88" s="409" t="s">
        <v>49</v>
      </c>
    </row>
    <row r="89" spans="3:4" ht="15" customHeight="1" hidden="1">
      <c r="C89" s="560">
        <f>IF(C32&gt;C34,"See Tab A","")</f>
      </c>
      <c r="D89" s="560">
        <f>IF(D32&gt;D34,"See Tab C","")</f>
      </c>
    </row>
    <row r="90" spans="3:4" ht="15.75" customHeight="1" hidden="1">
      <c r="C90" s="560">
        <f>IF(C33&lt;0,"See Tab B","")</f>
      </c>
      <c r="D90" s="560">
        <f>IF(D33&lt;0,"See Tab D","")</f>
      </c>
    </row>
    <row r="91" spans="3:4" ht="15" customHeight="1" hidden="1">
      <c r="C91" s="560">
        <f>IF(C66&gt;C70,"See Tab A","")</f>
      </c>
      <c r="D91" s="560">
        <f>IF(D66&gt;D70,"See Tab C","")</f>
      </c>
    </row>
    <row r="92" spans="3:4" ht="14.25" customHeight="1" hidden="1">
      <c r="C92" s="560">
        <f>IF(C70&lt;0,"See Tab B","")</f>
      </c>
      <c r="D92" s="560">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8"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8" operator="greaterThan" stopIfTrue="1">
      <formula>$E$20*0.1+E39</formula>
    </cfRule>
  </conditionalFormatting>
  <conditionalFormatting sqref="E35">
    <cfRule type="cellIs" priority="10" dxfId="8" operator="greaterThan" stopIfTrue="1">
      <formula>$E$32/0.95-$E$32</formula>
    </cfRule>
  </conditionalFormatting>
  <conditionalFormatting sqref="E72">
    <cfRule type="cellIs" priority="9" dxfId="8"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7" sqref="D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110</v>
      </c>
      <c r="C3" s="208"/>
      <c r="D3" s="208"/>
      <c r="E3" s="297"/>
    </row>
    <row r="4" spans="2:5" ht="15.75">
      <c r="B4" s="48"/>
      <c r="C4" s="298"/>
      <c r="D4" s="298"/>
      <c r="E4" s="298"/>
    </row>
    <row r="5" spans="2:5" ht="15.75">
      <c r="B5" s="53" t="s">
        <v>881</v>
      </c>
      <c r="C5" s="620" t="s">
        <v>903</v>
      </c>
      <c r="D5" s="621" t="s">
        <v>192</v>
      </c>
      <c r="E5" s="622" t="s">
        <v>193</v>
      </c>
    </row>
    <row r="6" spans="2:5" ht="15.75">
      <c r="B6" s="571">
        <f>inputPrYr!B21</f>
        <v>0</v>
      </c>
      <c r="C6" s="394">
        <f>E1-2</f>
        <v>2010</v>
      </c>
      <c r="D6" s="394">
        <f>E1-1</f>
        <v>2011</v>
      </c>
      <c r="E6" s="258">
        <f>E1</f>
        <v>2012</v>
      </c>
    </row>
    <row r="7" spans="2:5" ht="15.75">
      <c r="B7" s="259" t="s">
        <v>165</v>
      </c>
      <c r="C7" s="264"/>
      <c r="D7" s="262">
        <f>C33</f>
        <v>0</v>
      </c>
      <c r="E7" s="235">
        <f>D33</f>
        <v>0</v>
      </c>
    </row>
    <row r="8" spans="2:5" ht="15.75">
      <c r="B8" s="263" t="s">
        <v>167</v>
      </c>
      <c r="C8" s="162"/>
      <c r="D8" s="162"/>
      <c r="E8" s="88"/>
    </row>
    <row r="9" spans="2:5" ht="15.75">
      <c r="B9" s="153" t="s">
        <v>882</v>
      </c>
      <c r="C9" s="264"/>
      <c r="D9" s="262">
        <f>inputPrYr!E20</f>
        <v>0</v>
      </c>
      <c r="E9" s="294" t="s">
        <v>870</v>
      </c>
    </row>
    <row r="10" spans="2:5" ht="15.75">
      <c r="B10" s="153" t="s">
        <v>883</v>
      </c>
      <c r="C10" s="264"/>
      <c r="D10" s="264"/>
      <c r="E10" s="68"/>
    </row>
    <row r="11" spans="2:5" ht="15.75">
      <c r="B11" s="153" t="s">
        <v>884</v>
      </c>
      <c r="C11" s="264"/>
      <c r="D11" s="264"/>
      <c r="E11" s="235" t="str">
        <f>mvalloc!C10</f>
        <v>  </v>
      </c>
    </row>
    <row r="12" spans="2:5" ht="15.75">
      <c r="B12" s="153" t="s">
        <v>885</v>
      </c>
      <c r="C12" s="264"/>
      <c r="D12" s="264"/>
      <c r="E12" s="235" t="str">
        <f>mvalloc!D10</f>
        <v> </v>
      </c>
    </row>
    <row r="13" spans="2:5" ht="15.75">
      <c r="B13" s="162" t="s">
        <v>142</v>
      </c>
      <c r="C13" s="264"/>
      <c r="D13" s="264"/>
      <c r="E13" s="235" t="str">
        <f>mvalloc!E10</f>
        <v> </v>
      </c>
    </row>
    <row r="14" spans="2:5" ht="15.75">
      <c r="B14" s="295" t="s">
        <v>210</v>
      </c>
      <c r="C14" s="264"/>
      <c r="D14" s="264"/>
      <c r="E14" s="235" t="str">
        <f>mvalloc!F10</f>
        <v> </v>
      </c>
    </row>
    <row r="15" spans="2:5" ht="15.75">
      <c r="B15" s="280"/>
      <c r="C15" s="264"/>
      <c r="D15" s="264"/>
      <c r="E15" s="68"/>
    </row>
    <row r="16" spans="2:5" ht="15.75">
      <c r="B16" s="280"/>
      <c r="C16" s="264"/>
      <c r="D16" s="264"/>
      <c r="E16" s="68"/>
    </row>
    <row r="17" spans="2:5" ht="15.75">
      <c r="B17" s="280"/>
      <c r="C17" s="264"/>
      <c r="D17" s="264"/>
      <c r="E17" s="68"/>
    </row>
    <row r="18" spans="2:5" ht="15.75">
      <c r="B18" s="268" t="s">
        <v>889</v>
      </c>
      <c r="C18" s="264"/>
      <c r="D18" s="264"/>
      <c r="E18" s="68"/>
    </row>
    <row r="19" spans="2:5" ht="15.75">
      <c r="B19" s="162" t="s">
        <v>789</v>
      </c>
      <c r="C19" s="264"/>
      <c r="D19" s="264"/>
      <c r="E19" s="68"/>
    </row>
    <row r="20" spans="2:5" ht="15.75">
      <c r="B20" s="259" t="s">
        <v>360</v>
      </c>
      <c r="C20" s="269">
        <f>IF(C21*0.1&lt;C19,"Exceed 10% Rule","")</f>
      </c>
      <c r="D20" s="269">
        <f>IF(D21*0.1&lt;D19,"Exceed 10% Rule","")</f>
      </c>
      <c r="E20" s="309">
        <f>IF(E21*0.1+E39&lt;E19,"Exceed 10% Rule","")</f>
      </c>
    </row>
    <row r="21" spans="2:5" ht="15.75">
      <c r="B21" s="271" t="s">
        <v>890</v>
      </c>
      <c r="C21" s="273">
        <f>SUM(C9:C19)</f>
        <v>0</v>
      </c>
      <c r="D21" s="273">
        <f>SUM(D9:D19)</f>
        <v>0</v>
      </c>
      <c r="E21" s="274">
        <f>SUM(E9:E19)</f>
        <v>0</v>
      </c>
    </row>
    <row r="22" spans="2:5" ht="15.75">
      <c r="B22" s="271" t="s">
        <v>891</v>
      </c>
      <c r="C22" s="277">
        <f>C7+C21</f>
        <v>0</v>
      </c>
      <c r="D22" s="277">
        <f>D7+D21</f>
        <v>0</v>
      </c>
      <c r="E22" s="83">
        <f>E7+E21</f>
        <v>0</v>
      </c>
    </row>
    <row r="23" spans="2:5" ht="15.75">
      <c r="B23" s="153" t="s">
        <v>893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788</v>
      </c>
      <c r="C29" s="264"/>
      <c r="D29" s="264"/>
      <c r="E29" s="83">
        <f>nhood!E9</f>
      </c>
    </row>
    <row r="30" spans="2:5" ht="15.75">
      <c r="B30" s="281" t="s">
        <v>789</v>
      </c>
      <c r="C30" s="264"/>
      <c r="D30" s="264"/>
      <c r="E30" s="68"/>
    </row>
    <row r="31" spans="2:5" ht="15.75">
      <c r="B31" s="281" t="s">
        <v>361</v>
      </c>
      <c r="C31" s="269">
        <f>IF(C32*0.1&lt;C30,"Exceed 10% Rule","")</f>
      </c>
      <c r="D31" s="269">
        <f>IF(D32*0.1&lt;D30,"Exceed 10% Rule","")</f>
      </c>
      <c r="E31" s="309">
        <f>IF(E32*0.1&lt;E30,"Exceed 10% Rule","")</f>
      </c>
    </row>
    <row r="32" spans="2:5" ht="15.75">
      <c r="B32" s="271" t="s">
        <v>897</v>
      </c>
      <c r="C32" s="273">
        <f>SUM(C24:C30)</f>
        <v>0</v>
      </c>
      <c r="D32" s="273">
        <f>SUM(D24:D30)</f>
        <v>0</v>
      </c>
      <c r="E32" s="274">
        <f>SUM(E24:E30)</f>
        <v>0</v>
      </c>
    </row>
    <row r="33" spans="2:5" ht="15.75">
      <c r="B33" s="153" t="s">
        <v>166</v>
      </c>
      <c r="C33" s="277">
        <f>C22-C32</f>
        <v>0</v>
      </c>
      <c r="D33" s="277">
        <f>D22-D32</f>
        <v>0</v>
      </c>
      <c r="E33" s="294" t="s">
        <v>870</v>
      </c>
    </row>
    <row r="34" spans="2:6" ht="15.75">
      <c r="B34" s="139" t="str">
        <f>CONCATENATE("",E1-2,"/",E1-1," Budget Authority Amount:")</f>
        <v>2010/2011 Budget Authority Amount:</v>
      </c>
      <c r="C34" s="248">
        <f>inputOth!B64</f>
        <v>0</v>
      </c>
      <c r="D34" s="248">
        <f>inputPrYr!D21</f>
        <v>0</v>
      </c>
      <c r="E34" s="294" t="s">
        <v>870</v>
      </c>
      <c r="F34" s="283"/>
    </row>
    <row r="35" spans="2:6" ht="15.75">
      <c r="B35" s="139"/>
      <c r="C35" s="694" t="s">
        <v>46</v>
      </c>
      <c r="D35" s="695"/>
      <c r="E35" s="68"/>
      <c r="F35" s="283">
        <f>IF(E32/0.95-E32&lt;E35,"Exceeds 5%","")</f>
      </c>
    </row>
    <row r="36" spans="2:5" ht="15.75">
      <c r="B36" s="561" t="str">
        <f>CONCATENATE(C90,"     ",D90)</f>
        <v>     </v>
      </c>
      <c r="C36" s="696" t="s">
        <v>47</v>
      </c>
      <c r="D36" s="697"/>
      <c r="E36" s="235">
        <f>E32+E35</f>
        <v>0</v>
      </c>
    </row>
    <row r="37" spans="2:5" ht="15.75">
      <c r="B37" s="561" t="str">
        <f>CONCATENATE(C91,"     ",D91)</f>
        <v>     </v>
      </c>
      <c r="C37" s="284"/>
      <c r="D37" s="172" t="s">
        <v>898</v>
      </c>
      <c r="E37" s="83">
        <f>IF(E36-E22&gt;0,E36-E22,0)</f>
        <v>0</v>
      </c>
    </row>
    <row r="38" spans="2:5" ht="15.75">
      <c r="B38" s="172"/>
      <c r="C38" s="405" t="s">
        <v>45</v>
      </c>
      <c r="D38" s="406">
        <f>inputOth!$E$48</f>
        <v>0.02</v>
      </c>
      <c r="E38" s="235">
        <f>ROUND(IF(D38&gt;0,(E37*D38),0),0)</f>
        <v>0</v>
      </c>
    </row>
    <row r="39" spans="2:5" ht="15.75">
      <c r="B39" s="172"/>
      <c r="C39" s="698" t="str">
        <f>CONCATENATE("Amount of  ",$E$1-1," Ad Valorem Tax")</f>
        <v>Amount of  2011 Ad Valorem Tax</v>
      </c>
      <c r="D39" s="699"/>
      <c r="E39" s="299">
        <f>E37+E38</f>
        <v>0</v>
      </c>
    </row>
    <row r="40" spans="2:5" ht="15.75">
      <c r="B40" s="48"/>
      <c r="C40" s="698"/>
      <c r="D40" s="705"/>
      <c r="E40" s="77"/>
    </row>
    <row r="41" spans="2:5" ht="15.75">
      <c r="B41" s="53" t="s">
        <v>881</v>
      </c>
      <c r="C41" s="298"/>
      <c r="D41" s="298"/>
      <c r="E41" s="298"/>
    </row>
    <row r="42" spans="2:5" ht="15.75">
      <c r="B42" s="48"/>
      <c r="C42" s="620" t="s">
        <v>903</v>
      </c>
      <c r="D42" s="621" t="s">
        <v>192</v>
      </c>
      <c r="E42" s="622" t="s">
        <v>193</v>
      </c>
    </row>
    <row r="43" spans="2:5" ht="15.75">
      <c r="B43" s="571">
        <f>(inputPrYr!B22)</f>
        <v>0</v>
      </c>
      <c r="C43" s="394">
        <f>E1-2</f>
        <v>2010</v>
      </c>
      <c r="D43" s="394">
        <f>E1-1</f>
        <v>2011</v>
      </c>
      <c r="E43" s="258">
        <f>E1</f>
        <v>2012</v>
      </c>
    </row>
    <row r="44" spans="2:5" ht="15.75">
      <c r="B44" s="259" t="s">
        <v>165</v>
      </c>
      <c r="C44" s="264"/>
      <c r="D44" s="262">
        <f>C70</f>
        <v>0</v>
      </c>
      <c r="E44" s="235">
        <f>D70</f>
        <v>0</v>
      </c>
    </row>
    <row r="45" spans="2:5" ht="15.75">
      <c r="B45" s="263" t="s">
        <v>167</v>
      </c>
      <c r="C45" s="162"/>
      <c r="D45" s="162"/>
      <c r="E45" s="88"/>
    </row>
    <row r="46" spans="2:5" ht="15.75">
      <c r="B46" s="153" t="s">
        <v>882</v>
      </c>
      <c r="C46" s="264"/>
      <c r="D46" s="262">
        <f>inputPrYr!E21</f>
        <v>0</v>
      </c>
      <c r="E46" s="294" t="s">
        <v>870</v>
      </c>
    </row>
    <row r="47" spans="2:5" ht="15.75">
      <c r="B47" s="153" t="s">
        <v>883</v>
      </c>
      <c r="C47" s="264"/>
      <c r="D47" s="264"/>
      <c r="E47" s="68"/>
    </row>
    <row r="48" spans="2:5" ht="15.75">
      <c r="B48" s="153" t="s">
        <v>884</v>
      </c>
      <c r="C48" s="264"/>
      <c r="D48" s="264"/>
      <c r="E48" s="235" t="str">
        <f>mvalloc!C11</f>
        <v>  </v>
      </c>
    </row>
    <row r="49" spans="2:5" ht="15.75">
      <c r="B49" s="153" t="s">
        <v>885</v>
      </c>
      <c r="C49" s="264"/>
      <c r="D49" s="264"/>
      <c r="E49" s="235" t="str">
        <f>mvalloc!D11</f>
        <v> </v>
      </c>
    </row>
    <row r="50" spans="2:5" ht="15.75">
      <c r="B50" s="162" t="s">
        <v>142</v>
      </c>
      <c r="C50" s="264"/>
      <c r="D50" s="264"/>
      <c r="E50" s="235" t="str">
        <f>mvalloc!E11</f>
        <v> </v>
      </c>
    </row>
    <row r="51" spans="2:5" ht="15.75">
      <c r="B51" s="295" t="s">
        <v>210</v>
      </c>
      <c r="C51" s="264"/>
      <c r="D51" s="264"/>
      <c r="E51" s="235" t="str">
        <f>mvalloc!F11</f>
        <v> </v>
      </c>
    </row>
    <row r="52" spans="2:5" ht="15.75">
      <c r="B52" s="280"/>
      <c r="C52" s="264"/>
      <c r="D52" s="264"/>
      <c r="E52" s="68"/>
    </row>
    <row r="53" spans="2:5" ht="15.75">
      <c r="B53" s="280"/>
      <c r="C53" s="264"/>
      <c r="D53" s="264"/>
      <c r="E53" s="68"/>
    </row>
    <row r="54" spans="2:5" ht="15.75">
      <c r="B54" s="280"/>
      <c r="C54" s="264"/>
      <c r="D54" s="264"/>
      <c r="E54" s="68"/>
    </row>
    <row r="55" spans="2:5" ht="15.75">
      <c r="B55" s="268" t="s">
        <v>889</v>
      </c>
      <c r="C55" s="264"/>
      <c r="D55" s="264"/>
      <c r="E55" s="68"/>
    </row>
    <row r="56" spans="2:5" ht="15.75">
      <c r="B56" s="162" t="s">
        <v>789</v>
      </c>
      <c r="C56" s="264"/>
      <c r="D56" s="264"/>
      <c r="E56" s="68"/>
    </row>
    <row r="57" spans="2:5" ht="15.75">
      <c r="B57" s="259" t="s">
        <v>360</v>
      </c>
      <c r="C57" s="269">
        <f>IF(C58*0.1&lt;C56,"Exceed 10% Rule","")</f>
      </c>
      <c r="D57" s="269">
        <f>IF(D58*0.1&lt;D56,"Exceed 10% Rule","")</f>
      </c>
      <c r="E57" s="309">
        <f>IF(E58*0.1+E76&lt;E56,"Exceed 10% Rule","")</f>
      </c>
    </row>
    <row r="58" spans="2:5" ht="15.75">
      <c r="B58" s="271" t="s">
        <v>890</v>
      </c>
      <c r="C58" s="273">
        <f>SUM(C46:C56)</f>
        <v>0</v>
      </c>
      <c r="D58" s="273">
        <f>SUM(D46:D56)</f>
        <v>0</v>
      </c>
      <c r="E58" s="274">
        <f>SUM(E46:E56)</f>
        <v>0</v>
      </c>
    </row>
    <row r="59" spans="2:5" ht="15.75">
      <c r="B59" s="271" t="s">
        <v>891</v>
      </c>
      <c r="C59" s="273">
        <f>C44+C58</f>
        <v>0</v>
      </c>
      <c r="D59" s="273">
        <f>D44+D58</f>
        <v>0</v>
      </c>
      <c r="E59" s="274">
        <f>E44+E58</f>
        <v>0</v>
      </c>
    </row>
    <row r="60" spans="2:5" ht="15.75">
      <c r="B60" s="153" t="s">
        <v>893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788</v>
      </c>
      <c r="C66" s="264"/>
      <c r="D66" s="264"/>
      <c r="E66" s="83">
        <f>nhood!E10</f>
      </c>
    </row>
    <row r="67" spans="2:5" ht="15.75">
      <c r="B67" s="281" t="s">
        <v>789</v>
      </c>
      <c r="C67" s="264"/>
      <c r="D67" s="264"/>
      <c r="E67" s="68"/>
    </row>
    <row r="68" spans="2:5" ht="15.75">
      <c r="B68" s="281" t="s">
        <v>361</v>
      </c>
      <c r="C68" s="269">
        <f>IF(C69*0.1&lt;C67,"Exceed 10% Rule","")</f>
      </c>
      <c r="D68" s="269">
        <f>IF(D69*0.1&lt;D67,"Exceed 10% Rule","")</f>
      </c>
      <c r="E68" s="309">
        <f>IF(E69*0.1&lt;E67,"Exceed 10% Rule","")</f>
      </c>
    </row>
    <row r="69" spans="2:5" ht="15.75">
      <c r="B69" s="271" t="s">
        <v>897</v>
      </c>
      <c r="C69" s="273">
        <f>SUM(C61:C67)</f>
        <v>0</v>
      </c>
      <c r="D69" s="273">
        <f>SUM(D61:D67)</f>
        <v>0</v>
      </c>
      <c r="E69" s="274">
        <f>SUM(E61:E67)</f>
        <v>0</v>
      </c>
    </row>
    <row r="70" spans="2:5" ht="15.75">
      <c r="B70" s="153" t="s">
        <v>166</v>
      </c>
      <c r="C70" s="277">
        <f>C59-C69</f>
        <v>0</v>
      </c>
      <c r="D70" s="277">
        <f>D59-D69</f>
        <v>0</v>
      </c>
      <c r="E70" s="294" t="s">
        <v>870</v>
      </c>
    </row>
    <row r="71" spans="2:6" ht="15.75">
      <c r="B71" s="139" t="str">
        <f>CONCATENATE("",E1-2,"/",E1-1," Budget Authority Amount:")</f>
        <v>2010/2011 Budget Authority Amount:</v>
      </c>
      <c r="C71" s="248">
        <f>inputOth!B65</f>
        <v>0</v>
      </c>
      <c r="D71" s="248">
        <f>inputPrYr!D22</f>
        <v>0</v>
      </c>
      <c r="E71" s="294" t="s">
        <v>870</v>
      </c>
      <c r="F71" s="283"/>
    </row>
    <row r="72" spans="2:6" ht="15.75">
      <c r="B72" s="139"/>
      <c r="C72" s="694" t="s">
        <v>46</v>
      </c>
      <c r="D72" s="695"/>
      <c r="E72" s="68"/>
      <c r="F72" s="283">
        <f>IF(E69/0.95-E69&lt;E72,"Exceeds 5%","")</f>
      </c>
    </row>
    <row r="73" spans="2:5" ht="15.75">
      <c r="B73" s="561" t="str">
        <f>CONCATENATE(C92,"     ",D92)</f>
        <v>     </v>
      </c>
      <c r="C73" s="696" t="s">
        <v>47</v>
      </c>
      <c r="D73" s="697"/>
      <c r="E73" s="235">
        <f>E69+E72</f>
        <v>0</v>
      </c>
    </row>
    <row r="74" spans="2:5" ht="15.75">
      <c r="B74" s="561" t="str">
        <f>CONCATENATE(C93,"     ",D93)</f>
        <v>     </v>
      </c>
      <c r="C74" s="284"/>
      <c r="D74" s="172" t="s">
        <v>898</v>
      </c>
      <c r="E74" s="83">
        <f>IF(E73-E59&gt;0,E73-E59,0)</f>
        <v>0</v>
      </c>
    </row>
    <row r="75" spans="2:5" ht="15.75">
      <c r="B75" s="172"/>
      <c r="C75" s="405" t="s">
        <v>45</v>
      </c>
      <c r="D75" s="406">
        <f>inputOth!$E$48</f>
        <v>0.02</v>
      </c>
      <c r="E75" s="235">
        <f>ROUND(IF(D75&gt;0,(E74*D75),0),0)</f>
        <v>0</v>
      </c>
    </row>
    <row r="76" spans="2:5" ht="15.75">
      <c r="B76" s="48"/>
      <c r="C76" s="698" t="str">
        <f>CONCATENATE("Amount of  ",$E$1-1," Ad Valorem Tax")</f>
        <v>Amount of  2011 Ad Valorem Tax</v>
      </c>
      <c r="D76" s="699"/>
      <c r="E76" s="299">
        <f>E74+E75</f>
        <v>0</v>
      </c>
    </row>
    <row r="77" spans="2:5" ht="15.75">
      <c r="B77" s="424" t="s">
        <v>900</v>
      </c>
      <c r="C77" s="289"/>
      <c r="D77" s="48"/>
      <c r="E77" s="48"/>
    </row>
    <row r="78" ht="15.75">
      <c r="B78" s="33"/>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35:D35"/>
    <mergeCell ref="C36:D36"/>
    <mergeCell ref="C40:D40"/>
    <mergeCell ref="C76:D76"/>
    <mergeCell ref="C39:D39"/>
    <mergeCell ref="C72:D72"/>
    <mergeCell ref="C73:D73"/>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8" operator="greaterThan" stopIfTrue="1">
      <formula>$E$21*0.1+E39</formula>
    </cfRule>
  </conditionalFormatting>
  <conditionalFormatting sqref="E56">
    <cfRule type="cellIs" priority="21" dxfId="8"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61">
      <selection activeCell="D66" sqref="D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110</v>
      </c>
      <c r="C3" s="208"/>
      <c r="D3" s="208"/>
      <c r="E3" s="297"/>
    </row>
    <row r="4" spans="2:5" ht="15.75">
      <c r="B4" s="48"/>
      <c r="C4" s="298"/>
      <c r="D4" s="298"/>
      <c r="E4" s="298"/>
    </row>
    <row r="5" spans="2:5" ht="15.75">
      <c r="B5" s="53" t="s">
        <v>881</v>
      </c>
      <c r="C5" s="620" t="s">
        <v>903</v>
      </c>
      <c r="D5" s="621" t="s">
        <v>192</v>
      </c>
      <c r="E5" s="622" t="s">
        <v>193</v>
      </c>
    </row>
    <row r="6" spans="2:5" ht="15.75">
      <c r="B6" s="571">
        <f>inputPrYr!B23</f>
        <v>0</v>
      </c>
      <c r="C6" s="394">
        <f>E1-2</f>
        <v>2010</v>
      </c>
      <c r="D6" s="394">
        <f>E1-1</f>
        <v>2011</v>
      </c>
      <c r="E6" s="258">
        <f>E1</f>
        <v>2012</v>
      </c>
    </row>
    <row r="7" spans="2:5" ht="15.75">
      <c r="B7" s="259" t="s">
        <v>165</v>
      </c>
      <c r="C7" s="264"/>
      <c r="D7" s="262">
        <f>C33</f>
        <v>0</v>
      </c>
      <c r="E7" s="235">
        <f>D33</f>
        <v>0</v>
      </c>
    </row>
    <row r="8" spans="2:5" ht="15.75">
      <c r="B8" s="263" t="s">
        <v>167</v>
      </c>
      <c r="C8" s="262"/>
      <c r="D8" s="262"/>
      <c r="E8" s="235"/>
    </row>
    <row r="9" spans="2:5" ht="15.75">
      <c r="B9" s="153" t="s">
        <v>882</v>
      </c>
      <c r="C9" s="264"/>
      <c r="D9" s="262">
        <f>inputPrYr!E22</f>
        <v>0</v>
      </c>
      <c r="E9" s="294" t="s">
        <v>870</v>
      </c>
    </row>
    <row r="10" spans="2:5" ht="15.75">
      <c r="B10" s="153" t="s">
        <v>883</v>
      </c>
      <c r="C10" s="264"/>
      <c r="D10" s="264"/>
      <c r="E10" s="68"/>
    </row>
    <row r="11" spans="2:5" ht="15.75">
      <c r="B11" s="153" t="s">
        <v>884</v>
      </c>
      <c r="C11" s="264"/>
      <c r="D11" s="264"/>
      <c r="E11" s="235" t="str">
        <f>mvalloc!C12</f>
        <v>  </v>
      </c>
    </row>
    <row r="12" spans="2:5" ht="15.75">
      <c r="B12" s="153" t="s">
        <v>885</v>
      </c>
      <c r="C12" s="264"/>
      <c r="D12" s="264"/>
      <c r="E12" s="235" t="str">
        <f>mvalloc!D12</f>
        <v> </v>
      </c>
    </row>
    <row r="13" spans="2:5" ht="15.75">
      <c r="B13" s="162" t="s">
        <v>142</v>
      </c>
      <c r="C13" s="264"/>
      <c r="D13" s="264"/>
      <c r="E13" s="235" t="str">
        <f>mvalloc!E12</f>
        <v> </v>
      </c>
    </row>
    <row r="14" spans="2:5" ht="15.75">
      <c r="B14" s="295" t="s">
        <v>210</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889</v>
      </c>
      <c r="C18" s="264"/>
      <c r="D18" s="264"/>
      <c r="E18" s="68"/>
    </row>
    <row r="19" spans="2:5" ht="15.75">
      <c r="B19" s="162" t="s">
        <v>789</v>
      </c>
      <c r="C19" s="264"/>
      <c r="D19" s="264"/>
      <c r="E19" s="68"/>
    </row>
    <row r="20" spans="2:5" ht="15.75">
      <c r="B20" s="259" t="s">
        <v>360</v>
      </c>
      <c r="C20" s="269">
        <f>IF(C21*0.1&lt;C19,"Exceed 10% Rule","")</f>
      </c>
      <c r="D20" s="269">
        <f>IF(D21*0.1&lt;D19,"Exceed 10% Rule","")</f>
      </c>
      <c r="E20" s="309">
        <f>IF(E21*0.1+E39&lt;E19,"Exceed 10% Rule","")</f>
      </c>
    </row>
    <row r="21" spans="2:5" ht="15.75">
      <c r="B21" s="271" t="s">
        <v>890</v>
      </c>
      <c r="C21" s="273">
        <f>SUM(C9:C19)</f>
        <v>0</v>
      </c>
      <c r="D21" s="273">
        <f>SUM(D9:D19)</f>
        <v>0</v>
      </c>
      <c r="E21" s="274">
        <f>SUM(E9:E19)</f>
        <v>0</v>
      </c>
    </row>
    <row r="22" spans="2:5" ht="15.75">
      <c r="B22" s="271" t="s">
        <v>891</v>
      </c>
      <c r="C22" s="273">
        <f>C7+C21</f>
        <v>0</v>
      </c>
      <c r="D22" s="273">
        <f>D7+D21</f>
        <v>0</v>
      </c>
      <c r="E22" s="274">
        <f>E7+E21</f>
        <v>0</v>
      </c>
    </row>
    <row r="23" spans="2:6" ht="15.75">
      <c r="B23" s="153" t="s">
        <v>893</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788</v>
      </c>
      <c r="C29" s="264"/>
      <c r="D29" s="264"/>
      <c r="E29" s="83">
        <f>nhood!E11</f>
      </c>
      <c r="G29" s="300"/>
    </row>
    <row r="30" spans="2:7" ht="15.75">
      <c r="B30" s="281" t="s">
        <v>789</v>
      </c>
      <c r="C30" s="264"/>
      <c r="D30" s="264"/>
      <c r="E30" s="68"/>
      <c r="G30" s="300"/>
    </row>
    <row r="31" spans="2:7" ht="15.75">
      <c r="B31" s="281" t="s">
        <v>361</v>
      </c>
      <c r="C31" s="269">
        <f>IF(C32*0.1&lt;C30,"Exceed 10% Rule","")</f>
      </c>
      <c r="D31" s="269">
        <f>IF(D32*0.1&lt;D30,"Exceed 10% Rule","")</f>
      </c>
      <c r="E31" s="309">
        <f>IF(E32*0.1&lt;E30,"Exceed 10% Rule","")</f>
      </c>
      <c r="G31" s="300"/>
    </row>
    <row r="32" spans="2:5" ht="15.75">
      <c r="B32" s="271" t="s">
        <v>897</v>
      </c>
      <c r="C32" s="273">
        <f>SUM(C24:C30)</f>
        <v>0</v>
      </c>
      <c r="D32" s="273">
        <f>SUM(D24:D30)</f>
        <v>0</v>
      </c>
      <c r="E32" s="274">
        <f>SUM(E24:E30)</f>
        <v>0</v>
      </c>
    </row>
    <row r="33" spans="2:5" ht="15.75">
      <c r="B33" s="153" t="s">
        <v>166</v>
      </c>
      <c r="C33" s="277">
        <f>C22-C32</f>
        <v>0</v>
      </c>
      <c r="D33" s="277">
        <f>D22-D32</f>
        <v>0</v>
      </c>
      <c r="E33" s="294" t="s">
        <v>870</v>
      </c>
    </row>
    <row r="34" spans="2:6" ht="15.75">
      <c r="B34" s="139" t="str">
        <f>CONCATENATE("",E1-2,"/",E1-1," Budget Authority Amount:")</f>
        <v>2010/2011 Budget Authority Amount:</v>
      </c>
      <c r="C34" s="248">
        <f>inputOth!B66</f>
        <v>0</v>
      </c>
      <c r="D34" s="248">
        <f>inputPrYr!D23</f>
        <v>0</v>
      </c>
      <c r="E34" s="294" t="s">
        <v>870</v>
      </c>
      <c r="F34" s="283"/>
    </row>
    <row r="35" spans="2:6" ht="15.75">
      <c r="B35" s="139"/>
      <c r="C35" s="694" t="s">
        <v>46</v>
      </c>
      <c r="D35" s="695"/>
      <c r="E35" s="68"/>
      <c r="F35" s="283">
        <f>IF(E32/0.95-E32&lt;E35,"Exceeds 5%","")</f>
      </c>
    </row>
    <row r="36" spans="2:7" ht="15.75">
      <c r="B36" s="561" t="str">
        <f>CONCATENATE(C90,"     ",D90)</f>
        <v>     </v>
      </c>
      <c r="C36" s="696" t="s">
        <v>47</v>
      </c>
      <c r="D36" s="697"/>
      <c r="E36" s="235">
        <f>E32+E35</f>
        <v>0</v>
      </c>
      <c r="G36" s="300"/>
    </row>
    <row r="37" spans="2:5" ht="15.75">
      <c r="B37" s="561" t="str">
        <f>CONCATENATE(C91,"     ",D91)</f>
        <v>     </v>
      </c>
      <c r="C37" s="284"/>
      <c r="D37" s="172" t="s">
        <v>898</v>
      </c>
      <c r="E37" s="83">
        <f>IF(E36-E22&gt;0,E36-E22,0)</f>
        <v>0</v>
      </c>
    </row>
    <row r="38" spans="2:5" ht="15.75">
      <c r="B38" s="172"/>
      <c r="C38" s="405" t="s">
        <v>45</v>
      </c>
      <c r="D38" s="406">
        <f>inputOth!$E$48</f>
        <v>0.02</v>
      </c>
      <c r="E38" s="235">
        <f>ROUND(IF(D38&gt;0,(E37*D38),0),0)</f>
        <v>0</v>
      </c>
    </row>
    <row r="39" spans="2:5" ht="15.75">
      <c r="B39" s="172"/>
      <c r="C39" s="698" t="str">
        <f>CONCATENATE("Amount of  ",$E$1-1," Ad Valorem Tax")</f>
        <v>Amount of  2011 Ad Valorem Tax</v>
      </c>
      <c r="D39" s="699"/>
      <c r="E39" s="299">
        <f>E37+E38</f>
        <v>0</v>
      </c>
    </row>
    <row r="40" spans="2:5" ht="15.75">
      <c r="B40" s="48"/>
      <c r="C40" s="698"/>
      <c r="D40" s="705"/>
      <c r="E40" s="77"/>
    </row>
    <row r="41" spans="2:5" ht="15.75">
      <c r="B41" s="53" t="s">
        <v>881</v>
      </c>
      <c r="C41" s="298"/>
      <c r="D41" s="298"/>
      <c r="E41" s="298"/>
    </row>
    <row r="42" spans="2:5" ht="15.75">
      <c r="B42" s="48"/>
      <c r="C42" s="620" t="s">
        <v>903</v>
      </c>
      <c r="D42" s="621" t="s">
        <v>192</v>
      </c>
      <c r="E42" s="622" t="s">
        <v>193</v>
      </c>
    </row>
    <row r="43" spans="2:5" ht="15.75">
      <c r="B43" s="571">
        <f>inputPrYr!B24</f>
        <v>0</v>
      </c>
      <c r="C43" s="394">
        <f>E1-2</f>
        <v>2010</v>
      </c>
      <c r="D43" s="394">
        <f>E1-1</f>
        <v>2011</v>
      </c>
      <c r="E43" s="258">
        <f>E1</f>
        <v>2012</v>
      </c>
    </row>
    <row r="44" spans="2:5" ht="15.75">
      <c r="B44" s="259" t="s">
        <v>165</v>
      </c>
      <c r="C44" s="264"/>
      <c r="D44" s="262">
        <f>C70</f>
        <v>0</v>
      </c>
      <c r="E44" s="235">
        <f>D70</f>
        <v>0</v>
      </c>
    </row>
    <row r="45" spans="2:5" ht="15.75">
      <c r="B45" s="263" t="s">
        <v>167</v>
      </c>
      <c r="C45" s="162"/>
      <c r="D45" s="162"/>
      <c r="E45" s="88"/>
    </row>
    <row r="46" spans="2:5" ht="15.75">
      <c r="B46" s="153" t="s">
        <v>882</v>
      </c>
      <c r="C46" s="264"/>
      <c r="D46" s="262">
        <f>inputPrYr!E23</f>
        <v>0</v>
      </c>
      <c r="E46" s="294" t="s">
        <v>870</v>
      </c>
    </row>
    <row r="47" spans="2:5" ht="15.75">
      <c r="B47" s="153" t="s">
        <v>883</v>
      </c>
      <c r="C47" s="264"/>
      <c r="D47" s="264"/>
      <c r="E47" s="68"/>
    </row>
    <row r="48" spans="2:5" ht="15.75">
      <c r="B48" s="153" t="s">
        <v>884</v>
      </c>
      <c r="C48" s="264"/>
      <c r="D48" s="264"/>
      <c r="E48" s="235" t="str">
        <f>mvalloc!C13</f>
        <v>  </v>
      </c>
    </row>
    <row r="49" spans="2:5" ht="15.75">
      <c r="B49" s="153" t="s">
        <v>885</v>
      </c>
      <c r="C49" s="264"/>
      <c r="D49" s="264"/>
      <c r="E49" s="235" t="str">
        <f>mvalloc!D13</f>
        <v> </v>
      </c>
    </row>
    <row r="50" spans="2:5" ht="15.75">
      <c r="B50" s="162" t="s">
        <v>142</v>
      </c>
      <c r="C50" s="264"/>
      <c r="D50" s="264"/>
      <c r="E50" s="235" t="str">
        <f>mvalloc!E13</f>
        <v> </v>
      </c>
    </row>
    <row r="51" spans="2:5" ht="15.75">
      <c r="B51" s="295" t="s">
        <v>210</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889</v>
      </c>
      <c r="C55" s="264"/>
      <c r="D55" s="264"/>
      <c r="E55" s="68"/>
    </row>
    <row r="56" spans="2:5" ht="15.75">
      <c r="B56" s="162" t="s">
        <v>789</v>
      </c>
      <c r="C56" s="264"/>
      <c r="D56" s="264"/>
      <c r="E56" s="68"/>
    </row>
    <row r="57" spans="2:5" ht="15.75">
      <c r="B57" s="259" t="s">
        <v>360</v>
      </c>
      <c r="C57" s="269">
        <f>IF(C58*0.1&lt;C56,"Exceed 10% Rule","")</f>
      </c>
      <c r="D57" s="269">
        <f>IF(D58*0.1&lt;D56,"Exceed 10% Rule","")</f>
      </c>
      <c r="E57" s="309">
        <f>IF(E58*0.1+E76&lt;E56,"Exceed 10% Rule","")</f>
      </c>
    </row>
    <row r="58" spans="2:5" ht="15.75">
      <c r="B58" s="271" t="s">
        <v>890</v>
      </c>
      <c r="C58" s="273">
        <f>SUM(C46:C56)</f>
        <v>0</v>
      </c>
      <c r="D58" s="273">
        <f>SUM(D46:D56)</f>
        <v>0</v>
      </c>
      <c r="E58" s="274">
        <f>SUM(E47:E56)</f>
        <v>0</v>
      </c>
    </row>
    <row r="59" spans="2:5" ht="15.75">
      <c r="B59" s="271" t="s">
        <v>891</v>
      </c>
      <c r="C59" s="273">
        <f>C44+C58</f>
        <v>0</v>
      </c>
      <c r="D59" s="273">
        <f>D44+D58</f>
        <v>0</v>
      </c>
      <c r="E59" s="274">
        <f>E44+E58</f>
        <v>0</v>
      </c>
    </row>
    <row r="60" spans="2:5" ht="15.75">
      <c r="B60" s="153" t="s">
        <v>893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788</v>
      </c>
      <c r="C66" s="264"/>
      <c r="D66" s="264"/>
      <c r="E66" s="83">
        <f>nhood!E12</f>
      </c>
    </row>
    <row r="67" spans="2:5" ht="15.75">
      <c r="B67" s="281" t="s">
        <v>789</v>
      </c>
      <c r="C67" s="264"/>
      <c r="D67" s="264"/>
      <c r="E67" s="68"/>
    </row>
    <row r="68" spans="2:5" ht="15.75">
      <c r="B68" s="281" t="s">
        <v>361</v>
      </c>
      <c r="C68" s="269">
        <f>IF(C69*0.1&lt;C67,"Exceed 10% Rule","")</f>
      </c>
      <c r="D68" s="269">
        <f>IF(D69*0.1&lt;D67,"Exceed 10% Rule","")</f>
      </c>
      <c r="E68" s="309">
        <f>IF(E69*0.1&lt;E67,"Exceed 10% Rule","")</f>
      </c>
    </row>
    <row r="69" spans="2:5" ht="15.75">
      <c r="B69" s="271" t="s">
        <v>897</v>
      </c>
      <c r="C69" s="273">
        <f>SUM(C61:C67)</f>
        <v>0</v>
      </c>
      <c r="D69" s="273">
        <f>SUM(D61:D67)</f>
        <v>0</v>
      </c>
      <c r="E69" s="274">
        <f>SUM(E61:E67)</f>
        <v>0</v>
      </c>
    </row>
    <row r="70" spans="2:5" ht="15.75">
      <c r="B70" s="153" t="s">
        <v>166</v>
      </c>
      <c r="C70" s="277">
        <f>C59-C69</f>
        <v>0</v>
      </c>
      <c r="D70" s="277">
        <f>D59-D69</f>
        <v>0</v>
      </c>
      <c r="E70" s="294" t="s">
        <v>870</v>
      </c>
    </row>
    <row r="71" spans="2:6" ht="15.75">
      <c r="B71" s="139" t="str">
        <f>CONCATENATE("",E1-2,"/",E1-1," Budget Authority Amount:")</f>
        <v>2010/2011 Budget Authority Amount:</v>
      </c>
      <c r="C71" s="248">
        <f>inputOth!B67</f>
        <v>0</v>
      </c>
      <c r="D71" s="248">
        <f>inputPrYr!D24</f>
        <v>0</v>
      </c>
      <c r="E71" s="294" t="s">
        <v>870</v>
      </c>
      <c r="F71" s="283"/>
    </row>
    <row r="72" spans="2:6" ht="15.75">
      <c r="B72" s="139"/>
      <c r="C72" s="694" t="s">
        <v>46</v>
      </c>
      <c r="D72" s="695"/>
      <c r="E72" s="68"/>
      <c r="F72" s="283">
        <f>IF(E69/0.95-E69&lt;E72,"Exceeds 5%","")</f>
      </c>
    </row>
    <row r="73" spans="2:5" ht="15.75">
      <c r="B73" s="561" t="str">
        <f>CONCATENATE(C92,"     ",D92)</f>
        <v>     </v>
      </c>
      <c r="C73" s="696" t="s">
        <v>47</v>
      </c>
      <c r="D73" s="697"/>
      <c r="E73" s="235">
        <f>E69+E72</f>
        <v>0</v>
      </c>
    </row>
    <row r="74" spans="2:5" ht="15.75">
      <c r="B74" s="561" t="str">
        <f>CONCATENATE(C93,"     ",D93)</f>
        <v>     </v>
      </c>
      <c r="C74" s="284"/>
      <c r="D74" s="172" t="s">
        <v>898</v>
      </c>
      <c r="E74" s="83">
        <f>IF(E73-E59&gt;0,E73-E59,0)</f>
        <v>0</v>
      </c>
    </row>
    <row r="75" spans="2:5" ht="15.75">
      <c r="B75" s="172"/>
      <c r="C75" s="405" t="s">
        <v>45</v>
      </c>
      <c r="D75" s="406">
        <f>inputOth!$E$48</f>
        <v>0.02</v>
      </c>
      <c r="E75" s="235">
        <f>ROUND(IF(D75&gt;0,(E74*D75),0),0)</f>
        <v>0</v>
      </c>
    </row>
    <row r="76" spans="2:5" ht="15.75">
      <c r="B76" s="48"/>
      <c r="C76" s="698" t="str">
        <f>CONCATENATE("Amount of  ",$E$1-1," Ad Valorem Tax")</f>
        <v>Amount of  2011 Ad Valorem Tax</v>
      </c>
      <c r="D76" s="699"/>
      <c r="E76" s="299">
        <f>E74+E75</f>
        <v>0</v>
      </c>
    </row>
    <row r="77" spans="2:5" ht="15.75">
      <c r="B77" s="48"/>
      <c r="C77" s="48"/>
      <c r="D77" s="48"/>
      <c r="E77" s="48"/>
    </row>
    <row r="78" spans="2:5" ht="15.75">
      <c r="B78" s="424" t="s">
        <v>900</v>
      </c>
      <c r="C78" s="289"/>
      <c r="D78" s="48"/>
      <c r="E78" s="48"/>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110</v>
      </c>
      <c r="C3" s="208"/>
      <c r="D3" s="208"/>
      <c r="E3" s="297"/>
    </row>
    <row r="4" spans="2:5" ht="15.75">
      <c r="B4" s="48"/>
      <c r="C4" s="298"/>
      <c r="D4" s="298"/>
      <c r="E4" s="298"/>
    </row>
    <row r="5" spans="2:5" ht="15.75">
      <c r="B5" s="53" t="s">
        <v>881</v>
      </c>
      <c r="C5" s="620" t="s">
        <v>903</v>
      </c>
      <c r="D5" s="621" t="s">
        <v>192</v>
      </c>
      <c r="E5" s="622" t="s">
        <v>193</v>
      </c>
    </row>
    <row r="6" spans="2:5" ht="15.75">
      <c r="B6" s="571">
        <f>inputPrYr!B25</f>
        <v>0</v>
      </c>
      <c r="C6" s="394">
        <f>E1-2</f>
        <v>2010</v>
      </c>
      <c r="D6" s="394">
        <f>E1-1</f>
        <v>2011</v>
      </c>
      <c r="E6" s="258">
        <f>E1</f>
        <v>2012</v>
      </c>
    </row>
    <row r="7" spans="2:5" ht="15.75">
      <c r="B7" s="259" t="s">
        <v>165</v>
      </c>
      <c r="C7" s="264"/>
      <c r="D7" s="262">
        <f>C33</f>
        <v>0</v>
      </c>
      <c r="E7" s="235">
        <f>D33</f>
        <v>0</v>
      </c>
    </row>
    <row r="8" spans="2:5" ht="15.75">
      <c r="B8" s="263" t="s">
        <v>167</v>
      </c>
      <c r="C8" s="162"/>
      <c r="D8" s="162"/>
      <c r="E8" s="88"/>
    </row>
    <row r="9" spans="2:5" ht="15.75">
      <c r="B9" s="153" t="s">
        <v>882</v>
      </c>
      <c r="C9" s="264"/>
      <c r="D9" s="262">
        <f>inputPrYr!E24</f>
        <v>0</v>
      </c>
      <c r="E9" s="294" t="s">
        <v>870</v>
      </c>
    </row>
    <row r="10" spans="2:5" ht="15.75">
      <c r="B10" s="153" t="s">
        <v>883</v>
      </c>
      <c r="C10" s="264"/>
      <c r="D10" s="264"/>
      <c r="E10" s="68"/>
    </row>
    <row r="11" spans="2:5" ht="15.75">
      <c r="B11" s="153" t="s">
        <v>884</v>
      </c>
      <c r="C11" s="264"/>
      <c r="D11" s="264"/>
      <c r="E11" s="235" t="str">
        <f>mvalloc!C14</f>
        <v>  </v>
      </c>
    </row>
    <row r="12" spans="2:5" ht="15.75">
      <c r="B12" s="153" t="s">
        <v>885</v>
      </c>
      <c r="C12" s="264"/>
      <c r="D12" s="264"/>
      <c r="E12" s="235" t="str">
        <f>mvalloc!D14</f>
        <v> </v>
      </c>
    </row>
    <row r="13" spans="2:5" ht="15.75">
      <c r="B13" s="162" t="s">
        <v>142</v>
      </c>
      <c r="C13" s="264"/>
      <c r="D13" s="264"/>
      <c r="E13" s="235" t="str">
        <f>mvalloc!E14</f>
        <v> </v>
      </c>
    </row>
    <row r="14" spans="2:5" ht="15.75">
      <c r="B14" s="295" t="s">
        <v>210</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889</v>
      </c>
      <c r="C18" s="264"/>
      <c r="D18" s="264"/>
      <c r="E18" s="68"/>
    </row>
    <row r="19" spans="2:5" ht="15.75">
      <c r="B19" s="162" t="s">
        <v>789</v>
      </c>
      <c r="C19" s="264"/>
      <c r="D19" s="264"/>
      <c r="E19" s="68"/>
    </row>
    <row r="20" spans="2:5" ht="15.75">
      <c r="B20" s="259" t="s">
        <v>360</v>
      </c>
      <c r="C20" s="269">
        <f>IF(C21*0.1&lt;C19,"Exceed 10% Rule","")</f>
      </c>
      <c r="D20" s="269">
        <f>IF(D21*0.1&lt;D19,"Exceed 10% Rule","")</f>
      </c>
      <c r="E20" s="309">
        <f>IF(E21*0.1+E39&lt;E19,"Exceed 10% Rule","")</f>
      </c>
    </row>
    <row r="21" spans="2:5" ht="15.75">
      <c r="B21" s="271" t="s">
        <v>890</v>
      </c>
      <c r="C21" s="273">
        <f>SUM(C9:C19)</f>
        <v>0</v>
      </c>
      <c r="D21" s="273">
        <f>SUM(D9:D19)</f>
        <v>0</v>
      </c>
      <c r="E21" s="274">
        <f>SUM(E9:E19)</f>
        <v>0</v>
      </c>
    </row>
    <row r="22" spans="2:5" ht="15.75">
      <c r="B22" s="271" t="s">
        <v>891</v>
      </c>
      <c r="C22" s="273">
        <f>C7+C21</f>
        <v>0</v>
      </c>
      <c r="D22" s="273">
        <f>D7+D21</f>
        <v>0</v>
      </c>
      <c r="E22" s="274">
        <f>E7+E21</f>
        <v>0</v>
      </c>
    </row>
    <row r="23" spans="2:5" ht="15.75">
      <c r="B23" s="153" t="s">
        <v>893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788</v>
      </c>
      <c r="C29" s="264"/>
      <c r="D29" s="264"/>
      <c r="E29" s="83">
        <f>nhood!E13</f>
      </c>
    </row>
    <row r="30" spans="2:5" ht="15.75">
      <c r="B30" s="281" t="s">
        <v>789</v>
      </c>
      <c r="C30" s="264"/>
      <c r="D30" s="264"/>
      <c r="E30" s="68"/>
    </row>
    <row r="31" spans="2:5" ht="15.75">
      <c r="B31" s="281" t="s">
        <v>361</v>
      </c>
      <c r="C31" s="269">
        <f>IF(C32*0.1&lt;C30,"Exceed 10% Rule","")</f>
      </c>
      <c r="D31" s="269">
        <f>IF(D32*0.1&lt;D30,"Exceed 10% Rule","")</f>
      </c>
      <c r="E31" s="309">
        <f>IF(E32*0.1&lt;E30,"Exceed 10% Rule","")</f>
      </c>
    </row>
    <row r="32" spans="2:5" ht="15.75">
      <c r="B32" s="271" t="s">
        <v>897</v>
      </c>
      <c r="C32" s="273">
        <f>SUM(C24:C30)</f>
        <v>0</v>
      </c>
      <c r="D32" s="273">
        <f>SUM(D24:D30)</f>
        <v>0</v>
      </c>
      <c r="E32" s="274">
        <f>SUM(E24:E30)</f>
        <v>0</v>
      </c>
    </row>
    <row r="33" spans="2:5" ht="15.75">
      <c r="B33" s="153" t="s">
        <v>166</v>
      </c>
      <c r="C33" s="277">
        <f>C22-C32</f>
        <v>0</v>
      </c>
      <c r="D33" s="277">
        <f>D22-D32</f>
        <v>0</v>
      </c>
      <c r="E33" s="294" t="s">
        <v>870</v>
      </c>
    </row>
    <row r="34" spans="2:6" ht="15.75">
      <c r="B34" s="139" t="str">
        <f>CONCATENATE("",E1-2,"/",E1-1," Budget Authority Amount:")</f>
        <v>2010/2011 Budget Authority Amount:</v>
      </c>
      <c r="C34" s="248">
        <f>inputOth!B68</f>
        <v>0</v>
      </c>
      <c r="D34" s="248">
        <f>inputPrYr!D25</f>
        <v>0</v>
      </c>
      <c r="E34" s="294" t="s">
        <v>870</v>
      </c>
      <c r="F34" s="283"/>
    </row>
    <row r="35" spans="2:6" ht="15.75">
      <c r="B35" s="139"/>
      <c r="C35" s="694" t="s">
        <v>46</v>
      </c>
      <c r="D35" s="695"/>
      <c r="E35" s="68"/>
      <c r="F35" s="283">
        <f>IF(E32/0.95-E32&lt;E35,"Exceeds 5%","")</f>
      </c>
    </row>
    <row r="36" spans="2:5" ht="15.75">
      <c r="B36" s="561" t="str">
        <f>CONCATENATE(C90,"     ",D90)</f>
        <v>     </v>
      </c>
      <c r="C36" s="696" t="s">
        <v>47</v>
      </c>
      <c r="D36" s="697"/>
      <c r="E36" s="235">
        <f>E32+E35</f>
        <v>0</v>
      </c>
    </row>
    <row r="37" spans="2:5" ht="15.75">
      <c r="B37" s="561" t="str">
        <f>CONCATENATE(C91,"     ",D91)</f>
        <v>     </v>
      </c>
      <c r="C37" s="284"/>
      <c r="D37" s="172" t="s">
        <v>898</v>
      </c>
      <c r="E37" s="83">
        <f>IF(E36-E22&gt;0,E36-E22,0)</f>
        <v>0</v>
      </c>
    </row>
    <row r="38" spans="2:5" ht="15.75">
      <c r="B38" s="172"/>
      <c r="C38" s="405" t="s">
        <v>45</v>
      </c>
      <c r="D38" s="406">
        <f>inputOth!$E$48</f>
        <v>0.02</v>
      </c>
      <c r="E38" s="235">
        <f>ROUND(IF(D38&gt;0,(E37*D38),0),0)</f>
        <v>0</v>
      </c>
    </row>
    <row r="39" spans="2:5" ht="15.75">
      <c r="B39" s="99"/>
      <c r="C39" s="698" t="str">
        <f>CONCATENATE("Amount of  ",$E$1-1," Ad Valorem Tax")</f>
        <v>Amount of  2011 Ad Valorem Tax</v>
      </c>
      <c r="D39" s="699"/>
      <c r="E39" s="299">
        <f>E37+E38</f>
        <v>0</v>
      </c>
    </row>
    <row r="40" spans="2:5" ht="15.75">
      <c r="B40" s="48"/>
      <c r="C40" s="99"/>
      <c r="D40" s="99"/>
      <c r="E40" s="48"/>
    </row>
    <row r="41" spans="2:5" ht="15.75">
      <c r="B41" s="53" t="s">
        <v>881</v>
      </c>
      <c r="C41" s="298"/>
      <c r="D41" s="298"/>
      <c r="E41" s="298"/>
    </row>
    <row r="42" spans="2:5" ht="15.75">
      <c r="B42" s="48"/>
      <c r="C42" s="620" t="s">
        <v>903</v>
      </c>
      <c r="D42" s="621" t="s">
        <v>192</v>
      </c>
      <c r="E42" s="622" t="s">
        <v>193</v>
      </c>
    </row>
    <row r="43" spans="2:5" ht="15.75">
      <c r="B43" s="571">
        <f>inputPrYr!B26</f>
        <v>0</v>
      </c>
      <c r="C43" s="394">
        <f>E1-2</f>
        <v>2010</v>
      </c>
      <c r="D43" s="394">
        <f>E1-1</f>
        <v>2011</v>
      </c>
      <c r="E43" s="258">
        <f>E1</f>
        <v>2012</v>
      </c>
    </row>
    <row r="44" spans="2:5" ht="15.75">
      <c r="B44" s="259" t="s">
        <v>165</v>
      </c>
      <c r="C44" s="264"/>
      <c r="D44" s="262">
        <f>C70</f>
        <v>0</v>
      </c>
      <c r="E44" s="235">
        <f>D70</f>
        <v>0</v>
      </c>
    </row>
    <row r="45" spans="2:5" ht="15.75">
      <c r="B45" s="263" t="s">
        <v>167</v>
      </c>
      <c r="C45" s="162"/>
      <c r="D45" s="162"/>
      <c r="E45" s="88"/>
    </row>
    <row r="46" spans="2:5" ht="15.75">
      <c r="B46" s="153" t="s">
        <v>882</v>
      </c>
      <c r="C46" s="264"/>
      <c r="D46" s="262">
        <f>inputPrYr!E25</f>
        <v>0</v>
      </c>
      <c r="E46" s="294" t="s">
        <v>870</v>
      </c>
    </row>
    <row r="47" spans="2:5" ht="15.75">
      <c r="B47" s="153" t="s">
        <v>883</v>
      </c>
      <c r="C47" s="264"/>
      <c r="D47" s="264"/>
      <c r="E47" s="68"/>
    </row>
    <row r="48" spans="2:5" ht="15.75">
      <c r="B48" s="153" t="s">
        <v>884</v>
      </c>
      <c r="C48" s="264"/>
      <c r="D48" s="264"/>
      <c r="E48" s="235" t="str">
        <f>mvalloc!C15</f>
        <v>  </v>
      </c>
    </row>
    <row r="49" spans="2:5" ht="15.75">
      <c r="B49" s="153" t="s">
        <v>885</v>
      </c>
      <c r="C49" s="264"/>
      <c r="D49" s="264"/>
      <c r="E49" s="235" t="str">
        <f>mvalloc!D15</f>
        <v> </v>
      </c>
    </row>
    <row r="50" spans="2:5" ht="15.75">
      <c r="B50" s="162" t="s">
        <v>142</v>
      </c>
      <c r="C50" s="264"/>
      <c r="D50" s="264"/>
      <c r="E50" s="235" t="str">
        <f>mvalloc!E15</f>
        <v> </v>
      </c>
    </row>
    <row r="51" spans="2:5" ht="15.75">
      <c r="B51" s="295" t="s">
        <v>210</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889</v>
      </c>
      <c r="C55" s="264"/>
      <c r="D55" s="264"/>
      <c r="E55" s="68"/>
    </row>
    <row r="56" spans="2:5" ht="15.75">
      <c r="B56" s="162" t="s">
        <v>789</v>
      </c>
      <c r="C56" s="264"/>
      <c r="D56" s="264"/>
      <c r="E56" s="68"/>
    </row>
    <row r="57" spans="2:5" ht="15.75">
      <c r="B57" s="259" t="s">
        <v>360</v>
      </c>
      <c r="C57" s="269">
        <f>IF(C58*0.1&lt;C56,"Exceed 10% Rule","")</f>
      </c>
      <c r="D57" s="269">
        <f>IF(D58*0.1&lt;D56,"Exceed 10% Rule","")</f>
      </c>
      <c r="E57" s="309">
        <f>IF(E58*0.1+E76&lt;E56,"Exceed 10% Rule","")</f>
      </c>
    </row>
    <row r="58" spans="2:5" ht="15.75">
      <c r="B58" s="271" t="s">
        <v>890</v>
      </c>
      <c r="C58" s="273">
        <f>SUM(C46:C56)</f>
        <v>0</v>
      </c>
      <c r="D58" s="273">
        <f>SUM(D46:D56)</f>
        <v>0</v>
      </c>
      <c r="E58" s="274">
        <f>SUM(E46:E56)</f>
        <v>0</v>
      </c>
    </row>
    <row r="59" spans="2:5" ht="15.75">
      <c r="B59" s="271" t="s">
        <v>891</v>
      </c>
      <c r="C59" s="273">
        <f>C44+C58</f>
        <v>0</v>
      </c>
      <c r="D59" s="273">
        <f>D44+D58</f>
        <v>0</v>
      </c>
      <c r="E59" s="274">
        <f>E44+E58</f>
        <v>0</v>
      </c>
    </row>
    <row r="60" spans="2:5" ht="15.75">
      <c r="B60" s="153" t="s">
        <v>893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2"/>
    </row>
    <row r="66" spans="2:5" ht="15.75">
      <c r="B66" s="281" t="s">
        <v>788</v>
      </c>
      <c r="C66" s="264"/>
      <c r="D66" s="264"/>
      <c r="E66" s="83">
        <f>nhood!E14</f>
      </c>
    </row>
    <row r="67" spans="2:5" ht="15.75">
      <c r="B67" s="281" t="s">
        <v>789</v>
      </c>
      <c r="C67" s="264"/>
      <c r="D67" s="264"/>
      <c r="E67" s="68"/>
    </row>
    <row r="68" spans="2:5" ht="15.75">
      <c r="B68" s="281" t="s">
        <v>361</v>
      </c>
      <c r="C68" s="269">
        <f>IF(C69*0.1&lt;C67,"Exceed 10% Rule","")</f>
      </c>
      <c r="D68" s="269">
        <f>IF(D69*0.1&lt;D67,"Exceed 10% Rule","")</f>
      </c>
      <c r="E68" s="309">
        <f>IF(E69*0.1&lt;E67,"Exceed 10% Rule","")</f>
      </c>
    </row>
    <row r="69" spans="2:5" ht="15.75">
      <c r="B69" s="271" t="s">
        <v>897</v>
      </c>
      <c r="C69" s="273">
        <f>SUM(C61:C67)</f>
        <v>0</v>
      </c>
      <c r="D69" s="273">
        <f>SUM(D61:D67)</f>
        <v>0</v>
      </c>
      <c r="E69" s="274">
        <f>SUM(E61:E67)</f>
        <v>0</v>
      </c>
    </row>
    <row r="70" spans="2:5" ht="15.75">
      <c r="B70" s="153" t="s">
        <v>166</v>
      </c>
      <c r="C70" s="277">
        <f>C59-C69</f>
        <v>0</v>
      </c>
      <c r="D70" s="277">
        <f>D59-D69</f>
        <v>0</v>
      </c>
      <c r="E70" s="294" t="s">
        <v>870</v>
      </c>
    </row>
    <row r="71" spans="2:6" ht="15.75">
      <c r="B71" s="139" t="str">
        <f>CONCATENATE("",E1-2,"/",E1-1," Budget Authority Amount:")</f>
        <v>2010/2011 Budget Authority Amount:</v>
      </c>
      <c r="C71" s="248">
        <f>inputOth!B69</f>
        <v>0</v>
      </c>
      <c r="D71" s="248">
        <f>inputPrYr!E26</f>
        <v>0</v>
      </c>
      <c r="E71" s="294" t="s">
        <v>870</v>
      </c>
      <c r="F71" s="283"/>
    </row>
    <row r="72" spans="2:6" ht="15.75">
      <c r="B72" s="139"/>
      <c r="C72" s="694" t="s">
        <v>46</v>
      </c>
      <c r="D72" s="695"/>
      <c r="E72" s="68"/>
      <c r="F72" s="283">
        <f>IF(E69/0.95-E69&lt;E72,"Exceeds 5%","")</f>
      </c>
    </row>
    <row r="73" spans="2:5" ht="15.75">
      <c r="B73" s="561" t="str">
        <f>CONCATENATE(C92,"     ",D92)</f>
        <v>     </v>
      </c>
      <c r="C73" s="696" t="s">
        <v>47</v>
      </c>
      <c r="D73" s="697"/>
      <c r="E73" s="235">
        <f>E69+E72</f>
        <v>0</v>
      </c>
    </row>
    <row r="74" spans="2:5" ht="15.75">
      <c r="B74" s="561" t="str">
        <f>CONCATENATE(C93,"     ",D93)</f>
        <v>     </v>
      </c>
      <c r="C74" s="284"/>
      <c r="D74" s="172" t="s">
        <v>898</v>
      </c>
      <c r="E74" s="83">
        <f>IF(E73-E59&gt;0,E73-E59,0)</f>
        <v>0</v>
      </c>
    </row>
    <row r="75" spans="2:5" ht="15.75">
      <c r="B75" s="139"/>
      <c r="C75" s="405" t="s">
        <v>45</v>
      </c>
      <c r="D75" s="406">
        <f>inputOth!$E$48</f>
        <v>0.02</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900</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76:D76"/>
    <mergeCell ref="C39:D39"/>
    <mergeCell ref="C35:D35"/>
    <mergeCell ref="C36:D36"/>
    <mergeCell ref="C72:D72"/>
    <mergeCell ref="C73:D73"/>
  </mergeCells>
  <conditionalFormatting sqref="E30">
    <cfRule type="cellIs" priority="4" dxfId="8" operator="greaterThan" stopIfTrue="1">
      <formula>$E$32*0.1</formula>
    </cfRule>
  </conditionalFormatting>
  <conditionalFormatting sqref="E35">
    <cfRule type="cellIs" priority="5" dxfId="8" operator="greaterThan" stopIfTrue="1">
      <formula>$E$32/0.95-$E$32</formula>
    </cfRule>
  </conditionalFormatting>
  <conditionalFormatting sqref="E67">
    <cfRule type="cellIs" priority="6" dxfId="8" operator="greaterThan" stopIfTrue="1">
      <formula>$E$69*0.1</formula>
    </cfRule>
  </conditionalFormatting>
  <conditionalFormatting sqref="E72">
    <cfRule type="cellIs" priority="7" dxfId="8"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8"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1">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110</v>
      </c>
      <c r="C3" s="208"/>
      <c r="D3" s="208"/>
      <c r="E3" s="297"/>
    </row>
    <row r="4" spans="2:5" ht="15.75">
      <c r="B4" s="48"/>
      <c r="C4" s="298"/>
      <c r="D4" s="298"/>
      <c r="E4" s="298"/>
    </row>
    <row r="5" spans="2:5" ht="15.75">
      <c r="B5" s="53" t="s">
        <v>881</v>
      </c>
      <c r="C5" s="620" t="s">
        <v>903</v>
      </c>
      <c r="D5" s="621" t="s">
        <v>192</v>
      </c>
      <c r="E5" s="622" t="s">
        <v>193</v>
      </c>
    </row>
    <row r="6" spans="2:5" ht="15.75">
      <c r="B6" s="571">
        <f>inputPrYr!B27</f>
        <v>0</v>
      </c>
      <c r="C6" s="394">
        <f>E1-2</f>
        <v>2010</v>
      </c>
      <c r="D6" s="394">
        <f>E1-1</f>
        <v>2011</v>
      </c>
      <c r="E6" s="258">
        <f>E1</f>
        <v>2012</v>
      </c>
    </row>
    <row r="7" spans="2:5" ht="15.75">
      <c r="B7" s="259" t="s">
        <v>165</v>
      </c>
      <c r="C7" s="264"/>
      <c r="D7" s="262">
        <f>C33</f>
        <v>0</v>
      </c>
      <c r="E7" s="235">
        <f>D33</f>
        <v>0</v>
      </c>
    </row>
    <row r="8" spans="2:5" ht="15.75">
      <c r="B8" s="263" t="s">
        <v>167</v>
      </c>
      <c r="C8" s="162"/>
      <c r="D8" s="162"/>
      <c r="E8" s="88"/>
    </row>
    <row r="9" spans="2:5" ht="15.75">
      <c r="B9" s="153" t="s">
        <v>882</v>
      </c>
      <c r="C9" s="264"/>
      <c r="D9" s="262">
        <f>inputPrYr!E26</f>
        <v>0</v>
      </c>
      <c r="E9" s="294" t="s">
        <v>870</v>
      </c>
    </row>
    <row r="10" spans="2:5" ht="15.75">
      <c r="B10" s="153" t="s">
        <v>883</v>
      </c>
      <c r="C10" s="264"/>
      <c r="D10" s="264"/>
      <c r="E10" s="68"/>
    </row>
    <row r="11" spans="2:5" ht="15.75">
      <c r="B11" s="153" t="s">
        <v>884</v>
      </c>
      <c r="C11" s="264"/>
      <c r="D11" s="264"/>
      <c r="E11" s="235" t="str">
        <f>mvalloc!C16</f>
        <v>  </v>
      </c>
    </row>
    <row r="12" spans="2:5" ht="15.75">
      <c r="B12" s="153" t="s">
        <v>885</v>
      </c>
      <c r="C12" s="264"/>
      <c r="D12" s="264"/>
      <c r="E12" s="235" t="str">
        <f>mvalloc!D16</f>
        <v> </v>
      </c>
    </row>
    <row r="13" spans="2:5" ht="15.75">
      <c r="B13" s="162" t="s">
        <v>142</v>
      </c>
      <c r="C13" s="264"/>
      <c r="D13" s="264"/>
      <c r="E13" s="235" t="str">
        <f>mvalloc!E16</f>
        <v> </v>
      </c>
    </row>
    <row r="14" spans="2:5" ht="15.75">
      <c r="B14" s="295" t="s">
        <v>210</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889</v>
      </c>
      <c r="C18" s="264"/>
      <c r="D18" s="264"/>
      <c r="E18" s="68"/>
    </row>
    <row r="19" spans="2:5" ht="15.75">
      <c r="B19" s="162" t="s">
        <v>789</v>
      </c>
      <c r="C19" s="264"/>
      <c r="D19" s="264"/>
      <c r="E19" s="68"/>
    </row>
    <row r="20" spans="2:5" ht="15.75">
      <c r="B20" s="259" t="s">
        <v>360</v>
      </c>
      <c r="C20" s="269">
        <f>IF(C21*0.1&lt;C19,"Exceed 10% Rule","")</f>
      </c>
      <c r="D20" s="269">
        <f>IF(D21*0.1&lt;D19,"Exceed 10% Rule","")</f>
      </c>
      <c r="E20" s="309">
        <f>IF(E21*0.1+E39&lt;E19,"Exceed 10% Rule","")</f>
      </c>
    </row>
    <row r="21" spans="2:5" ht="15.75">
      <c r="B21" s="271" t="s">
        <v>890</v>
      </c>
      <c r="C21" s="273">
        <f>SUM(C9:C19)</f>
        <v>0</v>
      </c>
      <c r="D21" s="273">
        <f>SUM(D9:D19)</f>
        <v>0</v>
      </c>
      <c r="E21" s="274">
        <f>SUM(E9:E19)</f>
        <v>0</v>
      </c>
    </row>
    <row r="22" spans="2:5" ht="15.75">
      <c r="B22" s="271" t="s">
        <v>891</v>
      </c>
      <c r="C22" s="273">
        <f>C7+C21</f>
        <v>0</v>
      </c>
      <c r="D22" s="273">
        <f>D7+D21</f>
        <v>0</v>
      </c>
      <c r="E22" s="274">
        <f>E7+E21</f>
        <v>0</v>
      </c>
    </row>
    <row r="23" spans="2:5" ht="15.75">
      <c r="B23" s="153" t="s">
        <v>893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788</v>
      </c>
      <c r="C29" s="264"/>
      <c r="D29" s="264"/>
      <c r="E29" s="83">
        <f>nhood!E15</f>
      </c>
    </row>
    <row r="30" spans="2:5" ht="15.75">
      <c r="B30" s="281" t="s">
        <v>789</v>
      </c>
      <c r="C30" s="264"/>
      <c r="D30" s="264"/>
      <c r="E30" s="68"/>
    </row>
    <row r="31" spans="2:5" ht="15.75">
      <c r="B31" s="281" t="s">
        <v>361</v>
      </c>
      <c r="C31" s="269">
        <f>IF(C32*0.1&lt;C30,"Exceed 10% Rule","")</f>
      </c>
      <c r="D31" s="269">
        <f>IF(D32*0.1&lt;D30,"Exceed 10% Rule","")</f>
      </c>
      <c r="E31" s="309">
        <f>IF(E32*0.1&lt;E30,"Exceed 10% Rule","")</f>
      </c>
    </row>
    <row r="32" spans="2:5" ht="15.75">
      <c r="B32" s="271" t="s">
        <v>897</v>
      </c>
      <c r="C32" s="273">
        <f>SUM(C24:C30)</f>
        <v>0</v>
      </c>
      <c r="D32" s="273">
        <f>SUM(D24:D30)</f>
        <v>0</v>
      </c>
      <c r="E32" s="274">
        <f>SUM(E24:E30)</f>
        <v>0</v>
      </c>
    </row>
    <row r="33" spans="2:5" ht="15.75">
      <c r="B33" s="153" t="s">
        <v>166</v>
      </c>
      <c r="C33" s="277">
        <f>C22-C32</f>
        <v>0</v>
      </c>
      <c r="D33" s="277">
        <f>D22-D32</f>
        <v>0</v>
      </c>
      <c r="E33" s="294" t="s">
        <v>870</v>
      </c>
    </row>
    <row r="34" spans="2:6" ht="15.75">
      <c r="B34" s="139" t="str">
        <f>CONCATENATE("",E1-2,"/",E1-1," Budget Authority Amount:")</f>
        <v>2010/2011 Budget Authority Amount:</v>
      </c>
      <c r="C34" s="248">
        <f>inputOth!B70</f>
        <v>0</v>
      </c>
      <c r="D34" s="248">
        <f>inputPrYr!D27</f>
        <v>0</v>
      </c>
      <c r="E34" s="294" t="s">
        <v>870</v>
      </c>
      <c r="F34" s="283"/>
    </row>
    <row r="35" spans="2:6" ht="15.75">
      <c r="B35" s="139"/>
      <c r="C35" s="694" t="s">
        <v>46</v>
      </c>
      <c r="D35" s="695"/>
      <c r="E35" s="68"/>
      <c r="F35" s="283">
        <f>IF(E32/0.95-E32&lt;E35,"Exceeds 5%","")</f>
      </c>
    </row>
    <row r="36" spans="2:5" ht="15.75">
      <c r="B36" s="561" t="str">
        <f>CONCATENATE(C90,"     ",D90)</f>
        <v>     </v>
      </c>
      <c r="C36" s="696" t="s">
        <v>47</v>
      </c>
      <c r="D36" s="697"/>
      <c r="E36" s="235">
        <f>E32+E35</f>
        <v>0</v>
      </c>
    </row>
    <row r="37" spans="2:5" ht="15.75">
      <c r="B37" s="561" t="str">
        <f>CONCATENATE(C91,"     ",D91)</f>
        <v>     </v>
      </c>
      <c r="C37" s="284"/>
      <c r="D37" s="172" t="s">
        <v>898</v>
      </c>
      <c r="E37" s="83">
        <f>IF(E36-E22&gt;0,E36-E22,0)</f>
        <v>0</v>
      </c>
    </row>
    <row r="38" spans="2:5" ht="15.75">
      <c r="B38" s="172"/>
      <c r="C38" s="405" t="s">
        <v>45</v>
      </c>
      <c r="D38" s="406">
        <f>inputOth!$E$48</f>
        <v>0.02</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881</v>
      </c>
      <c r="C41" s="145"/>
      <c r="D41" s="145"/>
      <c r="E41" s="145"/>
    </row>
    <row r="42" spans="2:5" ht="15.75">
      <c r="B42" s="48"/>
      <c r="C42" s="620" t="s">
        <v>903</v>
      </c>
      <c r="D42" s="621" t="s">
        <v>192</v>
      </c>
      <c r="E42" s="622" t="s">
        <v>193</v>
      </c>
    </row>
    <row r="43" spans="2:5" ht="15.75">
      <c r="B43" s="571">
        <f>inputPrYr!B28</f>
        <v>0</v>
      </c>
      <c r="C43" s="394">
        <f>E1-2</f>
        <v>2010</v>
      </c>
      <c r="D43" s="394">
        <f>E1-1</f>
        <v>2011</v>
      </c>
      <c r="E43" s="258">
        <f>E1</f>
        <v>2012</v>
      </c>
    </row>
    <row r="44" spans="2:5" ht="15.75">
      <c r="B44" s="259" t="s">
        <v>165</v>
      </c>
      <c r="C44" s="264"/>
      <c r="D44" s="262">
        <f>C70</f>
        <v>0</v>
      </c>
      <c r="E44" s="235">
        <f>D70</f>
        <v>0</v>
      </c>
    </row>
    <row r="45" spans="2:5" ht="15.75">
      <c r="B45" s="263" t="s">
        <v>167</v>
      </c>
      <c r="C45" s="162"/>
      <c r="D45" s="162"/>
      <c r="E45" s="88"/>
    </row>
    <row r="46" spans="2:5" ht="15.75">
      <c r="B46" s="153" t="s">
        <v>882</v>
      </c>
      <c r="C46" s="264"/>
      <c r="D46" s="262">
        <f>inputPrYr!E27</f>
        <v>0</v>
      </c>
      <c r="E46" s="294" t="s">
        <v>870</v>
      </c>
    </row>
    <row r="47" spans="2:5" ht="15.75">
      <c r="B47" s="153" t="s">
        <v>883</v>
      </c>
      <c r="C47" s="264"/>
      <c r="D47" s="264"/>
      <c r="E47" s="68"/>
    </row>
    <row r="48" spans="2:5" ht="15.75">
      <c r="B48" s="153" t="s">
        <v>884</v>
      </c>
      <c r="C48" s="264"/>
      <c r="D48" s="264"/>
      <c r="E48" s="235" t="str">
        <f>mvalloc!C17</f>
        <v>  </v>
      </c>
    </row>
    <row r="49" spans="2:5" ht="15.75">
      <c r="B49" s="153" t="s">
        <v>885</v>
      </c>
      <c r="C49" s="264"/>
      <c r="D49" s="264"/>
      <c r="E49" s="235" t="str">
        <f>mvalloc!D17</f>
        <v> </v>
      </c>
    </row>
    <row r="50" spans="2:5" ht="15.75">
      <c r="B50" s="162" t="s">
        <v>142</v>
      </c>
      <c r="C50" s="264"/>
      <c r="D50" s="264"/>
      <c r="E50" s="235" t="str">
        <f>mvalloc!E17</f>
        <v> </v>
      </c>
    </row>
    <row r="51" spans="2:5" ht="15.75">
      <c r="B51" s="295" t="s">
        <v>210</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889</v>
      </c>
      <c r="C55" s="264"/>
      <c r="D55" s="264"/>
      <c r="E55" s="68"/>
    </row>
    <row r="56" spans="2:5" ht="15.75">
      <c r="B56" s="162" t="s">
        <v>789</v>
      </c>
      <c r="C56" s="264"/>
      <c r="D56" s="264"/>
      <c r="E56" s="68"/>
    </row>
    <row r="57" spans="2:5" ht="15.75">
      <c r="B57" s="259" t="s">
        <v>360</v>
      </c>
      <c r="C57" s="269">
        <f>IF(C58*0.1&lt;C56,"Exceed 10% Rule","")</f>
      </c>
      <c r="D57" s="269">
        <f>IF(D58*0.1&lt;D56,"Exceed 10% Rule","")</f>
      </c>
      <c r="E57" s="309">
        <f>IF(E58*0.1+E76&lt;E56,"Exceed 10% Rule","")</f>
      </c>
    </row>
    <row r="58" spans="2:5" ht="15.75">
      <c r="B58" s="271" t="s">
        <v>890</v>
      </c>
      <c r="C58" s="273">
        <f>SUM(C46:C56)</f>
        <v>0</v>
      </c>
      <c r="D58" s="273">
        <f>SUM(D46:D56)</f>
        <v>0</v>
      </c>
      <c r="E58" s="274">
        <f>SUM(E46:E56)</f>
        <v>0</v>
      </c>
    </row>
    <row r="59" spans="2:5" ht="15.75">
      <c r="B59" s="271" t="s">
        <v>891</v>
      </c>
      <c r="C59" s="273">
        <f>C44+C58</f>
        <v>0</v>
      </c>
      <c r="D59" s="273">
        <f>D44+D58</f>
        <v>0</v>
      </c>
      <c r="E59" s="274">
        <f>E44+E58</f>
        <v>0</v>
      </c>
    </row>
    <row r="60" spans="2:5" ht="15.75">
      <c r="B60" s="153" t="s">
        <v>893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788</v>
      </c>
      <c r="C66" s="264"/>
      <c r="D66" s="264"/>
      <c r="E66" s="83">
        <f>nhood!E16</f>
      </c>
    </row>
    <row r="67" spans="2:5" ht="15.75">
      <c r="B67" s="281" t="s">
        <v>789</v>
      </c>
      <c r="C67" s="264"/>
      <c r="D67" s="264"/>
      <c r="E67" s="68"/>
    </row>
    <row r="68" spans="2:5" ht="15.75">
      <c r="B68" s="281" t="s">
        <v>361</v>
      </c>
      <c r="C68" s="269">
        <f>IF(C69*0.1&lt;C67,"Exceed 10% Rule","")</f>
      </c>
      <c r="D68" s="269">
        <f>IF(D69*0.1&lt;D67,"Exceed 10% Rule","")</f>
      </c>
      <c r="E68" s="309">
        <f>IF(E69*0.1&lt;E67,"Exceed 10% Rule","")</f>
      </c>
    </row>
    <row r="69" spans="2:5" ht="15.75">
      <c r="B69" s="271" t="s">
        <v>897</v>
      </c>
      <c r="C69" s="273">
        <f>SUM(C61:C67)</f>
        <v>0</v>
      </c>
      <c r="D69" s="273">
        <f>SUM(D61:D67)</f>
        <v>0</v>
      </c>
      <c r="E69" s="274">
        <f>SUM(E61:E67)</f>
        <v>0</v>
      </c>
    </row>
    <row r="70" spans="2:5" ht="15.75">
      <c r="B70" s="153" t="s">
        <v>166</v>
      </c>
      <c r="C70" s="277">
        <f>C59-C69</f>
        <v>0</v>
      </c>
      <c r="D70" s="277">
        <f>D59-D69</f>
        <v>0</v>
      </c>
      <c r="E70" s="294" t="s">
        <v>870</v>
      </c>
    </row>
    <row r="71" spans="2:6" ht="15.75">
      <c r="B71" s="139" t="str">
        <f>CONCATENATE("",E1-2,"/",E1-1," Budget Authority Amount:")</f>
        <v>2010/2011 Budget Authority Amount:</v>
      </c>
      <c r="C71" s="248">
        <f>inputOth!B71</f>
        <v>0</v>
      </c>
      <c r="D71" s="248">
        <f>inputPrYr!D28</f>
        <v>0</v>
      </c>
      <c r="E71" s="294" t="s">
        <v>870</v>
      </c>
      <c r="F71" s="283"/>
    </row>
    <row r="72" spans="2:6" ht="15.75">
      <c r="B72" s="139"/>
      <c r="C72" s="694" t="s">
        <v>46</v>
      </c>
      <c r="D72" s="695"/>
      <c r="E72" s="104"/>
      <c r="F72" s="283">
        <f>IF(E69/0.95-E69&lt;E72,"Exceeds 5%","")</f>
      </c>
    </row>
    <row r="73" spans="2:5" ht="15.75">
      <c r="B73" s="561" t="str">
        <f>CONCATENATE(C92,"     ",D92)</f>
        <v>     </v>
      </c>
      <c r="C73" s="696" t="s">
        <v>47</v>
      </c>
      <c r="D73" s="697"/>
      <c r="E73" s="235">
        <f>E69+E72</f>
        <v>0</v>
      </c>
    </row>
    <row r="74" spans="2:5" ht="15.75">
      <c r="B74" s="561" t="str">
        <f>CONCATENATE(C93,"     ",D93)</f>
        <v>     </v>
      </c>
      <c r="C74" s="284"/>
      <c r="D74" s="172" t="s">
        <v>898</v>
      </c>
      <c r="E74" s="83">
        <f>IF(E73-E59&gt;0,E73-E59,0)</f>
        <v>0</v>
      </c>
    </row>
    <row r="75" spans="2:5" ht="15.75">
      <c r="B75" s="139"/>
      <c r="C75" s="405" t="s">
        <v>45</v>
      </c>
      <c r="D75" s="406">
        <f>inputOth!$E$48</f>
        <v>0.02</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900</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96">
      <selection activeCell="E103" sqref="E103"/>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72" t="s">
        <v>848</v>
      </c>
      <c r="B1" s="673"/>
      <c r="C1" s="673"/>
      <c r="D1" s="673"/>
      <c r="E1" s="673"/>
    </row>
    <row r="2" spans="1:5" ht="15.75">
      <c r="A2" s="47" t="s">
        <v>794</v>
      </c>
      <c r="B2" s="48"/>
      <c r="C2" s="48"/>
      <c r="D2" s="49" t="s">
        <v>398</v>
      </c>
      <c r="E2" s="50"/>
    </row>
    <row r="3" spans="1:5" ht="15.75">
      <c r="A3" s="47" t="s">
        <v>795</v>
      </c>
      <c r="B3" s="48"/>
      <c r="C3" s="48"/>
      <c r="D3" s="51" t="s">
        <v>399</v>
      </c>
      <c r="E3" s="52"/>
    </row>
    <row r="4" spans="1:5" ht="15.75">
      <c r="A4" s="53"/>
      <c r="B4" s="48"/>
      <c r="C4" s="48"/>
      <c r="D4" s="54"/>
      <c r="E4" s="48"/>
    </row>
    <row r="5" spans="1:5" ht="15.75">
      <c r="A5" s="47" t="s">
        <v>213</v>
      </c>
      <c r="B5" s="48"/>
      <c r="C5" s="55">
        <v>2012</v>
      </c>
      <c r="D5" s="54"/>
      <c r="E5" s="48"/>
    </row>
    <row r="6" spans="1:5" ht="15.75">
      <c r="A6" s="48"/>
      <c r="B6" s="48"/>
      <c r="C6" s="48"/>
      <c r="D6" s="48"/>
      <c r="E6" s="48"/>
    </row>
    <row r="7" spans="1:5" ht="15.75">
      <c r="A7" s="56" t="s">
        <v>644</v>
      </c>
      <c r="B7" s="57"/>
      <c r="C7" s="57"/>
      <c r="D7" s="57"/>
      <c r="E7" s="57"/>
    </row>
    <row r="8" spans="1:5" ht="15.75">
      <c r="A8" s="56" t="s">
        <v>643</v>
      </c>
      <c r="B8" s="57"/>
      <c r="C8" s="57"/>
      <c r="D8" s="57"/>
      <c r="E8" s="57"/>
    </row>
    <row r="9" spans="1:5" ht="15.75">
      <c r="A9" s="56"/>
      <c r="B9" s="57"/>
      <c r="C9" s="57"/>
      <c r="D9" s="57"/>
      <c r="E9" s="57"/>
    </row>
    <row r="10" spans="1:5" ht="15.75">
      <c r="A10" s="670" t="s">
        <v>279</v>
      </c>
      <c r="B10" s="671"/>
      <c r="C10" s="671"/>
      <c r="D10" s="671"/>
      <c r="E10" s="671"/>
    </row>
    <row r="11" spans="1:5" ht="15.75">
      <c r="A11" s="48"/>
      <c r="B11" s="48"/>
      <c r="C11" s="48"/>
      <c r="D11" s="48"/>
      <c r="E11" s="48"/>
    </row>
    <row r="12" spans="1:5" ht="15.75">
      <c r="A12" s="58" t="s">
        <v>280</v>
      </c>
      <c r="B12" s="59"/>
      <c r="C12" s="48"/>
      <c r="D12" s="48"/>
      <c r="E12" s="48"/>
    </row>
    <row r="13" spans="1:5" ht="15.75">
      <c r="A13" s="60" t="str">
        <f>CONCATENATE("the ",C5-1," Budget, Certificate Page:")</f>
        <v>the 2011 Budget, Certificate Page:</v>
      </c>
      <c r="B13" s="61"/>
      <c r="C13" s="48"/>
      <c r="D13" s="48"/>
      <c r="E13" s="48"/>
    </row>
    <row r="14" spans="1:5" ht="15.75">
      <c r="A14" s="60" t="s">
        <v>646</v>
      </c>
      <c r="B14" s="61"/>
      <c r="C14" s="48"/>
      <c r="D14" s="48"/>
      <c r="E14" s="48"/>
    </row>
    <row r="15" spans="1:5" ht="15.75">
      <c r="A15" s="48"/>
      <c r="B15" s="48"/>
      <c r="C15" s="48"/>
      <c r="D15" s="62">
        <f>C5-1</f>
        <v>2011</v>
      </c>
      <c r="E15" s="62">
        <f>C5-2</f>
        <v>2010</v>
      </c>
    </row>
    <row r="16" spans="1:5" ht="15.75">
      <c r="A16" s="53" t="s">
        <v>849</v>
      </c>
      <c r="B16" s="48"/>
      <c r="C16" s="63" t="s">
        <v>850</v>
      </c>
      <c r="D16" s="64" t="s">
        <v>645</v>
      </c>
      <c r="E16" s="64" t="s">
        <v>840</v>
      </c>
    </row>
    <row r="17" spans="1:5" ht="15.75">
      <c r="A17" s="48"/>
      <c r="B17" s="65" t="s">
        <v>851</v>
      </c>
      <c r="C17" s="159" t="s">
        <v>169</v>
      </c>
      <c r="D17" s="67">
        <v>54200</v>
      </c>
      <c r="E17" s="67">
        <v>18811</v>
      </c>
    </row>
    <row r="18" spans="1:5" ht="15.75">
      <c r="A18" s="48"/>
      <c r="B18" s="65" t="s">
        <v>822</v>
      </c>
      <c r="C18" s="159" t="s">
        <v>214</v>
      </c>
      <c r="D18" s="68">
        <v>10140</v>
      </c>
      <c r="E18" s="68">
        <v>7706</v>
      </c>
    </row>
    <row r="19" spans="1:5" ht="15.75">
      <c r="A19" s="53" t="s">
        <v>852</v>
      </c>
      <c r="B19" s="48"/>
      <c r="C19" s="48"/>
      <c r="D19" s="48"/>
      <c r="E19" s="69"/>
    </row>
    <row r="20" spans="1:5" ht="15.75">
      <c r="A20" s="48"/>
      <c r="B20" s="70"/>
      <c r="C20" s="404"/>
      <c r="D20" s="68"/>
      <c r="E20" s="68"/>
    </row>
    <row r="21" spans="1:5" ht="15.75">
      <c r="A21" s="48"/>
      <c r="B21" s="70"/>
      <c r="C21" s="404"/>
      <c r="D21" s="68"/>
      <c r="E21" s="68"/>
    </row>
    <row r="22" spans="1:5" ht="15.75">
      <c r="A22" s="48"/>
      <c r="B22" s="70"/>
      <c r="C22" s="404"/>
      <c r="D22" s="68"/>
      <c r="E22" s="68"/>
    </row>
    <row r="23" spans="1:5" ht="15.75">
      <c r="A23" s="48"/>
      <c r="B23" s="70"/>
      <c r="C23" s="404"/>
      <c r="D23" s="68"/>
      <c r="E23" s="68"/>
    </row>
    <row r="24" spans="1:5" ht="15.75">
      <c r="A24" s="48"/>
      <c r="B24" s="70"/>
      <c r="C24" s="404"/>
      <c r="D24" s="68"/>
      <c r="E24" s="68"/>
    </row>
    <row r="25" spans="1:5" ht="15.75">
      <c r="A25" s="48"/>
      <c r="B25" s="70"/>
      <c r="C25" s="404"/>
      <c r="D25" s="68"/>
      <c r="E25" s="68"/>
    </row>
    <row r="26" spans="1:5" ht="15.75">
      <c r="A26" s="48"/>
      <c r="B26" s="70"/>
      <c r="C26" s="404"/>
      <c r="D26" s="68"/>
      <c r="E26" s="68"/>
    </row>
    <row r="27" spans="1:5" ht="15.75">
      <c r="A27" s="48"/>
      <c r="B27" s="70"/>
      <c r="C27" s="404"/>
      <c r="D27" s="68"/>
      <c r="E27" s="68"/>
    </row>
    <row r="28" spans="1:5" ht="15.75">
      <c r="A28" s="48"/>
      <c r="B28" s="70"/>
      <c r="C28" s="404"/>
      <c r="D28" s="68"/>
      <c r="E28" s="68"/>
    </row>
    <row r="29" spans="1:5" ht="15.75">
      <c r="A29" s="48"/>
      <c r="B29" s="70"/>
      <c r="C29" s="404"/>
      <c r="D29" s="68"/>
      <c r="E29" s="68"/>
    </row>
    <row r="30" spans="1:5" ht="15.75">
      <c r="A30" s="48"/>
      <c r="B30" s="70"/>
      <c r="C30" s="404"/>
      <c r="D30" s="265"/>
      <c r="E30" s="265"/>
    </row>
    <row r="31" spans="1:5" ht="15.75">
      <c r="A31" s="71" t="str">
        <f>CONCATENATE("Total Tax Levy Funds for ",C5-1," Budgeted Year")</f>
        <v>Total Tax Levy Funds for 2011 Budgeted Year</v>
      </c>
      <c r="B31" s="72"/>
      <c r="C31" s="73"/>
      <c r="D31" s="74"/>
      <c r="E31" s="75">
        <f>SUM(E17:E30)</f>
        <v>26517</v>
      </c>
    </row>
    <row r="32" spans="1:5" ht="15.75">
      <c r="A32" s="76"/>
      <c r="B32" s="77"/>
      <c r="C32" s="77"/>
      <c r="D32" s="78"/>
      <c r="E32" s="69"/>
    </row>
    <row r="33" spans="1:5" ht="15.75">
      <c r="A33" s="53" t="s">
        <v>219</v>
      </c>
      <c r="B33" s="48"/>
      <c r="C33" s="48"/>
      <c r="D33" s="48"/>
      <c r="E33" s="48"/>
    </row>
    <row r="34" spans="1:5" ht="15.75">
      <c r="A34" s="48"/>
      <c r="B34" s="66" t="s">
        <v>144</v>
      </c>
      <c r="C34" s="48"/>
      <c r="D34" s="68">
        <v>13900</v>
      </c>
      <c r="E34" s="48"/>
    </row>
    <row r="35" spans="1:5" ht="15.75">
      <c r="A35" s="48"/>
      <c r="B35" s="70" t="s">
        <v>400</v>
      </c>
      <c r="C35" s="48"/>
      <c r="D35" s="68">
        <v>44600</v>
      </c>
      <c r="E35" s="48"/>
    </row>
    <row r="36" spans="1:5" ht="15.75">
      <c r="A36" s="48"/>
      <c r="B36" s="70" t="s">
        <v>401</v>
      </c>
      <c r="C36" s="48"/>
      <c r="D36" s="68"/>
      <c r="E36" s="48"/>
    </row>
    <row r="37" spans="1:5" ht="15.75">
      <c r="A37" s="48"/>
      <c r="B37" s="70" t="s">
        <v>402</v>
      </c>
      <c r="C37" s="48"/>
      <c r="D37" s="68">
        <v>36171</v>
      </c>
      <c r="E37" s="48"/>
    </row>
    <row r="38" spans="1:5" ht="15.75">
      <c r="A38" s="48"/>
      <c r="B38" s="70" t="s">
        <v>403</v>
      </c>
      <c r="C38" s="48"/>
      <c r="D38" s="68"/>
      <c r="E38" s="48"/>
    </row>
    <row r="39" spans="1:5" ht="15.75">
      <c r="A39" s="48"/>
      <c r="B39" s="70" t="s">
        <v>404</v>
      </c>
      <c r="C39" s="48"/>
      <c r="D39" s="68"/>
      <c r="E39" s="48"/>
    </row>
    <row r="40" spans="1:5" ht="15.75">
      <c r="A40" s="48"/>
      <c r="B40" s="70"/>
      <c r="C40" s="48"/>
      <c r="D40" s="68"/>
      <c r="E40" s="48"/>
    </row>
    <row r="41" spans="1:5" ht="15.75">
      <c r="A41" s="48"/>
      <c r="B41" s="70"/>
      <c r="C41" s="48"/>
      <c r="D41" s="68"/>
      <c r="E41" s="48"/>
    </row>
    <row r="42" spans="1:5" ht="15.75">
      <c r="A42" s="48"/>
      <c r="B42" s="70"/>
      <c r="C42" s="48"/>
      <c r="D42" s="68"/>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251</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159011</v>
      </c>
      <c r="E55" s="48"/>
    </row>
    <row r="56" spans="1:5" ht="15.75">
      <c r="A56" s="48" t="s">
        <v>252</v>
      </c>
      <c r="B56" s="84"/>
      <c r="C56" s="48"/>
      <c r="D56" s="48"/>
      <c r="E56" s="48"/>
    </row>
    <row r="57" spans="1:5" ht="15.75">
      <c r="A57" s="48">
        <v>1</v>
      </c>
      <c r="B57" s="79"/>
      <c r="C57" s="48"/>
      <c r="D57" s="48"/>
      <c r="E57" s="48"/>
    </row>
    <row r="58" spans="1:5" ht="15.75">
      <c r="A58" s="48">
        <v>2</v>
      </c>
      <c r="B58" s="79"/>
      <c r="C58" s="48"/>
      <c r="D58" s="48"/>
      <c r="E58" s="48"/>
    </row>
    <row r="59" spans="1:5" ht="15.75">
      <c r="A59" s="48">
        <v>3</v>
      </c>
      <c r="B59" s="79"/>
      <c r="C59" s="48"/>
      <c r="D59" s="48"/>
      <c r="E59" s="48"/>
    </row>
    <row r="60" spans="1:5" ht="15.75">
      <c r="A60" s="48">
        <v>4</v>
      </c>
      <c r="B60" s="79"/>
      <c r="C60" s="48"/>
      <c r="D60" s="48"/>
      <c r="E60" s="48"/>
    </row>
    <row r="61" spans="1:5" ht="15.75">
      <c r="A61" s="48">
        <v>5</v>
      </c>
      <c r="B61" s="79"/>
      <c r="C61" s="48"/>
      <c r="D61" s="48"/>
      <c r="E61" s="48"/>
    </row>
    <row r="62" spans="1:5" ht="15.75">
      <c r="A62" s="48" t="s">
        <v>253</v>
      </c>
      <c r="B62" s="80"/>
      <c r="C62" s="48"/>
      <c r="D62" s="48"/>
      <c r="E62" s="48"/>
    </row>
    <row r="63" spans="1:5" ht="15.75">
      <c r="A63" s="48">
        <v>1</v>
      </c>
      <c r="B63" s="79"/>
      <c r="C63" s="48"/>
      <c r="D63" s="48"/>
      <c r="E63" s="48"/>
    </row>
    <row r="64" spans="1:5" ht="15.75">
      <c r="A64" s="48">
        <v>2</v>
      </c>
      <c r="B64" s="79"/>
      <c r="C64" s="48"/>
      <c r="D64" s="48"/>
      <c r="E64" s="48"/>
    </row>
    <row r="65" spans="1:5" ht="15.75">
      <c r="A65" s="48">
        <v>3</v>
      </c>
      <c r="B65" s="79"/>
      <c r="C65" s="48"/>
      <c r="D65" s="48"/>
      <c r="E65" s="48"/>
    </row>
    <row r="66" spans="1:5" ht="15.75">
      <c r="A66" s="48">
        <v>4</v>
      </c>
      <c r="B66" s="79"/>
      <c r="C66" s="48"/>
      <c r="D66" s="48"/>
      <c r="E66" s="48"/>
    </row>
    <row r="67" spans="1:5" ht="15.75">
      <c r="A67" s="48">
        <v>5</v>
      </c>
      <c r="B67" s="79"/>
      <c r="C67" s="48"/>
      <c r="D67" s="48"/>
      <c r="E67" s="48"/>
    </row>
    <row r="68" spans="1:5" ht="15.75">
      <c r="A68" s="48" t="s">
        <v>254</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255</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15.369</v>
      </c>
      <c r="E84" s="48"/>
    </row>
    <row r="85" spans="1:5" ht="15.75">
      <c r="A85" s="48"/>
      <c r="B85" s="88" t="str">
        <f>B18</f>
        <v>Debt Service</v>
      </c>
      <c r="C85" s="48"/>
      <c r="D85" s="79">
        <v>5.509</v>
      </c>
      <c r="E85" s="48"/>
    </row>
    <row r="86" spans="1:5" ht="15.75">
      <c r="A86" s="48"/>
      <c r="B86" s="88">
        <f>B20</f>
        <v>0</v>
      </c>
      <c r="C86" s="48"/>
      <c r="D86" s="79"/>
      <c r="E86" s="48"/>
    </row>
    <row r="87" spans="1:5" ht="15.75">
      <c r="A87" s="48"/>
      <c r="B87" s="88">
        <f aca="true" t="shared" si="0" ref="B87:B96">B21</f>
        <v>0</v>
      </c>
      <c r="C87" s="48"/>
      <c r="D87" s="79"/>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853</v>
      </c>
      <c r="B97" s="72"/>
      <c r="C97" s="82"/>
      <c r="D97" s="89">
        <f>SUM(D84:D96)</f>
        <v>20.878</v>
      </c>
      <c r="E97" s="48"/>
    </row>
    <row r="98" spans="1:5" ht="15.75">
      <c r="A98" s="48"/>
      <c r="B98" s="48"/>
      <c r="C98" s="48"/>
      <c r="D98" s="48"/>
      <c r="E98" s="48"/>
    </row>
    <row r="99" spans="1:5" ht="15.75">
      <c r="A99" s="90" t="str">
        <f>CONCATENATE("Total Tax Levied (",C5-2," budget column)")</f>
        <v>Total Tax Levied (2010 budget column)</v>
      </c>
      <c r="B99" s="91"/>
      <c r="C99" s="72"/>
      <c r="D99" s="82"/>
      <c r="E99" s="68">
        <v>25554</v>
      </c>
    </row>
    <row r="100" spans="1:5" ht="15.75">
      <c r="A100" s="92" t="str">
        <f>CONCATENATE("Assessed Valuation  (",C5-2," budget column)")</f>
        <v>Assessed Valuation  (2010 budget column)</v>
      </c>
      <c r="B100" s="93"/>
      <c r="C100" s="73"/>
      <c r="D100" s="94"/>
      <c r="E100" s="68">
        <v>1223988</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775</v>
      </c>
      <c r="B103" s="59"/>
      <c r="C103" s="99"/>
      <c r="D103" s="100">
        <f>C5-3</f>
        <v>2009</v>
      </c>
      <c r="E103" s="101">
        <f>C5-2</f>
        <v>2010</v>
      </c>
    </row>
    <row r="104" spans="1:5" ht="15.75">
      <c r="A104" s="102" t="s">
        <v>215</v>
      </c>
      <c r="B104" s="102"/>
      <c r="C104" s="103"/>
      <c r="D104" s="104">
        <v>57000</v>
      </c>
      <c r="E104" s="104">
        <v>46000</v>
      </c>
    </row>
    <row r="105" spans="1:5" ht="15.75">
      <c r="A105" s="105" t="s">
        <v>216</v>
      </c>
      <c r="B105" s="105"/>
      <c r="C105" s="106"/>
      <c r="D105" s="104">
        <v>192000</v>
      </c>
      <c r="E105" s="104">
        <v>172127</v>
      </c>
    </row>
    <row r="106" spans="1:5" ht="15.75">
      <c r="A106" s="105" t="s">
        <v>217</v>
      </c>
      <c r="B106" s="105"/>
      <c r="C106" s="106"/>
      <c r="D106" s="104"/>
      <c r="E106" s="104"/>
    </row>
    <row r="107" spans="1:5" ht="15.75">
      <c r="A107" s="105" t="s">
        <v>218</v>
      </c>
      <c r="B107" s="105"/>
      <c r="C107" s="106"/>
      <c r="D107" s="104"/>
      <c r="E107" s="104"/>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110</v>
      </c>
      <c r="C3" s="208"/>
      <c r="D3" s="208"/>
      <c r="E3" s="297"/>
    </row>
    <row r="4" spans="2:5" ht="15.75">
      <c r="B4" s="48"/>
      <c r="C4" s="298"/>
      <c r="D4" s="298"/>
      <c r="E4" s="298"/>
    </row>
    <row r="5" spans="2:5" ht="15.75">
      <c r="B5" s="53" t="s">
        <v>881</v>
      </c>
      <c r="C5" s="620" t="s">
        <v>903</v>
      </c>
      <c r="D5" s="621" t="s">
        <v>192</v>
      </c>
      <c r="E5" s="622" t="s">
        <v>193</v>
      </c>
    </row>
    <row r="6" spans="2:5" ht="15.75">
      <c r="B6" s="571">
        <f>inputPrYr!B29</f>
        <v>0</v>
      </c>
      <c r="C6" s="394">
        <f>E1-2</f>
        <v>2010</v>
      </c>
      <c r="D6" s="394">
        <f>E1-1</f>
        <v>2011</v>
      </c>
      <c r="E6" s="258">
        <f>E1</f>
        <v>2012</v>
      </c>
    </row>
    <row r="7" spans="2:5" ht="15.75">
      <c r="B7" s="259" t="s">
        <v>165</v>
      </c>
      <c r="C7" s="264"/>
      <c r="D7" s="262">
        <f>C33</f>
        <v>0</v>
      </c>
      <c r="E7" s="235">
        <f>D33</f>
        <v>0</v>
      </c>
    </row>
    <row r="8" spans="2:5" ht="15.75">
      <c r="B8" s="263" t="s">
        <v>167</v>
      </c>
      <c r="C8" s="162"/>
      <c r="D8" s="162"/>
      <c r="E8" s="88"/>
    </row>
    <row r="9" spans="2:5" ht="15.75">
      <c r="B9" s="153" t="s">
        <v>882</v>
      </c>
      <c r="C9" s="264"/>
      <c r="D9" s="262">
        <f>inputPrYr!E28</f>
        <v>0</v>
      </c>
      <c r="E9" s="294" t="s">
        <v>870</v>
      </c>
    </row>
    <row r="10" spans="2:5" ht="15.75">
      <c r="B10" s="153" t="s">
        <v>883</v>
      </c>
      <c r="C10" s="264"/>
      <c r="D10" s="264"/>
      <c r="E10" s="68"/>
    </row>
    <row r="11" spans="2:5" ht="15.75">
      <c r="B11" s="153" t="s">
        <v>884</v>
      </c>
      <c r="C11" s="264"/>
      <c r="D11" s="264"/>
      <c r="E11" s="235" t="str">
        <f>mvalloc!C18</f>
        <v>  </v>
      </c>
    </row>
    <row r="12" spans="2:5" ht="15.75">
      <c r="B12" s="153" t="s">
        <v>885</v>
      </c>
      <c r="C12" s="264"/>
      <c r="D12" s="264"/>
      <c r="E12" s="235" t="str">
        <f>mvalloc!D18</f>
        <v> </v>
      </c>
    </row>
    <row r="13" spans="2:5" ht="15.75">
      <c r="B13" s="162" t="s">
        <v>142</v>
      </c>
      <c r="C13" s="264"/>
      <c r="D13" s="264"/>
      <c r="E13" s="235" t="str">
        <f>mvalloc!E18</f>
        <v> </v>
      </c>
    </row>
    <row r="14" spans="2:5" ht="15.75">
      <c r="B14" s="295" t="s">
        <v>210</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889</v>
      </c>
      <c r="C18" s="264"/>
      <c r="D18" s="264"/>
      <c r="E18" s="68"/>
    </row>
    <row r="19" spans="2:5" ht="15.75">
      <c r="B19" s="162" t="s">
        <v>789</v>
      </c>
      <c r="C19" s="264"/>
      <c r="D19" s="264"/>
      <c r="E19" s="68"/>
    </row>
    <row r="20" spans="2:5" ht="15.75">
      <c r="B20" s="259" t="s">
        <v>360</v>
      </c>
      <c r="C20" s="269">
        <f>IF(C21*0.1&lt;C19,"Exceed 10% Rule","")</f>
      </c>
      <c r="D20" s="269">
        <f>IF(D21*0.1&lt;D19,"Exceed 10% Rule","")</f>
      </c>
      <c r="E20" s="309">
        <f>IF(E21*0.1+E39&lt;E19,"Exceed 10% Rule","")</f>
      </c>
    </row>
    <row r="21" spans="2:5" ht="15.75">
      <c r="B21" s="271" t="s">
        <v>890</v>
      </c>
      <c r="C21" s="273">
        <f>SUM(C9:C19)</f>
        <v>0</v>
      </c>
      <c r="D21" s="273">
        <f>SUM(D9:D19)</f>
        <v>0</v>
      </c>
      <c r="E21" s="274">
        <f>SUM(E9:E19)</f>
        <v>0</v>
      </c>
    </row>
    <row r="22" spans="2:5" ht="15.75">
      <c r="B22" s="271" t="s">
        <v>891</v>
      </c>
      <c r="C22" s="273">
        <f>C7+C21</f>
        <v>0</v>
      </c>
      <c r="D22" s="273">
        <f>D7+D21</f>
        <v>0</v>
      </c>
      <c r="E22" s="274">
        <f>E7+E21</f>
        <v>0</v>
      </c>
    </row>
    <row r="23" spans="2:5" ht="15.75">
      <c r="B23" s="153" t="s">
        <v>893</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788</v>
      </c>
      <c r="C29" s="264"/>
      <c r="D29" s="264"/>
      <c r="E29" s="83">
        <f>nhood!E17</f>
      </c>
    </row>
    <row r="30" spans="2:5" ht="15.75">
      <c r="B30" s="281" t="s">
        <v>789</v>
      </c>
      <c r="C30" s="264"/>
      <c r="D30" s="264"/>
      <c r="E30" s="68"/>
    </row>
    <row r="31" spans="2:5" ht="15.75">
      <c r="B31" s="281" t="s">
        <v>361</v>
      </c>
      <c r="C31" s="269">
        <f>IF(C32*0.1&lt;C30,"Exceed 10% Rule","")</f>
      </c>
      <c r="D31" s="269">
        <f>IF(D32*0.1&lt;D30,"Exceed 10% Rule","")</f>
      </c>
      <c r="E31" s="309">
        <f>IF(E32*0.1&lt;E30,"Exceed 10% Rule","")</f>
      </c>
    </row>
    <row r="32" spans="2:5" ht="15.75">
      <c r="B32" s="271" t="s">
        <v>897</v>
      </c>
      <c r="C32" s="273">
        <f>SUM(C24:C30)</f>
        <v>0</v>
      </c>
      <c r="D32" s="273">
        <f>SUM(D24:D30)</f>
        <v>0</v>
      </c>
      <c r="E32" s="274">
        <f>SUM(E24:E30)</f>
        <v>0</v>
      </c>
    </row>
    <row r="33" spans="2:5" ht="15.75">
      <c r="B33" s="153" t="s">
        <v>166</v>
      </c>
      <c r="C33" s="277">
        <f>C22-C32</f>
        <v>0</v>
      </c>
      <c r="D33" s="277">
        <f>D22-D32</f>
        <v>0</v>
      </c>
      <c r="E33" s="294" t="s">
        <v>870</v>
      </c>
    </row>
    <row r="34" spans="2:6" ht="15.75">
      <c r="B34" s="139" t="str">
        <f>CONCATENATE("",E1-2,"/",E1-1," Budget Authority Amount:")</f>
        <v>2010/2011 Budget Authority Amount:</v>
      </c>
      <c r="C34" s="248">
        <f>inputOth!B72</f>
        <v>0</v>
      </c>
      <c r="D34" s="248">
        <f>inputPrYr!D29</f>
        <v>0</v>
      </c>
      <c r="E34" s="294" t="s">
        <v>870</v>
      </c>
      <c r="F34" s="283"/>
    </row>
    <row r="35" spans="2:6" ht="15.75">
      <c r="B35" s="139"/>
      <c r="C35" s="694" t="s">
        <v>46</v>
      </c>
      <c r="D35" s="695"/>
      <c r="E35" s="68"/>
      <c r="F35" s="283">
        <f>IF(E32/0.95-E32&lt;E35,"Exceeds 5%","")</f>
      </c>
    </row>
    <row r="36" spans="2:5" ht="15.75">
      <c r="B36" s="561" t="str">
        <f>CONCATENATE(C90,"     ",D90)</f>
        <v>     </v>
      </c>
      <c r="C36" s="696" t="s">
        <v>47</v>
      </c>
      <c r="D36" s="697"/>
      <c r="E36" s="235">
        <f>E32+E35</f>
        <v>0</v>
      </c>
    </row>
    <row r="37" spans="2:5" ht="15.75">
      <c r="B37" s="561" t="str">
        <f>CONCATENATE(C91,"     ",D91)</f>
        <v>     </v>
      </c>
      <c r="C37" s="284"/>
      <c r="D37" s="172" t="s">
        <v>898</v>
      </c>
      <c r="E37" s="83">
        <f>IF(E36-E22&gt;0,E36-E22,0)</f>
        <v>0</v>
      </c>
    </row>
    <row r="38" spans="2:5" ht="15.75">
      <c r="B38" s="172"/>
      <c r="C38" s="405" t="s">
        <v>45</v>
      </c>
      <c r="D38" s="406">
        <f>inputOth!$E$48</f>
        <v>0.02</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881</v>
      </c>
      <c r="C41" s="145"/>
      <c r="D41" s="145"/>
      <c r="E41" s="145"/>
    </row>
    <row r="42" spans="2:5" ht="15.75">
      <c r="B42" s="48"/>
      <c r="C42" s="620" t="s">
        <v>903</v>
      </c>
      <c r="D42" s="621" t="s">
        <v>192</v>
      </c>
      <c r="E42" s="622" t="s">
        <v>193</v>
      </c>
    </row>
    <row r="43" spans="2:5" ht="15.75">
      <c r="B43" s="571">
        <f>inputPrYr!B30</f>
        <v>0</v>
      </c>
      <c r="C43" s="394">
        <f>E1-2</f>
        <v>2010</v>
      </c>
      <c r="D43" s="394">
        <f>E1-1</f>
        <v>2011</v>
      </c>
      <c r="E43" s="258">
        <f>E1</f>
        <v>2012</v>
      </c>
    </row>
    <row r="44" spans="2:5" ht="15.75">
      <c r="B44" s="259" t="s">
        <v>165</v>
      </c>
      <c r="C44" s="264"/>
      <c r="D44" s="262">
        <f>C70</f>
        <v>0</v>
      </c>
      <c r="E44" s="235">
        <f>D70</f>
        <v>0</v>
      </c>
    </row>
    <row r="45" spans="2:5" ht="15.75">
      <c r="B45" s="263" t="s">
        <v>167</v>
      </c>
      <c r="C45" s="162"/>
      <c r="D45" s="162"/>
      <c r="E45" s="88"/>
    </row>
    <row r="46" spans="2:5" ht="15.75">
      <c r="B46" s="153" t="s">
        <v>882</v>
      </c>
      <c r="C46" s="264"/>
      <c r="D46" s="262">
        <f>inputPrYr!E29</f>
        <v>0</v>
      </c>
      <c r="E46" s="294" t="s">
        <v>870</v>
      </c>
    </row>
    <row r="47" spans="2:5" ht="15.75">
      <c r="B47" s="153" t="s">
        <v>883</v>
      </c>
      <c r="C47" s="264"/>
      <c r="D47" s="264"/>
      <c r="E47" s="68"/>
    </row>
    <row r="48" spans="2:5" ht="15.75">
      <c r="B48" s="153" t="s">
        <v>884</v>
      </c>
      <c r="C48" s="264"/>
      <c r="D48" s="264"/>
      <c r="E48" s="235" t="str">
        <f>mvalloc!C19</f>
        <v>  </v>
      </c>
    </row>
    <row r="49" spans="2:5" ht="15.75">
      <c r="B49" s="153" t="s">
        <v>885</v>
      </c>
      <c r="C49" s="264"/>
      <c r="D49" s="264"/>
      <c r="E49" s="235" t="str">
        <f>mvalloc!D19</f>
        <v> </v>
      </c>
    </row>
    <row r="50" spans="2:5" ht="15.75">
      <c r="B50" s="162" t="s">
        <v>142</v>
      </c>
      <c r="C50" s="264"/>
      <c r="D50" s="264"/>
      <c r="E50" s="235" t="str">
        <f>mvalloc!E19</f>
        <v> </v>
      </c>
    </row>
    <row r="51" spans="2:5" ht="15.75">
      <c r="B51" s="295" t="s">
        <v>210</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889</v>
      </c>
      <c r="C55" s="264"/>
      <c r="D55" s="264"/>
      <c r="E55" s="68"/>
    </row>
    <row r="56" spans="2:5" ht="15.75">
      <c r="B56" s="162" t="s">
        <v>789</v>
      </c>
      <c r="C56" s="264"/>
      <c r="D56" s="264"/>
      <c r="E56" s="68"/>
    </row>
    <row r="57" spans="2:5" ht="15.75">
      <c r="B57" s="259" t="s">
        <v>363</v>
      </c>
      <c r="C57" s="269">
        <f>IF(C58*0.1&lt;C56,"Exceed 10% Rule","")</f>
      </c>
      <c r="D57" s="269">
        <f>IF(D58*0.1&lt;D56,"Exceed 10% Rule","")</f>
      </c>
      <c r="E57" s="309">
        <f>IF(E58*0.1+E76&lt;E56,"Exceed 10% Rule","")</f>
      </c>
    </row>
    <row r="58" spans="2:5" ht="15.75">
      <c r="B58" s="271" t="s">
        <v>890</v>
      </c>
      <c r="C58" s="273">
        <f>SUM(C46:C56)</f>
        <v>0</v>
      </c>
      <c r="D58" s="273">
        <f>SUM(D46:D56)</f>
        <v>0</v>
      </c>
      <c r="E58" s="274">
        <f>SUM(E46:E56)</f>
        <v>0</v>
      </c>
    </row>
    <row r="59" spans="2:5" ht="15.75">
      <c r="B59" s="271" t="s">
        <v>891</v>
      </c>
      <c r="C59" s="273">
        <f>C44+C58</f>
        <v>0</v>
      </c>
      <c r="D59" s="273">
        <f>D44+D58</f>
        <v>0</v>
      </c>
      <c r="E59" s="274">
        <f>E44+E58</f>
        <v>0</v>
      </c>
    </row>
    <row r="60" spans="2:5" ht="15.75">
      <c r="B60" s="153" t="s">
        <v>893</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788</v>
      </c>
      <c r="C66" s="264"/>
      <c r="D66" s="264"/>
      <c r="E66" s="83">
        <f>nhood!E18</f>
      </c>
    </row>
    <row r="67" spans="2:5" ht="15.75">
      <c r="B67" s="281" t="s">
        <v>789</v>
      </c>
      <c r="C67" s="264"/>
      <c r="D67" s="264"/>
      <c r="E67" s="68"/>
    </row>
    <row r="68" spans="2:5" ht="15.75">
      <c r="B68" s="281" t="s">
        <v>364</v>
      </c>
      <c r="C68" s="269">
        <f>IF(C69*0.1&lt;C67,"Exceed 10% Rule","")</f>
      </c>
      <c r="D68" s="269">
        <f>IF(D69*0.1&lt;D67,"Exceed 10% Rule","")</f>
      </c>
      <c r="E68" s="309">
        <f>IF(E69*0.1&lt;E67,"Exceed 10% Rule","")</f>
      </c>
    </row>
    <row r="69" spans="2:5" ht="15.75">
      <c r="B69" s="271" t="s">
        <v>897</v>
      </c>
      <c r="C69" s="273">
        <f>SUM(C61:C67)</f>
        <v>0</v>
      </c>
      <c r="D69" s="273">
        <f>SUM(D61:D67)</f>
        <v>0</v>
      </c>
      <c r="E69" s="274">
        <f>SUM(E61:E67)</f>
        <v>0</v>
      </c>
    </row>
    <row r="70" spans="2:5" ht="15.75">
      <c r="B70" s="153" t="s">
        <v>166</v>
      </c>
      <c r="C70" s="277">
        <f>C59-C69</f>
        <v>0</v>
      </c>
      <c r="D70" s="277">
        <f>D59-D69</f>
        <v>0</v>
      </c>
      <c r="E70" s="294" t="s">
        <v>870</v>
      </c>
    </row>
    <row r="71" spans="2:6" ht="15.75">
      <c r="B71" s="139" t="str">
        <f>CONCATENATE("",E1-2,"/",E1-1," Budget Authority Amount:")</f>
        <v>2010/2011 Budget Authority Amount:</v>
      </c>
      <c r="C71" s="248">
        <f>inputOth!B73</f>
        <v>0</v>
      </c>
      <c r="D71" s="248">
        <f>inputPrYr!D30</f>
        <v>0</v>
      </c>
      <c r="E71" s="294" t="s">
        <v>870</v>
      </c>
      <c r="F71" s="283"/>
    </row>
    <row r="72" spans="2:6" ht="15.75">
      <c r="B72" s="139"/>
      <c r="C72" s="694" t="s">
        <v>46</v>
      </c>
      <c r="D72" s="695"/>
      <c r="E72" s="68"/>
      <c r="F72" s="283">
        <f>IF(E69/0.95-E69&lt;E72,"Exceeds 5%","")</f>
      </c>
    </row>
    <row r="73" spans="2:5" ht="15.75">
      <c r="B73" s="561" t="str">
        <f>CONCATENATE(C92,"     ",D92)</f>
        <v>     </v>
      </c>
      <c r="C73" s="696" t="s">
        <v>47</v>
      </c>
      <c r="D73" s="697"/>
      <c r="E73" s="235">
        <f>E69+E72</f>
        <v>0</v>
      </c>
    </row>
    <row r="74" spans="2:5" ht="15.75">
      <c r="B74" s="561" t="str">
        <f>CONCATENATE(C93,"     ",D93)</f>
        <v>     </v>
      </c>
      <c r="C74" s="284"/>
      <c r="D74" s="172" t="s">
        <v>898</v>
      </c>
      <c r="E74" s="83">
        <f>IF(E73-E59&gt;0,E73-E59,0)</f>
        <v>0</v>
      </c>
    </row>
    <row r="75" spans="2:5" ht="15.75">
      <c r="B75" s="139"/>
      <c r="C75" s="405" t="s">
        <v>45</v>
      </c>
      <c r="D75" s="406">
        <f>inputOth!$E$48</f>
        <v>0.02</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900</v>
      </c>
      <c r="C78" s="289"/>
      <c r="D78" s="48"/>
      <c r="E78" s="48"/>
    </row>
    <row r="79" ht="15.75">
      <c r="B79" s="99"/>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7">
      <selection activeCell="C67" sqref="C6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t="str">
        <f>(inputPrYr!B34)</f>
        <v>Special Highway</v>
      </c>
      <c r="C5" s="258">
        <f>E1-2</f>
        <v>2010</v>
      </c>
      <c r="D5" s="258">
        <f>E1-1</f>
        <v>2011</v>
      </c>
      <c r="E5" s="258">
        <f>E1</f>
        <v>2012</v>
      </c>
    </row>
    <row r="6" spans="2:5" ht="15.75">
      <c r="B6" s="259" t="s">
        <v>165</v>
      </c>
      <c r="C6" s="68">
        <v>14312</v>
      </c>
      <c r="D6" s="235">
        <f>C31</f>
        <v>15169</v>
      </c>
      <c r="E6" s="235">
        <f>D31</f>
        <v>13592</v>
      </c>
    </row>
    <row r="7" spans="2:5" ht="15.75">
      <c r="B7" s="263" t="s">
        <v>167</v>
      </c>
      <c r="C7" s="88"/>
      <c r="D7" s="88"/>
      <c r="E7" s="88"/>
    </row>
    <row r="8" spans="2:5" ht="15.75">
      <c r="B8" s="281" t="s">
        <v>145</v>
      </c>
      <c r="C8" s="68">
        <v>5600</v>
      </c>
      <c r="D8" s="302">
        <f>inputOth!E53</f>
        <v>5600</v>
      </c>
      <c r="E8" s="235">
        <f>inputOth!E51</f>
        <v>5600</v>
      </c>
    </row>
    <row r="9" spans="2:5" ht="15.75">
      <c r="B9" s="303" t="s">
        <v>223</v>
      </c>
      <c r="C9" s="68">
        <v>928</v>
      </c>
      <c r="D9" s="302">
        <f>inputOth!E54</f>
        <v>823</v>
      </c>
      <c r="E9" s="302">
        <f>inputOth!E52</f>
        <v>882</v>
      </c>
    </row>
    <row r="10" spans="2:5" ht="15.75">
      <c r="B10" s="280"/>
      <c r="C10" s="68"/>
      <c r="D10" s="68"/>
      <c r="E10" s="68"/>
    </row>
    <row r="11" spans="2:5" ht="15.75">
      <c r="B11" s="280" t="s">
        <v>423</v>
      </c>
      <c r="C11" s="68">
        <v>345</v>
      </c>
      <c r="D11" s="68"/>
      <c r="E11" s="68"/>
    </row>
    <row r="12" spans="2:5" ht="15.75">
      <c r="B12" s="280"/>
      <c r="C12" s="68"/>
      <c r="D12" s="68"/>
      <c r="E12" s="68"/>
    </row>
    <row r="13" spans="2:5" ht="15.75">
      <c r="B13" s="280"/>
      <c r="C13" s="68"/>
      <c r="D13" s="68"/>
      <c r="E13" s="68"/>
    </row>
    <row r="14" spans="2:5" ht="15.75">
      <c r="B14" s="268" t="s">
        <v>889</v>
      </c>
      <c r="C14" s="68"/>
      <c r="D14" s="68"/>
      <c r="E14" s="68"/>
    </row>
    <row r="15" spans="2:5" ht="15.75">
      <c r="B15" s="162" t="s">
        <v>789</v>
      </c>
      <c r="C15" s="68"/>
      <c r="D15" s="265"/>
      <c r="E15" s="265"/>
    </row>
    <row r="16" spans="2:5" ht="15.75">
      <c r="B16" s="259" t="s">
        <v>360</v>
      </c>
      <c r="C16" s="309">
        <f>IF(C17*0.1&lt;C15,"Exceed 10% Rule","")</f>
      </c>
      <c r="D16" s="270">
        <f>IF(D17*0.1&lt;D15,"Exceed 10% Rule","")</f>
      </c>
      <c r="E16" s="270">
        <f>IF(E17*0.1&lt;E15,"Exceed 10% Rule","")</f>
      </c>
    </row>
    <row r="17" spans="2:5" ht="15.75">
      <c r="B17" s="271" t="s">
        <v>890</v>
      </c>
      <c r="C17" s="274">
        <f>SUM(C8:C15)</f>
        <v>6873</v>
      </c>
      <c r="D17" s="274">
        <f>SUM(D8:D15)</f>
        <v>6423</v>
      </c>
      <c r="E17" s="274">
        <f>SUM(E8:E15)</f>
        <v>6482</v>
      </c>
    </row>
    <row r="18" spans="2:5" ht="15.75">
      <c r="B18" s="271" t="s">
        <v>891</v>
      </c>
      <c r="C18" s="274">
        <f>C6+C17</f>
        <v>21185</v>
      </c>
      <c r="D18" s="274">
        <f>D6+D17</f>
        <v>21592</v>
      </c>
      <c r="E18" s="274">
        <f>E6+E17</f>
        <v>20074</v>
      </c>
    </row>
    <row r="19" spans="2:5" ht="15.75">
      <c r="B19" s="153" t="s">
        <v>893</v>
      </c>
      <c r="C19" s="235"/>
      <c r="D19" s="235"/>
      <c r="E19" s="235"/>
    </row>
    <row r="20" spans="2:5" ht="15.75">
      <c r="B20" s="280"/>
      <c r="C20" s="68"/>
      <c r="D20" s="68"/>
      <c r="E20" s="68"/>
    </row>
    <row r="21" spans="2:5" ht="15.75">
      <c r="B21" s="280"/>
      <c r="C21" s="68"/>
      <c r="D21" s="68"/>
      <c r="E21" s="68"/>
    </row>
    <row r="22" spans="2:5" ht="15.75">
      <c r="B22" s="280" t="s">
        <v>424</v>
      </c>
      <c r="C22" s="68">
        <v>6016</v>
      </c>
      <c r="D22" s="68">
        <v>8000</v>
      </c>
      <c r="E22" s="68">
        <v>20000</v>
      </c>
    </row>
    <row r="23" spans="2:5" ht="15.75">
      <c r="B23" s="280"/>
      <c r="C23" s="68"/>
      <c r="D23" s="68"/>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789</v>
      </c>
      <c r="C28" s="68"/>
      <c r="D28" s="265"/>
      <c r="E28" s="265"/>
    </row>
    <row r="29" spans="2:5" ht="15.75">
      <c r="B29" s="281" t="s">
        <v>361</v>
      </c>
      <c r="C29" s="309">
        <f>IF(C30*0.1&lt;C28,"Exceed 10% Rule","")</f>
      </c>
      <c r="D29" s="270">
        <f>IF(D30*0.1&lt;D28,"Exceed 10% Rule","")</f>
      </c>
      <c r="E29" s="270">
        <f>IF(E30*0.1&lt;E28,"Exceed 10% Rule","")</f>
      </c>
    </row>
    <row r="30" spans="2:5" ht="15.75">
      <c r="B30" s="271" t="s">
        <v>897</v>
      </c>
      <c r="C30" s="274">
        <f>SUM(C20:C28)</f>
        <v>6016</v>
      </c>
      <c r="D30" s="274">
        <f>SUM(D20:D28)</f>
        <v>8000</v>
      </c>
      <c r="E30" s="274">
        <f>SUM(E20:E28)</f>
        <v>20000</v>
      </c>
    </row>
    <row r="31" spans="2:5" ht="15.75">
      <c r="B31" s="153" t="s">
        <v>166</v>
      </c>
      <c r="C31" s="83">
        <f>C18-C30</f>
        <v>15169</v>
      </c>
      <c r="D31" s="83">
        <f>D18-D30</f>
        <v>13592</v>
      </c>
      <c r="E31" s="83">
        <f>E18-E30</f>
        <v>74</v>
      </c>
    </row>
    <row r="32" spans="2:5" ht="15.75">
      <c r="B32" s="139" t="str">
        <f>CONCATENATE("",E1-2,"/",E1-1," Budget Authority Amount:")</f>
        <v>2010/2011 Budget Authority Amount:</v>
      </c>
      <c r="C32" s="248">
        <f>inputOth!B74</f>
        <v>13300</v>
      </c>
      <c r="D32" s="248">
        <f>inputPrYr!D34</f>
        <v>13900</v>
      </c>
      <c r="E32" s="396">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881</v>
      </c>
      <c r="C36" s="304"/>
      <c r="D36" s="304"/>
      <c r="E36" s="304"/>
    </row>
    <row r="37" spans="2:5" ht="15.75">
      <c r="B37" s="48"/>
      <c r="C37" s="623" t="s">
        <v>903</v>
      </c>
      <c r="D37" s="622" t="s">
        <v>192</v>
      </c>
      <c r="E37" s="622" t="s">
        <v>193</v>
      </c>
    </row>
    <row r="38" spans="2:5" ht="15.75">
      <c r="B38" s="571" t="str">
        <f>(inputPrYr!B35)</f>
        <v>Water Utility</v>
      </c>
      <c r="C38" s="258">
        <f>C5</f>
        <v>2010</v>
      </c>
      <c r="D38" s="258">
        <f>D5</f>
        <v>2011</v>
      </c>
      <c r="E38" s="258">
        <f>E5</f>
        <v>2012</v>
      </c>
    </row>
    <row r="39" spans="2:5" ht="15.75">
      <c r="B39" s="259" t="s">
        <v>165</v>
      </c>
      <c r="C39" s="68">
        <v>5722</v>
      </c>
      <c r="D39" s="235">
        <f>C62</f>
        <v>7584</v>
      </c>
      <c r="E39" s="235">
        <f>D62</f>
        <v>5165</v>
      </c>
    </row>
    <row r="40" spans="2:5" ht="15.75">
      <c r="B40" s="263" t="s">
        <v>167</v>
      </c>
      <c r="C40" s="88"/>
      <c r="D40" s="88"/>
      <c r="E40" s="88"/>
    </row>
    <row r="41" spans="2:5" ht="15.75">
      <c r="B41" s="280" t="s">
        <v>425</v>
      </c>
      <c r="C41" s="68">
        <v>41866</v>
      </c>
      <c r="D41" s="68">
        <v>40000</v>
      </c>
      <c r="E41" s="68">
        <v>41000</v>
      </c>
    </row>
    <row r="42" spans="2:5" ht="15.75">
      <c r="B42" s="280"/>
      <c r="C42" s="68"/>
      <c r="D42" s="68"/>
      <c r="E42" s="68"/>
    </row>
    <row r="43" spans="2:5" ht="15.75">
      <c r="B43" s="280" t="s">
        <v>426</v>
      </c>
      <c r="C43" s="68">
        <v>144</v>
      </c>
      <c r="D43" s="68">
        <v>150</v>
      </c>
      <c r="E43" s="68">
        <v>150</v>
      </c>
    </row>
    <row r="44" spans="2:5" ht="15.75">
      <c r="B44" s="280" t="s">
        <v>427</v>
      </c>
      <c r="C44" s="68">
        <v>600</v>
      </c>
      <c r="D44" s="68">
        <v>300</v>
      </c>
      <c r="E44" s="68">
        <v>300</v>
      </c>
    </row>
    <row r="45" spans="2:5" ht="15.75">
      <c r="B45" s="268" t="s">
        <v>889</v>
      </c>
      <c r="C45" s="68"/>
      <c r="D45" s="68"/>
      <c r="E45" s="68"/>
    </row>
    <row r="46" spans="2:5" ht="15.75">
      <c r="B46" s="162" t="s">
        <v>789</v>
      </c>
      <c r="C46" s="68"/>
      <c r="D46" s="265"/>
      <c r="E46" s="265"/>
    </row>
    <row r="47" spans="2:5" ht="15.75">
      <c r="B47" s="259" t="s">
        <v>360</v>
      </c>
      <c r="C47" s="309">
        <f>IF(C48*0.1&lt;C46,"Exceed 10% Rule","")</f>
      </c>
      <c r="D47" s="270">
        <f>IF(D48*0.1&lt;D46,"Exceed 10% Rule","")</f>
      </c>
      <c r="E47" s="270">
        <f>IF(E48*0.1&lt;E46,"Exceed 10% Rule","")</f>
      </c>
    </row>
    <row r="48" spans="2:5" ht="15.75">
      <c r="B48" s="271" t="s">
        <v>890</v>
      </c>
      <c r="C48" s="274">
        <f>SUM(C41:C46)</f>
        <v>42610</v>
      </c>
      <c r="D48" s="274">
        <f>SUM(D41:D46)</f>
        <v>40450</v>
      </c>
      <c r="E48" s="274">
        <f>SUM(E41:E46)</f>
        <v>41450</v>
      </c>
    </row>
    <row r="49" spans="2:5" ht="15.75">
      <c r="B49" s="271" t="s">
        <v>891</v>
      </c>
      <c r="C49" s="274">
        <f>C39+C48</f>
        <v>48332</v>
      </c>
      <c r="D49" s="274">
        <f>D39+D48</f>
        <v>48034</v>
      </c>
      <c r="E49" s="274">
        <f>E39+E48</f>
        <v>46615</v>
      </c>
    </row>
    <row r="50" spans="2:5" ht="15.75">
      <c r="B50" s="153" t="s">
        <v>893</v>
      </c>
      <c r="C50" s="235"/>
      <c r="D50" s="235"/>
      <c r="E50" s="235"/>
    </row>
    <row r="51" spans="2:5" ht="15.75">
      <c r="B51" s="280" t="s">
        <v>428</v>
      </c>
      <c r="C51" s="68">
        <v>3860</v>
      </c>
      <c r="D51" s="68">
        <v>6000</v>
      </c>
      <c r="E51" s="68">
        <v>8900</v>
      </c>
    </row>
    <row r="52" spans="2:5" ht="15.75">
      <c r="B52" s="280" t="s">
        <v>429</v>
      </c>
      <c r="C52" s="68">
        <v>30911</v>
      </c>
      <c r="D52" s="68">
        <v>31000</v>
      </c>
      <c r="E52" s="68">
        <v>32000</v>
      </c>
    </row>
    <row r="53" spans="2:5" ht="15.75">
      <c r="B53" s="280" t="s">
        <v>430</v>
      </c>
      <c r="C53" s="68">
        <v>207</v>
      </c>
      <c r="D53" s="68">
        <v>85</v>
      </c>
      <c r="E53" s="68">
        <v>100</v>
      </c>
    </row>
    <row r="54" spans="2:5" ht="15.75">
      <c r="B54" s="280" t="s">
        <v>431</v>
      </c>
      <c r="C54" s="68">
        <v>487</v>
      </c>
      <c r="D54" s="68">
        <v>484</v>
      </c>
      <c r="E54" s="68">
        <v>300</v>
      </c>
    </row>
    <row r="55" spans="2:5" ht="15.75">
      <c r="B55" s="280" t="s">
        <v>426</v>
      </c>
      <c r="C55" s="68">
        <v>283</v>
      </c>
      <c r="D55" s="68">
        <v>300</v>
      </c>
      <c r="E55" s="68">
        <v>300</v>
      </c>
    </row>
    <row r="56" spans="2:5" ht="15.75">
      <c r="B56" s="280" t="s">
        <v>432</v>
      </c>
      <c r="C56" s="68">
        <v>5000</v>
      </c>
      <c r="D56" s="68">
        <v>5000</v>
      </c>
      <c r="E56" s="68">
        <v>5000</v>
      </c>
    </row>
    <row r="57" spans="2:5" ht="15.75">
      <c r="B57" s="280"/>
      <c r="C57" s="68"/>
      <c r="D57" s="68"/>
      <c r="E57" s="68"/>
    </row>
    <row r="58" spans="2:5" ht="15.75">
      <c r="B58" s="280"/>
      <c r="C58" s="68"/>
      <c r="D58" s="68"/>
      <c r="E58" s="68"/>
    </row>
    <row r="59" spans="2:5" ht="15.75">
      <c r="B59" s="281" t="s">
        <v>789</v>
      </c>
      <c r="C59" s="68"/>
      <c r="D59" s="265"/>
      <c r="E59" s="265"/>
    </row>
    <row r="60" spans="2:5" ht="15.75">
      <c r="B60" s="281" t="s">
        <v>361</v>
      </c>
      <c r="C60" s="309">
        <f>IF(C61*0.1&lt;C59,"Exceed 10% Rule","")</f>
      </c>
      <c r="D60" s="270">
        <f>IF(D61*0.1&lt;D59,"Exceed 10% Rule","")</f>
      </c>
      <c r="E60" s="270">
        <f>IF(E61*0.1&lt;E59,"Exceed 10% Rule","")</f>
      </c>
    </row>
    <row r="61" spans="2:5" ht="15.75">
      <c r="B61" s="271" t="s">
        <v>897</v>
      </c>
      <c r="C61" s="274">
        <f>SUM(C51:C59)</f>
        <v>40748</v>
      </c>
      <c r="D61" s="274">
        <f>SUM(D51:D59)</f>
        <v>42869</v>
      </c>
      <c r="E61" s="274">
        <f>SUM(E51:E59)</f>
        <v>46600</v>
      </c>
    </row>
    <row r="62" spans="2:5" ht="15.75">
      <c r="B62" s="153" t="s">
        <v>166</v>
      </c>
      <c r="C62" s="83">
        <f>C49-C61</f>
        <v>7584</v>
      </c>
      <c r="D62" s="83">
        <f>D49-D61</f>
        <v>5165</v>
      </c>
      <c r="E62" s="83">
        <f>E49-E61</f>
        <v>15</v>
      </c>
    </row>
    <row r="63" spans="2:5" ht="15.75">
      <c r="B63" s="139" t="str">
        <f>CONCATENATE("",E1-2,"/",E1-1," Budget Authority Amount:")</f>
        <v>2010/2011 Budget Authority Amount:</v>
      </c>
      <c r="C63" s="248">
        <f>inputOth!B75</f>
        <v>42994</v>
      </c>
      <c r="D63" s="248">
        <f>inputPrYr!D35</f>
        <v>44600</v>
      </c>
      <c r="E63" s="396">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4" t="s">
        <v>900</v>
      </c>
      <c r="C67" s="289">
        <v>9</v>
      </c>
      <c r="D67" s="48"/>
      <c r="E67" s="48"/>
    </row>
  </sheetData>
  <sheetProtection sheet="1"/>
  <conditionalFormatting sqref="C15">
    <cfRule type="cellIs" priority="3" dxfId="8" operator="greaterThan" stopIfTrue="1">
      <formula>$C$17*0.1</formula>
    </cfRule>
  </conditionalFormatting>
  <conditionalFormatting sqref="D15">
    <cfRule type="cellIs" priority="4" dxfId="8" operator="greaterThan" stopIfTrue="1">
      <formula>$D$17*0.1</formula>
    </cfRule>
  </conditionalFormatting>
  <conditionalFormatting sqref="E15">
    <cfRule type="cellIs" priority="5" dxfId="8" operator="greaterThan" stopIfTrue="1">
      <formula>$E$17*0.1</formula>
    </cfRule>
  </conditionalFormatting>
  <conditionalFormatting sqref="C28">
    <cfRule type="cellIs" priority="6" dxfId="8" operator="greaterThan" stopIfTrue="1">
      <formula>$C$30*0.1</formula>
    </cfRule>
  </conditionalFormatting>
  <conditionalFormatting sqref="D28">
    <cfRule type="cellIs" priority="7" dxfId="8" operator="greaterThan" stopIfTrue="1">
      <formula>$D$30*0.1</formula>
    </cfRule>
  </conditionalFormatting>
  <conditionalFormatting sqref="E28">
    <cfRule type="cellIs" priority="8" dxfId="8" operator="greaterThan" stopIfTrue="1">
      <formula>$E$30*0.1</formula>
    </cfRule>
  </conditionalFormatting>
  <conditionalFormatting sqref="C46">
    <cfRule type="cellIs" priority="9" dxfId="8" operator="greaterThan" stopIfTrue="1">
      <formula>$C$48*0.1</formula>
    </cfRule>
  </conditionalFormatting>
  <conditionalFormatting sqref="D46">
    <cfRule type="cellIs" priority="10" dxfId="8" operator="greaterThan" stopIfTrue="1">
      <formula>$D$48*0.1</formula>
    </cfRule>
  </conditionalFormatting>
  <conditionalFormatting sqref="E46">
    <cfRule type="cellIs" priority="11" dxfId="8" operator="greaterThan" stopIfTrue="1">
      <formula>$E$48*0.1</formula>
    </cfRule>
  </conditionalFormatting>
  <conditionalFormatting sqref="C59">
    <cfRule type="cellIs" priority="12" dxfId="8" operator="greaterThan" stopIfTrue="1">
      <formula>$C$61*0.1</formula>
    </cfRule>
  </conditionalFormatting>
  <conditionalFormatting sqref="D59">
    <cfRule type="cellIs" priority="13" dxfId="8" operator="greaterThan" stopIfTrue="1">
      <formula>$D$61*0.1</formula>
    </cfRule>
  </conditionalFormatting>
  <conditionalFormatting sqref="E59">
    <cfRule type="cellIs" priority="14" dxfId="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222</v>
      </c>
      <c r="D4" s="622" t="s">
        <v>192</v>
      </c>
      <c r="E4" s="622" t="s">
        <v>193</v>
      </c>
    </row>
    <row r="5" spans="2:5" ht="15.75">
      <c r="B5" s="571" t="str">
        <f>(inputPrYr!B36)</f>
        <v>Water Reserve Fd</v>
      </c>
      <c r="C5" s="258">
        <f>E1-2</f>
        <v>2010</v>
      </c>
      <c r="D5" s="258">
        <f>E1-1</f>
        <v>2011</v>
      </c>
      <c r="E5" s="258">
        <f>E1</f>
        <v>2012</v>
      </c>
    </row>
    <row r="6" spans="2:5" ht="15.75">
      <c r="B6" s="259" t="s">
        <v>165</v>
      </c>
      <c r="C6" s="68">
        <v>5575</v>
      </c>
      <c r="D6" s="235">
        <f>C29</f>
        <v>10575</v>
      </c>
      <c r="E6" s="235">
        <f>D29</f>
        <v>15575</v>
      </c>
    </row>
    <row r="7" spans="2:5" ht="15.75">
      <c r="B7" s="263" t="s">
        <v>167</v>
      </c>
      <c r="C7" s="88"/>
      <c r="D7" s="88"/>
      <c r="E7" s="88"/>
    </row>
    <row r="8" spans="2:5" ht="15.75">
      <c r="B8" s="280" t="s">
        <v>433</v>
      </c>
      <c r="C8" s="68">
        <v>5000</v>
      </c>
      <c r="D8" s="68">
        <v>5000</v>
      </c>
      <c r="E8" s="68">
        <v>5000</v>
      </c>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5000</v>
      </c>
      <c r="D15" s="274">
        <f>SUM(D8:D13)</f>
        <v>5000</v>
      </c>
      <c r="E15" s="274">
        <f>SUM(E8:E13)</f>
        <v>5000</v>
      </c>
    </row>
    <row r="16" spans="2:5" ht="15.75">
      <c r="B16" s="271" t="s">
        <v>891</v>
      </c>
      <c r="C16" s="274">
        <f>C6+C15</f>
        <v>10575</v>
      </c>
      <c r="D16" s="274">
        <f>D6+D15</f>
        <v>15575</v>
      </c>
      <c r="E16" s="274">
        <f>E6+E15</f>
        <v>20575</v>
      </c>
    </row>
    <row r="17" spans="2:5" ht="15.75">
      <c r="B17" s="153" t="s">
        <v>893</v>
      </c>
      <c r="C17" s="235"/>
      <c r="D17" s="235"/>
      <c r="E17" s="235"/>
    </row>
    <row r="18" spans="2:5" ht="15.75">
      <c r="B18" s="280"/>
      <c r="C18" s="68"/>
      <c r="D18" s="68"/>
      <c r="E18" s="68"/>
    </row>
    <row r="19" spans="2:5" ht="15.75">
      <c r="B19" s="280" t="s">
        <v>434</v>
      </c>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10575</v>
      </c>
      <c r="D29" s="83">
        <f>D16-D28</f>
        <v>15575</v>
      </c>
      <c r="E29" s="83">
        <f>E16-E28</f>
        <v>20575</v>
      </c>
    </row>
    <row r="30" spans="2:5" ht="15.75">
      <c r="B30" s="139" t="str">
        <f>CONCATENATE("",E1-2,"/",E1-1," Budget Authority Amount:")</f>
        <v>2010/2011 Budget Authority Amount:</v>
      </c>
      <c r="C30" s="248">
        <f>inputOth!B76</f>
        <v>0</v>
      </c>
      <c r="D30" s="248">
        <f>inputPrYr!D36</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t="str">
        <f>(inputPrYr!B37)</f>
        <v>Sewer Utility</v>
      </c>
      <c r="C36" s="258">
        <f>C5</f>
        <v>2010</v>
      </c>
      <c r="D36" s="258">
        <f>D5</f>
        <v>2011</v>
      </c>
      <c r="E36" s="258">
        <f>E5</f>
        <v>2012</v>
      </c>
    </row>
    <row r="37" spans="2:5" ht="15.75">
      <c r="B37" s="259" t="s">
        <v>165</v>
      </c>
      <c r="C37" s="68">
        <v>9860</v>
      </c>
      <c r="D37" s="235">
        <f>C60</f>
        <v>11804</v>
      </c>
      <c r="E37" s="235">
        <f>D60</f>
        <v>12233</v>
      </c>
    </row>
    <row r="38" spans="2:5" ht="15.75">
      <c r="B38" s="263" t="s">
        <v>167</v>
      </c>
      <c r="C38" s="88"/>
      <c r="D38" s="88"/>
      <c r="E38" s="88"/>
    </row>
    <row r="39" spans="2:5" ht="15.75">
      <c r="B39" s="280"/>
      <c r="C39" s="68"/>
      <c r="D39" s="68"/>
      <c r="E39" s="68"/>
    </row>
    <row r="40" spans="2:5" ht="15.75">
      <c r="B40" s="280" t="s">
        <v>435</v>
      </c>
      <c r="C40" s="68">
        <v>26112</v>
      </c>
      <c r="D40" s="68">
        <v>25500</v>
      </c>
      <c r="E40" s="68">
        <v>26000</v>
      </c>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26112</v>
      </c>
      <c r="D46" s="274">
        <f>SUM(D39:D44)</f>
        <v>25500</v>
      </c>
      <c r="E46" s="274">
        <f>SUM(E39:E44)</f>
        <v>26000</v>
      </c>
    </row>
    <row r="47" spans="2:5" ht="15.75">
      <c r="B47" s="271" t="s">
        <v>891</v>
      </c>
      <c r="C47" s="274">
        <f>C37+C46</f>
        <v>35972</v>
      </c>
      <c r="D47" s="274">
        <f>D37+D46</f>
        <v>37304</v>
      </c>
      <c r="E47" s="274">
        <f>E37+E46</f>
        <v>38233</v>
      </c>
    </row>
    <row r="48" spans="2:5" ht="15.75">
      <c r="B48" s="153" t="s">
        <v>893</v>
      </c>
      <c r="C48" s="235"/>
      <c r="D48" s="235"/>
      <c r="E48" s="235"/>
    </row>
    <row r="49" spans="2:5" ht="15.75">
      <c r="B49" s="280"/>
      <c r="C49" s="68"/>
      <c r="D49" s="68"/>
      <c r="E49" s="68"/>
    </row>
    <row r="50" spans="2:5" ht="15.75">
      <c r="B50" s="280" t="s">
        <v>436</v>
      </c>
      <c r="C50" s="68">
        <v>3097</v>
      </c>
      <c r="D50" s="68">
        <v>4000</v>
      </c>
      <c r="E50" s="68">
        <v>5000</v>
      </c>
    </row>
    <row r="51" spans="2:5" ht="15.75">
      <c r="B51" s="280" t="s">
        <v>437</v>
      </c>
      <c r="C51" s="68">
        <v>19721</v>
      </c>
      <c r="D51" s="68">
        <v>19721</v>
      </c>
      <c r="E51" s="68">
        <v>19721</v>
      </c>
    </row>
    <row r="52" spans="2:5" ht="15.75">
      <c r="B52" s="280" t="s">
        <v>438</v>
      </c>
      <c r="C52" s="68">
        <v>1350</v>
      </c>
      <c r="D52" s="68">
        <v>1350</v>
      </c>
      <c r="E52" s="68">
        <v>1350</v>
      </c>
    </row>
    <row r="53" spans="2:5" ht="15.75">
      <c r="B53" s="280"/>
      <c r="C53" s="68"/>
      <c r="D53" s="68"/>
      <c r="E53" s="68"/>
    </row>
    <row r="54" spans="2:5" ht="15.75">
      <c r="B54" s="280" t="s">
        <v>439</v>
      </c>
      <c r="C54" s="68"/>
      <c r="D54" s="68"/>
      <c r="E54" s="68">
        <v>12100</v>
      </c>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24168</v>
      </c>
      <c r="D59" s="274">
        <f>SUM(D49:D57)</f>
        <v>25071</v>
      </c>
      <c r="E59" s="274">
        <f>SUM(E49:E57)</f>
        <v>38171</v>
      </c>
    </row>
    <row r="60" spans="2:5" ht="15.75">
      <c r="B60" s="153" t="s">
        <v>166</v>
      </c>
      <c r="C60" s="83">
        <f>C47-C59</f>
        <v>11804</v>
      </c>
      <c r="D60" s="83">
        <f>D47-D59</f>
        <v>12233</v>
      </c>
      <c r="E60" s="83">
        <f>E47-E59</f>
        <v>62</v>
      </c>
    </row>
    <row r="61" spans="2:5" ht="15.75">
      <c r="B61" s="139" t="str">
        <f>CONCATENATE("",E1-2,"/",E1-1," Budget Authority Amount:")</f>
        <v>2010/2011 Budget Authority Amount:</v>
      </c>
      <c r="C61" s="248">
        <f>inputOth!B77</f>
        <v>25071</v>
      </c>
      <c r="D61" s="248">
        <f>inputPrYr!D37</f>
        <v>36171</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v>10</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t="str">
        <f>(inputPrYr!B38)</f>
        <v>Sewer Replace Acct. Reserve</v>
      </c>
      <c r="C5" s="258">
        <f>E1-2</f>
        <v>2010</v>
      </c>
      <c r="D5" s="258">
        <f>E1-1</f>
        <v>2011</v>
      </c>
      <c r="E5" s="258">
        <f>E1</f>
        <v>2012</v>
      </c>
    </row>
    <row r="6" spans="2:5" ht="15.75">
      <c r="B6" s="259" t="s">
        <v>165</v>
      </c>
      <c r="C6" s="68">
        <v>13500</v>
      </c>
      <c r="D6" s="235">
        <f>C29</f>
        <v>14850</v>
      </c>
      <c r="E6" s="235">
        <f>D29</f>
        <v>16200</v>
      </c>
    </row>
    <row r="7" spans="2:5" ht="15.75">
      <c r="B7" s="263" t="s">
        <v>167</v>
      </c>
      <c r="C7" s="88"/>
      <c r="D7" s="88"/>
      <c r="E7" s="88"/>
    </row>
    <row r="8" spans="2:5" ht="15.75">
      <c r="B8" s="280" t="s">
        <v>440</v>
      </c>
      <c r="C8" s="68">
        <v>1350</v>
      </c>
      <c r="D8" s="68">
        <v>1350</v>
      </c>
      <c r="E8" s="68">
        <v>1350</v>
      </c>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1350</v>
      </c>
      <c r="D15" s="274">
        <f>SUM(D8:D13)</f>
        <v>1350</v>
      </c>
      <c r="E15" s="274">
        <f>SUM(E8:E13)</f>
        <v>1350</v>
      </c>
    </row>
    <row r="16" spans="2:5" ht="15.75">
      <c r="B16" s="271" t="s">
        <v>891</v>
      </c>
      <c r="C16" s="274">
        <f>C6+C15</f>
        <v>14850</v>
      </c>
      <c r="D16" s="274">
        <f>D6+D15</f>
        <v>16200</v>
      </c>
      <c r="E16" s="274">
        <f>E6+E15</f>
        <v>17550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14850</v>
      </c>
      <c r="D29" s="83">
        <f>D16-D28</f>
        <v>16200</v>
      </c>
      <c r="E29" s="83">
        <f>E16-E28</f>
        <v>17550</v>
      </c>
    </row>
    <row r="30" spans="2:5" ht="15.75">
      <c r="B30" s="139" t="str">
        <f>CONCATENATE("",E1-2,"/",E1-1," Budget Authority Amount:")</f>
        <v>2010/2011 Budget Authority Amount:</v>
      </c>
      <c r="C30" s="248">
        <f>inputOth!B78</f>
        <v>0</v>
      </c>
      <c r="D30" s="248">
        <f>inputPrYr!D38</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t="str">
        <f>(inputPrYr!B39)</f>
        <v>Sewer Reserve Account</v>
      </c>
      <c r="C36" s="258">
        <f>C5</f>
        <v>2010</v>
      </c>
      <c r="D36" s="258">
        <f>D5</f>
        <v>2011</v>
      </c>
      <c r="E36" s="258">
        <f>E5</f>
        <v>2012</v>
      </c>
    </row>
    <row r="37" spans="2:5" ht="15.75">
      <c r="B37" s="259" t="s">
        <v>165</v>
      </c>
      <c r="C37" s="68">
        <v>5182</v>
      </c>
      <c r="D37" s="235">
        <f>C60</f>
        <v>5182</v>
      </c>
      <c r="E37" s="235">
        <f>D60</f>
        <v>5182</v>
      </c>
    </row>
    <row r="38" spans="2:5"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5182</v>
      </c>
      <c r="D47" s="274">
        <f>D37+D46</f>
        <v>5182</v>
      </c>
      <c r="E47" s="274">
        <f>E37+E46</f>
        <v>5182</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305"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5182</v>
      </c>
      <c r="D60" s="83">
        <f>D47-D59</f>
        <v>5182</v>
      </c>
      <c r="E60" s="83">
        <f>E47-E59</f>
        <v>5182</v>
      </c>
    </row>
    <row r="61" spans="2:5" ht="15.75">
      <c r="B61" s="139" t="str">
        <f>CONCATENATE("",E1-2,"/",E1-1," Budget Authority Amount:")</f>
        <v>2010/2011 Budget Authority Amount:</v>
      </c>
      <c r="C61" s="248">
        <f>inputOth!B79</f>
        <v>0</v>
      </c>
      <c r="D61" s="248">
        <f>inputPrYr!D39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v>11</v>
      </c>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9">
      <selection activeCell="A1" sqref="A1:H1"/>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62" t="s">
        <v>107</v>
      </c>
      <c r="B1" s="662"/>
      <c r="C1" s="662"/>
      <c r="D1" s="662"/>
      <c r="E1" s="662"/>
      <c r="F1" s="662"/>
      <c r="G1" s="662"/>
      <c r="H1" s="662"/>
      <c r="I1" s="336"/>
    </row>
    <row r="2" spans="1:8" ht="18" customHeight="1">
      <c r="A2" s="48"/>
      <c r="B2" s="48"/>
      <c r="C2" s="48"/>
      <c r="D2" s="48"/>
      <c r="E2" s="48"/>
      <c r="F2" s="48"/>
      <c r="G2" s="48"/>
      <c r="H2" s="48">
        <f>inputPrYr!$C$5</f>
        <v>2012</v>
      </c>
    </row>
    <row r="3" spans="1:8" ht="18" customHeight="1">
      <c r="A3" s="687" t="s">
        <v>902</v>
      </c>
      <c r="B3" s="687"/>
      <c r="C3" s="687"/>
      <c r="D3" s="687"/>
      <c r="E3" s="687"/>
      <c r="F3" s="687"/>
      <c r="G3" s="687"/>
      <c r="H3" s="687"/>
    </row>
    <row r="4" spans="1:8" ht="15.75">
      <c r="A4" s="685" t="str">
        <f>inputPrYr!D2</f>
        <v>Elbing City</v>
      </c>
      <c r="B4" s="685"/>
      <c r="C4" s="685"/>
      <c r="D4" s="685"/>
      <c r="E4" s="685"/>
      <c r="F4" s="685"/>
      <c r="G4" s="685"/>
      <c r="H4" s="685"/>
    </row>
    <row r="5" spans="1:8" ht="18" customHeight="1">
      <c r="A5" s="709" t="str">
        <f>CONCATENATE("will meet on ",inputBudSum!B6," at ",inputBudSum!B8," at ",inputBudSum!B10," for the purpose of hearing and")</f>
        <v>will meet on August 1st 2011 at 7:00 pm at the City Building for the purpose of hearing and</v>
      </c>
      <c r="B5" s="709"/>
      <c r="C5" s="709"/>
      <c r="D5" s="709"/>
      <c r="E5" s="709"/>
      <c r="F5" s="709"/>
      <c r="G5" s="709"/>
      <c r="H5" s="709"/>
    </row>
    <row r="6" spans="1:8" ht="16.5" customHeight="1">
      <c r="A6" s="687" t="s">
        <v>27</v>
      </c>
      <c r="B6" s="687"/>
      <c r="C6" s="687"/>
      <c r="D6" s="687"/>
      <c r="E6" s="687"/>
      <c r="F6" s="687"/>
      <c r="G6" s="687"/>
      <c r="H6" s="687"/>
    </row>
    <row r="7" spans="1:8" ht="16.5" customHeight="1">
      <c r="A7" s="687" t="str">
        <f>CONCATENATE("Detailed budget information is available at ",inputBudSum!B13," and will be available at this hearing.")</f>
        <v>Detailed budget information is available at the City Building and will be available at this hearing.</v>
      </c>
      <c r="B7" s="687"/>
      <c r="C7" s="687"/>
      <c r="D7" s="687"/>
      <c r="E7" s="687"/>
      <c r="F7" s="687"/>
      <c r="G7" s="687"/>
      <c r="H7" s="687"/>
    </row>
    <row r="8" spans="1:8" ht="15.75">
      <c r="A8" s="56" t="s">
        <v>108</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172</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904</v>
      </c>
      <c r="D13" s="147"/>
      <c r="E13" s="147" t="s">
        <v>904</v>
      </c>
      <c r="F13" s="609" t="s">
        <v>785</v>
      </c>
      <c r="G13" s="147" t="str">
        <f>CONCATENATE("Amount of ",H2-1,"")</f>
        <v>Amount of 2011</v>
      </c>
      <c r="H13" s="147" t="s">
        <v>247</v>
      </c>
    </row>
    <row r="14" spans="1:8" ht="15.75">
      <c r="A14" s="65" t="s">
        <v>905</v>
      </c>
      <c r="B14" s="151" t="s">
        <v>906</v>
      </c>
      <c r="C14" s="151" t="s">
        <v>907</v>
      </c>
      <c r="D14" s="151" t="s">
        <v>906</v>
      </c>
      <c r="E14" s="151" t="s">
        <v>907</v>
      </c>
      <c r="F14" s="610" t="s">
        <v>51</v>
      </c>
      <c r="G14" s="152" t="s">
        <v>882</v>
      </c>
      <c r="H14" s="151" t="s">
        <v>907</v>
      </c>
    </row>
    <row r="15" spans="1:8" ht="15.75">
      <c r="A15" s="88" t="str">
        <f>inputPrYr!B17</f>
        <v>General</v>
      </c>
      <c r="B15" s="88">
        <f>IF(general!$C$111&lt;&gt;0,general!$C$111,"  ")</f>
        <v>46456</v>
      </c>
      <c r="C15" s="338">
        <f>IF(inputPrYr!D84&gt;0,inputPrYr!D84,"  ")</f>
        <v>15.369</v>
      </c>
      <c r="D15" s="88">
        <f>IF(general!$D$111&lt;&gt;0,general!$D$111,"  ")</f>
        <v>49814</v>
      </c>
      <c r="E15" s="338">
        <f>IF(inputOth!D21&gt;0,inputOth!D21,"  ")</f>
        <v>15.49</v>
      </c>
      <c r="F15" s="88">
        <f>IF(general!$E$111&lt;&gt;0,general!$E$111,"  ")</f>
        <v>54600</v>
      </c>
      <c r="G15" s="88">
        <f>IF(general!$E$118&lt;&gt;0,general!$E$118,"  ")</f>
        <v>18853</v>
      </c>
      <c r="H15" s="338">
        <f>IF(general!E118&gt;0,ROUND(G15/$F$57*1000,3),"  ")</f>
        <v>15.679</v>
      </c>
    </row>
    <row r="16" spans="1:8" ht="15.75">
      <c r="A16" s="88" t="str">
        <f>inputPrYr!B18</f>
        <v>Debt Service</v>
      </c>
      <c r="B16" s="88">
        <f>IF('DebtSvs-levy page 8'!C32&lt;&gt;0,'DebtSvs-levy page 8'!C32,"  ")</f>
        <v>9760</v>
      </c>
      <c r="C16" s="338">
        <f>IF(inputPrYr!D85&gt;0,inputPrYr!D85,"  ")</f>
        <v>5.509</v>
      </c>
      <c r="D16" s="88">
        <f>IF('DebtSvs-levy page 8'!D32&lt;&gt;0,'DebtSvs-levy page 8'!D32,"  ")</f>
        <v>9340</v>
      </c>
      <c r="E16" s="338">
        <f>IF(inputOth!D22&gt;0,inputOth!D22,"  ")</f>
        <v>6.346</v>
      </c>
      <c r="F16" s="88">
        <f>IF('DebtSvs-levy page 8'!E32&lt;&gt;0,'DebtSvs-levy page 8'!E32,"  ")</f>
        <v>9920</v>
      </c>
      <c r="G16" s="88">
        <f>IF('DebtSvs-levy page 8'!E39&lt;&gt;0,'DebtSvs-levy page 8'!E39,"  ")</f>
        <v>7826</v>
      </c>
      <c r="H16" s="338">
        <f>IF('DebtSvs-levy page 8'!E39&gt;0,ROUND(G16/$F$57*1000,3),"  ")</f>
        <v>6.508</v>
      </c>
    </row>
    <row r="17" spans="1:8" ht="15.75">
      <c r="A17" s="88" t="str">
        <f>IF(inputPrYr!$B20&gt;"  ",(inputPrYr!$B20),"  ")</f>
        <v>  </v>
      </c>
      <c r="B17" s="88" t="str">
        <f>IF('DebtSvs-levy page 8'!C69&lt;&gt;0,'DebtSvs-levy page 8'!C69,"  ")</f>
        <v>  </v>
      </c>
      <c r="C17" s="338" t="str">
        <f>IF(inputPrYr!D86&gt;0,inputPrYr!D86,"  ")</f>
        <v>  </v>
      </c>
      <c r="D17" s="88" t="str">
        <f>IF('DebtSvs-levy page 8'!D69&lt;&gt;0,'DebtSvs-levy page 8'!D69,"  ")</f>
        <v>  </v>
      </c>
      <c r="E17" s="338" t="str">
        <f>IF(inputOth!D23&gt;0,inputOth!D23,"  ")</f>
        <v>  </v>
      </c>
      <c r="F17" s="88" t="str">
        <f>IF('DebtSvs-levy page 8'!E69&lt;&gt;0,'DebtSvs-levy page 8'!E69,"  ")</f>
        <v>  </v>
      </c>
      <c r="G17" s="88" t="str">
        <f>IF('DebtSvs-levy page 8'!E76&lt;&gt;0,'DebtSvs-levy page 8'!E76,"  ")</f>
        <v>  </v>
      </c>
      <c r="H17" s="338" t="str">
        <f>IF('levy page9'!E39&lt;&gt;0,ROUND(G17/$F$57*1000,3),"  ")</f>
        <v>  </v>
      </c>
    </row>
    <row r="18" spans="1:8" ht="15.75">
      <c r="A18" s="88" t="str">
        <f>IF(inputPrYr!$B21&gt;"  ",(inputPrYr!$B21),"  ")</f>
        <v>  </v>
      </c>
      <c r="B18" s="88" t="str">
        <f>IF('levy page9'!$C$32&gt;0,'levy page9'!$C$32,"  ")</f>
        <v>  </v>
      </c>
      <c r="C18" s="338" t="str">
        <f>IF(inputPrYr!D87&gt;0,inputPrYr!D87,"  ")</f>
        <v>  </v>
      </c>
      <c r="D18" s="88" t="str">
        <f>IF('levy page9'!$D$32&gt;0,'levy page9'!$D$32,"  ")</f>
        <v>  </v>
      </c>
      <c r="E18" s="338" t="str">
        <f>IF(inputOth!D24&gt;0,inputOth!D24,"  ")</f>
        <v>  </v>
      </c>
      <c r="F18" s="88" t="str">
        <f>IF('levy page9'!$E$32&gt;0,'levy page9'!$E$32,"  ")</f>
        <v>  </v>
      </c>
      <c r="G18" s="88" t="str">
        <f>IF('levy page9'!$E$39&lt;&gt;0,'levy page9'!$E$39,"  ")</f>
        <v>  </v>
      </c>
      <c r="H18" s="338" t="str">
        <f>IF('levy page9'!E39&lt;&gt;0,ROUND(G18/$F$57*1000,3),"  ")</f>
        <v>  </v>
      </c>
    </row>
    <row r="19" spans="1:8" ht="15.75">
      <c r="A19" s="88" t="str">
        <f>IF(inputPrYr!$B22&gt;"  ",(inputPrYr!$B22),"  ")</f>
        <v>  </v>
      </c>
      <c r="B19" s="88" t="str">
        <f>IF('levy page9'!$C$69&gt;0,'levy page9'!$C$69,"  ")</f>
        <v>  </v>
      </c>
      <c r="C19" s="338" t="str">
        <f>IF(inputPrYr!D88&gt;0,inputPrYr!D88,"  ")</f>
        <v>  </v>
      </c>
      <c r="D19" s="88" t="str">
        <f>IF('levy page9'!$D$69&gt;0,'levy page9'!$D$69,"  ")</f>
        <v>  </v>
      </c>
      <c r="E19" s="338" t="str">
        <f>IF(inputOth!D25&gt;0,inputOth!D25,"  ")</f>
        <v>  </v>
      </c>
      <c r="F19" s="88" t="str">
        <f>IF('levy page9'!$E$69&gt;0,'levy page9'!$E$69,"  ")</f>
        <v>  </v>
      </c>
      <c r="G19" s="88" t="str">
        <f>IF('levy page9'!$E$76&lt;&gt;0,'levy page9'!$E$76,"  ")</f>
        <v>  </v>
      </c>
      <c r="H19" s="338" t="str">
        <f>IF('levy page9'!E76&lt;&gt;0,ROUND(G19/$F$57*1000,3),"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v>
      </c>
      <c r="B28" s="88">
        <f>IF('Sp Hiway'!$C$30&gt;0,'Sp Hiway'!$C$30,"  ")</f>
        <v>6016</v>
      </c>
      <c r="C28" s="66"/>
      <c r="D28" s="88">
        <f>IF('Sp Hiway'!$D$30&gt;0,'Sp Hiway'!$D$30,"  ")</f>
        <v>8000</v>
      </c>
      <c r="E28" s="66"/>
      <c r="F28" s="88">
        <f>IF('Sp Hiway'!$E$30&gt;0,'Sp Hiway'!$E$30,"  ")</f>
        <v>20000</v>
      </c>
      <c r="G28" s="88"/>
      <c r="H28" s="338"/>
    </row>
    <row r="29" spans="1:8" ht="15.75">
      <c r="A29" s="88" t="str">
        <f>IF(inputPrYr!$B35&gt;"  ",(inputPrYr!$B35),"  ")</f>
        <v>Water Utility</v>
      </c>
      <c r="B29" s="88">
        <f>IF('Sp Hiway'!$C$61&gt;0,'Sp Hiway'!$C$61,"  ")</f>
        <v>40748</v>
      </c>
      <c r="C29" s="66"/>
      <c r="D29" s="88">
        <f>IF('Sp Hiway'!$D$61&gt;0,'Sp Hiway'!$D$61,"  ")</f>
        <v>42869</v>
      </c>
      <c r="E29" s="66"/>
      <c r="F29" s="88">
        <f>IF('Sp Hiway'!$E$61&gt;0,'Sp Hiway'!$E$61,"  ")</f>
        <v>46600</v>
      </c>
      <c r="G29" s="88"/>
      <c r="H29" s="338"/>
    </row>
    <row r="30" spans="1:8" ht="15.75">
      <c r="A30" s="88" t="str">
        <f>IF(inputPrYr!$B36&gt;"  ",(inputPrYr!$B36),"  ")</f>
        <v>Water Reserve Fd</v>
      </c>
      <c r="B30" s="88" t="str">
        <f>IF('no levy page15'!$C$28&gt;0,'no levy page15'!$C$28,"  ")</f>
        <v>  </v>
      </c>
      <c r="C30" s="66"/>
      <c r="D30" s="88" t="str">
        <f>IF('no levy page15'!$D$28&gt;0,'no levy page15'!$D$28,"  ")</f>
        <v>  </v>
      </c>
      <c r="E30" s="66"/>
      <c r="F30" s="88" t="str">
        <f>IF('no levy page15'!$E$28&gt;0,'no levy page15'!$E$28,"  ")</f>
        <v>  </v>
      </c>
      <c r="G30" s="88"/>
      <c r="H30" s="338"/>
    </row>
    <row r="31" spans="1:8" ht="15.75">
      <c r="A31" s="88" t="str">
        <f>IF(inputPrYr!$B37&gt;"  ",(inputPrYr!$B37),"  ")</f>
        <v>Sewer Utility</v>
      </c>
      <c r="B31" s="88">
        <f>IF('no levy page15'!$C$59&gt;0,'no levy page15'!$C$59,"  ")</f>
        <v>24168</v>
      </c>
      <c r="C31" s="66"/>
      <c r="D31" s="88">
        <f>IF('no levy page15'!$D$59&gt;0,'no levy page15'!$D$59,"  ")</f>
        <v>25071</v>
      </c>
      <c r="E31" s="66"/>
      <c r="F31" s="88">
        <f>IF('no levy page15'!$E$59&gt;0,'no levy page15'!$E$59,"  ")</f>
        <v>38171</v>
      </c>
      <c r="G31" s="88"/>
      <c r="H31" s="338"/>
    </row>
    <row r="32" spans="1:8" ht="15.75">
      <c r="A32" s="88" t="str">
        <f>IF(inputPrYr!$B38&gt;"  ",(inputPrYr!$B38),"  ")</f>
        <v>Sewer Replace Acct. Reserve</v>
      </c>
      <c r="B32" s="88" t="str">
        <f>IF('no levy page16'!$C$28&gt;0,'no levy page16'!$C$28,"  ")</f>
        <v>  </v>
      </c>
      <c r="C32" s="66"/>
      <c r="D32" s="88" t="str">
        <f>IF('no levy page16'!$D$28&gt;0,'no levy page16'!$D$28,"  ")</f>
        <v>  </v>
      </c>
      <c r="E32" s="66"/>
      <c r="F32" s="88" t="str">
        <f>IF('no levy page16'!$E$28&gt;0,'no levy page16'!$E$28,"  ")</f>
        <v>  </v>
      </c>
      <c r="G32" s="66"/>
      <c r="H32" s="66"/>
    </row>
    <row r="33" spans="1:8" ht="15.75">
      <c r="A33" s="88" t="str">
        <f>IF(inputPrYr!$B39&gt;"  ",(inputPrYr!$B39),"  ")</f>
        <v>Sewer Reserve Account</v>
      </c>
      <c r="B33" s="88" t="str">
        <f>IF('no levy page16'!$C$59&gt;0,'no levy page16'!$C$59,"  ")</f>
        <v>  </v>
      </c>
      <c r="C33" s="66"/>
      <c r="D33" s="88" t="str">
        <f>IF('no levy page16'!$D$59&gt;0,'no levy page16'!$D$59,"  ")</f>
        <v>  </v>
      </c>
      <c r="E33" s="66"/>
      <c r="F33" s="88" t="str">
        <f>IF('no levy page16'!$E$59&gt;0,'no levy page16'!$E$59,"  ")</f>
        <v>  </v>
      </c>
      <c r="G33" s="66"/>
      <c r="H33" s="66"/>
    </row>
    <row r="34" spans="1:8" ht="15.75">
      <c r="A34" s="88" t="str">
        <f>IF(inputPrYr!$B40&gt;"  ",(inputPrYr!$B40),"  ")</f>
        <v>  </v>
      </c>
      <c r="B34" s="88" t="str">
        <f>IF('no levy page17'!$C$28&gt;0,'no levy page17'!$C$28,"  ")</f>
        <v>  </v>
      </c>
      <c r="C34" s="66"/>
      <c r="D34" s="88" t="str">
        <f>IF('no levy page17'!$D$28&gt;0,'no levy page17'!$D$28,"  ")</f>
        <v>  </v>
      </c>
      <c r="E34" s="66"/>
      <c r="F34" s="88" t="str">
        <f>IF('no levy page17'!$E$28&gt;0,'no levy page17'!$E$28,"  ")</f>
        <v>  </v>
      </c>
      <c r="G34" s="66"/>
      <c r="H34" s="66"/>
    </row>
    <row r="35" spans="1:8" ht="15.75">
      <c r="A35" s="88" t="str">
        <f>IF(inputPrYr!$B41&gt;"  ",(inputPrYr!$B41),"  ")</f>
        <v>  </v>
      </c>
      <c r="B35" s="88" t="str">
        <f>IF('no levy page17'!$C$59&gt;0,'no levy page17'!$C$59,"  ")</f>
        <v>  </v>
      </c>
      <c r="C35" s="66"/>
      <c r="D35" s="88" t="str">
        <f>IF('no levy page17'!$D$59&gt;0,'no levy page17'!$D$59,"  ")</f>
        <v>  </v>
      </c>
      <c r="E35" s="66"/>
      <c r="F35" s="88" t="str">
        <f>IF('no levy page17'!$E$59&gt;0,'no levy page17'!$E$59,"  ")</f>
        <v>  </v>
      </c>
      <c r="G35" s="66"/>
      <c r="H35" s="66"/>
    </row>
    <row r="36" spans="1:8" ht="15.75">
      <c r="A36" s="88" t="str">
        <f>IF(inputPrYr!$B42&gt;"  ",(inputPrYr!$B42),"  ")</f>
        <v>  </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06" t="str">
        <f>CONCATENATE("Estimated Value Of One Mill For ",H2,"")</f>
        <v>Estimated Value Of One Mill For 2012</v>
      </c>
      <c r="K41" s="707"/>
      <c r="L41" s="707"/>
      <c r="M41" s="708"/>
    </row>
    <row r="42" spans="1:13" ht="15.75">
      <c r="A42" s="88" t="str">
        <f>IF(inputPrYr!$B48&gt;"  ",(inputPrYr!$B48),"  ")</f>
        <v>  </v>
      </c>
      <c r="B42" s="88"/>
      <c r="C42" s="66"/>
      <c r="D42" s="88"/>
      <c r="E42" s="66"/>
      <c r="F42" s="88"/>
      <c r="G42" s="66"/>
      <c r="H42" s="66"/>
      <c r="J42" s="541"/>
      <c r="K42" s="542"/>
      <c r="L42" s="542"/>
      <c r="M42" s="543"/>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4" t="s">
        <v>335</v>
      </c>
      <c r="K43" s="545"/>
      <c r="L43" s="545"/>
      <c r="M43" s="546">
        <f>ROUND(F57/1000,0)</f>
        <v>1202</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06" t="str">
        <f>CONCATENATE("Want The Mill Rate The Same As For ",H2-1,"?")</f>
        <v>Want The Mill Rate The Same As For 2011?</v>
      </c>
      <c r="K45" s="707"/>
      <c r="L45" s="707"/>
      <c r="M45" s="708"/>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48"/>
      <c r="K46" s="542"/>
      <c r="L46" s="542"/>
      <c r="M46" s="549"/>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48" t="str">
        <f>CONCATENATE("",H2-1," Mill Rate Was:")</f>
        <v>2011 Mill Rate Was:</v>
      </c>
      <c r="K47" s="542"/>
      <c r="L47" s="542"/>
      <c r="M47" s="550">
        <f>E52</f>
        <v>21.836</v>
      </c>
    </row>
    <row r="48" spans="1:13" ht="15.75">
      <c r="A48" s="88" t="str">
        <f>IF(inputPrYr!$B57&gt;"  ",(NonBudA!$A3),"  ")</f>
        <v>  </v>
      </c>
      <c r="B48" s="88" t="str">
        <f>IF(NonBudA!$K$28&gt;0,NonBudA!$K$28,"  ")</f>
        <v>  </v>
      </c>
      <c r="C48" s="66"/>
      <c r="D48" s="88"/>
      <c r="E48" s="66"/>
      <c r="F48" s="88"/>
      <c r="G48" s="66"/>
      <c r="H48" s="66"/>
      <c r="J48" s="551" t="str">
        <f>CONCATENATE("",H2," Tax Levy Fund Expenditures Must Be")</f>
        <v>2012 Tax Levy Fund Expenditures Must Be</v>
      </c>
      <c r="K48" s="552"/>
      <c r="L48" s="552"/>
      <c r="M48" s="549"/>
    </row>
    <row r="49" spans="1:13" ht="15.75">
      <c r="A49" s="88" t="str">
        <f>IF(inputPrYr!$B63&gt;"  ",(NonBudB!$A3),"  ")</f>
        <v>  </v>
      </c>
      <c r="B49" s="88" t="str">
        <f>IF(NonBudB!$K$28&gt;0,NonBudB!$K$28,"  ")</f>
        <v>  </v>
      </c>
      <c r="C49" s="66"/>
      <c r="D49" s="88"/>
      <c r="E49" s="66"/>
      <c r="F49" s="88"/>
      <c r="G49" s="66"/>
      <c r="H49" s="66"/>
      <c r="J49" s="551">
        <f>IF(M49&gt;0,"Increased By:","")</f>
      </c>
      <c r="K49" s="552"/>
      <c r="L49" s="552"/>
      <c r="M49" s="652">
        <f>IF(M56&lt;0,M56*-1,0)</f>
        <v>0</v>
      </c>
    </row>
    <row r="50" spans="1:13" ht="15.75">
      <c r="A50" s="88" t="str">
        <f>IF(inputPrYr!$B69&gt;"  ",(NonBudC!$A3),"  ")</f>
        <v>  </v>
      </c>
      <c r="B50" s="88" t="str">
        <f>IF(NonBudC!$K$28&gt;0,NonBudC!$K$28,"  ")</f>
        <v>  </v>
      </c>
      <c r="C50" s="66"/>
      <c r="D50" s="88"/>
      <c r="E50" s="66"/>
      <c r="F50" s="88"/>
      <c r="G50" s="66"/>
      <c r="H50" s="66"/>
      <c r="J50" s="653" t="str">
        <f>IF(M50&lt;0,"Reduced By:","")</f>
        <v>Reduced By:</v>
      </c>
      <c r="K50" s="654"/>
      <c r="L50" s="654"/>
      <c r="M50" s="655">
        <f>IF(M56&gt;0,M56*-1,0)</f>
        <v>-422</v>
      </c>
    </row>
    <row r="51" spans="1:13" ht="16.5" thickBot="1">
      <c r="A51" s="88" t="str">
        <f>IF(inputPrYr!$B75&gt;"  ",(NonBudD!$A3),"  ")</f>
        <v>  </v>
      </c>
      <c r="B51" s="562" t="str">
        <f>IF(NonBudD!$K$28&gt;0,NonBudD!$K$28,"  ")</f>
        <v>  </v>
      </c>
      <c r="C51" s="563"/>
      <c r="D51" s="562"/>
      <c r="E51" s="563"/>
      <c r="F51" s="562"/>
      <c r="G51" s="563"/>
      <c r="H51" s="563"/>
      <c r="J51" s="555"/>
      <c r="K51" s="555"/>
      <c r="L51" s="555"/>
      <c r="M51" s="555"/>
    </row>
    <row r="52" spans="1:13" ht="15.75">
      <c r="A52" s="146" t="s">
        <v>348</v>
      </c>
      <c r="B52" s="605">
        <f>SUM(B15:B51)</f>
        <v>127148</v>
      </c>
      <c r="C52" s="606">
        <f>SUM(C15:C26)</f>
        <v>20.878</v>
      </c>
      <c r="D52" s="605">
        <f>SUM(D15:D51)</f>
        <v>135094</v>
      </c>
      <c r="E52" s="606">
        <f>SUM(E15:E26)</f>
        <v>21.836</v>
      </c>
      <c r="F52" s="605">
        <f>SUM(F15:F51)</f>
        <v>169291</v>
      </c>
      <c r="G52" s="605">
        <f>SUM(G15:G51)</f>
        <v>26679</v>
      </c>
      <c r="H52" s="606">
        <f>SUM(H15:H26)</f>
        <v>22.187</v>
      </c>
      <c r="J52" s="706" t="str">
        <f>CONCATENATE("Impact On Keeping The Same Mill Rate As For ",H2-1,"")</f>
        <v>Impact On Keeping The Same Mill Rate As For 2011</v>
      </c>
      <c r="K52" s="713"/>
      <c r="L52" s="713"/>
      <c r="M52" s="714"/>
    </row>
    <row r="53" spans="1:13" ht="15.75">
      <c r="A53" s="53" t="s">
        <v>908</v>
      </c>
      <c r="B53" s="519">
        <f>transfers!C26</f>
        <v>6350</v>
      </c>
      <c r="C53" s="604"/>
      <c r="D53" s="519">
        <f>transfers!D26</f>
        <v>6350</v>
      </c>
      <c r="E53" s="351"/>
      <c r="F53" s="519">
        <f>transfers!E26</f>
        <v>6350</v>
      </c>
      <c r="G53" s="602"/>
      <c r="H53" s="351"/>
      <c r="I53" s="559"/>
      <c r="J53" s="548"/>
      <c r="K53" s="542"/>
      <c r="L53" s="542"/>
      <c r="M53" s="549"/>
    </row>
    <row r="54" spans="1:13" ht="16.5" thickBot="1">
      <c r="A54" s="53" t="s">
        <v>909</v>
      </c>
      <c r="B54" s="348">
        <f>B52-B53</f>
        <v>120798</v>
      </c>
      <c r="C54" s="48"/>
      <c r="D54" s="348">
        <f>D52-D53</f>
        <v>128744</v>
      </c>
      <c r="E54" s="48"/>
      <c r="F54" s="348">
        <f>F52-F53</f>
        <v>162941</v>
      </c>
      <c r="G54" s="48"/>
      <c r="H54" s="48"/>
      <c r="J54" s="548" t="str">
        <f>CONCATENATE("",H2," Ad Valorem Tax Revenue:")</f>
        <v>2012 Ad Valorem Tax Revenue:</v>
      </c>
      <c r="K54" s="542"/>
      <c r="L54" s="542"/>
      <c r="M54" s="543">
        <f>G52</f>
        <v>26679</v>
      </c>
    </row>
    <row r="55" spans="1:13" ht="16.5" thickTop="1">
      <c r="A55" s="53" t="s">
        <v>910</v>
      </c>
      <c r="B55" s="519">
        <f>inputPrYr!$E$99</f>
        <v>25554</v>
      </c>
      <c r="C55" s="201"/>
      <c r="D55" s="519">
        <f>inputPrYr!$E$31</f>
        <v>26517</v>
      </c>
      <c r="E55" s="201"/>
      <c r="F55" s="339" t="s">
        <v>870</v>
      </c>
      <c r="G55" s="48"/>
      <c r="H55" s="48"/>
      <c r="J55" s="548" t="str">
        <f>CONCATENATE("",H2-1," Ad Valorem Tax Revenue:")</f>
        <v>2011 Ad Valorem Tax Revenue:</v>
      </c>
      <c r="K55" s="542"/>
      <c r="L55" s="542"/>
      <c r="M55" s="556">
        <f>ROUND(F57*M47/1000,0)</f>
        <v>26257</v>
      </c>
    </row>
    <row r="56" spans="1:13" ht="15.75">
      <c r="A56" s="53" t="s">
        <v>911</v>
      </c>
      <c r="B56" s="203"/>
      <c r="C56" s="48"/>
      <c r="D56" s="520"/>
      <c r="E56" s="208"/>
      <c r="F56" s="155"/>
      <c r="G56" s="48"/>
      <c r="H56" s="48"/>
      <c r="J56" s="553" t="s">
        <v>336</v>
      </c>
      <c r="K56" s="554"/>
      <c r="L56" s="554"/>
      <c r="M56" s="546">
        <f>SUM(M54-M55)</f>
        <v>422</v>
      </c>
    </row>
    <row r="57" spans="1:13" ht="15.75">
      <c r="A57" s="53" t="s">
        <v>912</v>
      </c>
      <c r="B57" s="519">
        <f>inputPrYr!$E$100</f>
        <v>1223988</v>
      </c>
      <c r="C57" s="77"/>
      <c r="D57" s="519">
        <f>inputOth!$E$36</f>
        <v>1214375</v>
      </c>
      <c r="E57" s="77"/>
      <c r="F57" s="519">
        <f>inputOth!$E$7</f>
        <v>1202453</v>
      </c>
      <c r="G57" s="48"/>
      <c r="H57" s="48"/>
      <c r="J57" s="547"/>
      <c r="K57" s="547"/>
      <c r="L57" s="547"/>
      <c r="M57" s="555"/>
    </row>
    <row r="58" spans="1:13" ht="15.75">
      <c r="A58" s="53" t="s">
        <v>913</v>
      </c>
      <c r="B58" s="48"/>
      <c r="C58" s="48"/>
      <c r="D58" s="48"/>
      <c r="E58" s="48"/>
      <c r="F58" s="48"/>
      <c r="G58" s="48"/>
      <c r="H58" s="48"/>
      <c r="J58" s="706" t="s">
        <v>337</v>
      </c>
      <c r="K58" s="711"/>
      <c r="L58" s="711"/>
      <c r="M58" s="712"/>
    </row>
    <row r="59" spans="1:13" ht="15.75">
      <c r="A59" s="53" t="s">
        <v>914</v>
      </c>
      <c r="B59" s="340">
        <f>$H$2-3</f>
        <v>2009</v>
      </c>
      <c r="C59" s="48"/>
      <c r="D59" s="340">
        <f>$H$2-2</f>
        <v>2010</v>
      </c>
      <c r="E59" s="48"/>
      <c r="F59" s="340">
        <f>$H$2-1</f>
        <v>2011</v>
      </c>
      <c r="G59" s="48"/>
      <c r="H59" s="48"/>
      <c r="J59" s="548"/>
      <c r="K59" s="542"/>
      <c r="L59" s="542"/>
      <c r="M59" s="549"/>
    </row>
    <row r="60" spans="1:13" ht="13.5" customHeight="1">
      <c r="A60" s="53" t="s">
        <v>915</v>
      </c>
      <c r="B60" s="248">
        <f>inputPrYr!$D$104</f>
        <v>57000</v>
      </c>
      <c r="C60" s="176"/>
      <c r="D60" s="248">
        <f>inputPrYr!$E$104</f>
        <v>46000</v>
      </c>
      <c r="E60" s="176"/>
      <c r="F60" s="248">
        <f>debt!$F$20</f>
        <v>39000</v>
      </c>
      <c r="G60" s="48"/>
      <c r="H60" s="48"/>
      <c r="J60" s="548" t="str">
        <f>CONCATENATE("Current ",H2," Estimated Mill Rate:")</f>
        <v>Current 2012 Estimated Mill Rate:</v>
      </c>
      <c r="K60" s="542"/>
      <c r="L60" s="542"/>
      <c r="M60" s="550">
        <f>H52</f>
        <v>22.187</v>
      </c>
    </row>
    <row r="61" spans="1:13" ht="15.75">
      <c r="A61" s="53" t="s">
        <v>916</v>
      </c>
      <c r="B61" s="519">
        <f>inputPrYr!$D$105</f>
        <v>192000</v>
      </c>
      <c r="C61" s="176"/>
      <c r="D61" s="519">
        <f>inputPrYr!$E$105</f>
        <v>172127</v>
      </c>
      <c r="E61" s="176"/>
      <c r="F61" s="248">
        <f>debt!$F$32</f>
        <v>158294</v>
      </c>
      <c r="G61" s="48"/>
      <c r="H61" s="48"/>
      <c r="J61" s="548" t="str">
        <f>CONCATENATE("Desired ",H2," Mill Rate:")</f>
        <v>Desired 2012 Mill Rate:</v>
      </c>
      <c r="K61" s="542"/>
      <c r="L61" s="542"/>
      <c r="M61" s="540">
        <v>0</v>
      </c>
    </row>
    <row r="62" spans="1:13" ht="18.75" customHeight="1">
      <c r="A62" s="48" t="s">
        <v>94</v>
      </c>
      <c r="B62" s="519">
        <f>inputPrYr!$D$106</f>
        <v>0</v>
      </c>
      <c r="C62" s="176"/>
      <c r="D62" s="519">
        <f>inputPrYr!$E$106</f>
        <v>0</v>
      </c>
      <c r="E62" s="176"/>
      <c r="F62" s="248">
        <f>debt!$F$42</f>
        <v>0</v>
      </c>
      <c r="G62" s="48"/>
      <c r="H62" s="48"/>
      <c r="J62" s="548" t="str">
        <f>CONCATENATE("",H2," Ad Valorem Tax:")</f>
        <v>2012 Ad Valorem Tax:</v>
      </c>
      <c r="K62" s="542"/>
      <c r="L62" s="542"/>
      <c r="M62" s="556">
        <f>ROUND(F57*M61/1000,0)</f>
        <v>0</v>
      </c>
    </row>
    <row r="63" spans="1:13" ht="18.75" customHeight="1">
      <c r="A63" s="53" t="s">
        <v>173</v>
      </c>
      <c r="B63" s="519">
        <f>inputPrYr!$D$107</f>
        <v>0</v>
      </c>
      <c r="C63" s="176"/>
      <c r="D63" s="519">
        <f>inputPrYr!$E$107</f>
        <v>0</v>
      </c>
      <c r="E63" s="176"/>
      <c r="F63" s="248">
        <f>lpform!$F$28</f>
        <v>0</v>
      </c>
      <c r="G63" s="48"/>
      <c r="H63" s="48"/>
      <c r="J63" s="553" t="str">
        <f>CONCATENATE("",H2," Tax Levy Fund Exp. Changed By:")</f>
        <v>2012 Tax Levy Fund Exp. Changed By:</v>
      </c>
      <c r="K63" s="554"/>
      <c r="L63" s="554"/>
      <c r="M63" s="546">
        <f>M62-G52</f>
        <v>-26679</v>
      </c>
    </row>
    <row r="64" spans="1:8" ht="18.75" customHeight="1" thickBot="1">
      <c r="A64" s="53" t="s">
        <v>917</v>
      </c>
      <c r="B64" s="207">
        <f>SUM(B60:B63)</f>
        <v>249000</v>
      </c>
      <c r="C64" s="176"/>
      <c r="D64" s="207">
        <f>SUM(D60:D63)</f>
        <v>218127</v>
      </c>
      <c r="E64" s="176"/>
      <c r="F64" s="207">
        <f>SUM(F60:F63)</f>
        <v>197294</v>
      </c>
      <c r="G64" s="48"/>
      <c r="H64" s="48"/>
    </row>
    <row r="65" spans="1:8" ht="18.75" customHeight="1" thickTop="1">
      <c r="A65" s="53" t="s">
        <v>918</v>
      </c>
      <c r="B65" s="48"/>
      <c r="C65" s="48"/>
      <c r="D65" s="48"/>
      <c r="E65" s="48"/>
      <c r="F65" s="48"/>
      <c r="G65" s="48"/>
      <c r="H65" s="48"/>
    </row>
    <row r="66" spans="1:8" ht="15.75">
      <c r="A66" s="48"/>
      <c r="B66" s="48"/>
      <c r="C66" s="48"/>
      <c r="D66" s="48"/>
      <c r="E66" s="48"/>
      <c r="F66" s="48"/>
      <c r="G66" s="48"/>
      <c r="H66" s="48"/>
    </row>
    <row r="67" spans="1:8" ht="15.75">
      <c r="A67" s="710"/>
      <c r="B67" s="710"/>
      <c r="C67" s="77"/>
      <c r="D67" s="48"/>
      <c r="E67" s="48"/>
      <c r="F67" s="48"/>
      <c r="G67" s="48"/>
      <c r="H67" s="48"/>
    </row>
    <row r="68" spans="1:8" ht="15.75">
      <c r="A68" s="172" t="s">
        <v>220</v>
      </c>
      <c r="B68" s="569"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892</v>
      </c>
      <c r="D70" s="289">
        <v>12</v>
      </c>
      <c r="E70" s="48"/>
      <c r="F70" s="48"/>
      <c r="G70" s="48"/>
      <c r="H70" s="48"/>
    </row>
  </sheetData>
  <sheetProtection sheet="1"/>
  <mergeCells count="11">
    <mergeCell ref="A67:B67"/>
    <mergeCell ref="J58:M58"/>
    <mergeCell ref="J52:M52"/>
    <mergeCell ref="J45:M45"/>
    <mergeCell ref="J41:M41"/>
    <mergeCell ref="A5:H5"/>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4" sqref="C5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f>inputPrYr!B40</f>
        <v>0</v>
      </c>
      <c r="C5" s="258">
        <f>E1-2</f>
        <v>2010</v>
      </c>
      <c r="D5" s="258">
        <f>E1-1</f>
        <v>2011</v>
      </c>
      <c r="E5" s="258">
        <f>E1</f>
        <v>2012</v>
      </c>
    </row>
    <row r="6" spans="2:5" ht="15.75">
      <c r="B6" s="259" t="s">
        <v>165</v>
      </c>
      <c r="C6" s="68"/>
      <c r="D6" s="235">
        <f>C29</f>
        <v>0</v>
      </c>
      <c r="E6" s="235">
        <f>D29</f>
        <v>0</v>
      </c>
    </row>
    <row r="7" spans="2:5" ht="15.75">
      <c r="B7" s="263" t="s">
        <v>167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0</v>
      </c>
      <c r="D15" s="274">
        <f>SUM(D8:D13)</f>
        <v>0</v>
      </c>
      <c r="E15" s="274">
        <f>SUM(E8:E13)</f>
        <v>0</v>
      </c>
    </row>
    <row r="16" spans="2:5" ht="15.75">
      <c r="B16" s="271" t="s">
        <v>891</v>
      </c>
      <c r="C16" s="274">
        <f>C6+C15</f>
        <v>0</v>
      </c>
      <c r="D16" s="274">
        <f>D6+D15</f>
        <v>0</v>
      </c>
      <c r="E16" s="274">
        <f>E6+E15</f>
        <v>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0</v>
      </c>
      <c r="D29" s="83">
        <f>D16-D28</f>
        <v>0</v>
      </c>
      <c r="E29" s="83">
        <f>E16-E28</f>
        <v>0</v>
      </c>
    </row>
    <row r="30" spans="2:5" ht="15.75">
      <c r="B30" s="139" t="str">
        <f>CONCATENATE("",E1-2,"/",E1-1," Budget Authority Amount:")</f>
        <v>2010/2011 Budget Authority Amount:</v>
      </c>
      <c r="C30" s="248">
        <f>inputOth!B80</f>
        <v>0</v>
      </c>
      <c r="D30" s="248">
        <f>inputPrYr!D40</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f>inputPrYr!B41</f>
        <v>0</v>
      </c>
      <c r="C36" s="258">
        <f>C5</f>
        <v>2010</v>
      </c>
      <c r="D36" s="258">
        <f>D5</f>
        <v>2011</v>
      </c>
      <c r="E36" s="258">
        <f>E5</f>
        <v>2012</v>
      </c>
    </row>
    <row r="37" spans="2:5" ht="15.75">
      <c r="B37" s="259" t="s">
        <v>165</v>
      </c>
      <c r="C37" s="68"/>
      <c r="D37" s="235">
        <f>C60</f>
        <v>0</v>
      </c>
      <c r="E37" s="235">
        <f>D60</f>
        <v>0</v>
      </c>
    </row>
    <row r="38" spans="2:5"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0</v>
      </c>
      <c r="D47" s="274">
        <f>D37+D46</f>
        <v>0</v>
      </c>
      <c r="E47" s="274">
        <f>E37+E46</f>
        <v>0</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0</v>
      </c>
      <c r="D60" s="83">
        <f>D47-D59</f>
        <v>0</v>
      </c>
      <c r="E60" s="83">
        <f>E47-E59</f>
        <v>0</v>
      </c>
    </row>
    <row r="61" spans="2:5" ht="15.75">
      <c r="B61" s="139" t="str">
        <f>CONCATENATE("",E1-2,"/",E1-1," Budget Authority Amount:")</f>
        <v>2010/2011 Budget Authority Amount:</v>
      </c>
      <c r="C61" s="248">
        <f>inputOth!B81</f>
        <v>0</v>
      </c>
      <c r="D61" s="248">
        <f>inputPrYr!D41</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1" sqref="C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f>inputPrYr!B42</f>
        <v>0</v>
      </c>
      <c r="C5" s="258">
        <f>E1-2</f>
        <v>2010</v>
      </c>
      <c r="D5" s="258">
        <f>E1-1</f>
        <v>2011</v>
      </c>
      <c r="E5" s="258">
        <f>E1</f>
        <v>2012</v>
      </c>
    </row>
    <row r="6" spans="2:5" ht="15.75">
      <c r="B6" s="259" t="s">
        <v>165</v>
      </c>
      <c r="C6" s="68"/>
      <c r="D6" s="235">
        <f>C29</f>
        <v>0</v>
      </c>
      <c r="E6" s="235">
        <f>D29</f>
        <v>0</v>
      </c>
    </row>
    <row r="7" spans="2:5" ht="15.75">
      <c r="B7" s="263" t="s">
        <v>167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219"/>
      <c r="D13" s="219"/>
      <c r="E13" s="219"/>
    </row>
    <row r="14" spans="2:5" ht="15.75">
      <c r="B14" s="259" t="s">
        <v>360</v>
      </c>
      <c r="C14" s="309">
        <f>IF(C15*0.1&lt;C13,"Exceed 10% Rule","")</f>
      </c>
      <c r="D14" s="270">
        <f>IF(D15*0.1&lt;D13,"Exceed 10% Rule","")</f>
      </c>
      <c r="E14" s="270">
        <f>IF(E15*0.1&lt;E13,"Exceed 10% Rule","")</f>
      </c>
    </row>
    <row r="15" spans="2:5" ht="15.75">
      <c r="B15" s="271" t="s">
        <v>890</v>
      </c>
      <c r="C15" s="274">
        <f>SUM(C8:C13)</f>
        <v>0</v>
      </c>
      <c r="D15" s="274">
        <f>SUM(D8:D13)</f>
        <v>0</v>
      </c>
      <c r="E15" s="274">
        <f>SUM(E8:E13)</f>
        <v>0</v>
      </c>
    </row>
    <row r="16" spans="2:5" ht="15.75">
      <c r="B16" s="271" t="s">
        <v>891</v>
      </c>
      <c r="C16" s="274">
        <f>C6+C15</f>
        <v>0</v>
      </c>
      <c r="D16" s="274">
        <f>D6+D15</f>
        <v>0</v>
      </c>
      <c r="E16" s="274">
        <f>E6+E15</f>
        <v>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0</v>
      </c>
      <c r="D29" s="83">
        <f>D16-D28</f>
        <v>0</v>
      </c>
      <c r="E29" s="83">
        <f>E16-E28</f>
        <v>0</v>
      </c>
    </row>
    <row r="30" spans="2:5" ht="15.75">
      <c r="B30" s="139" t="str">
        <f>CONCATENATE("",E1-2,"/",E1-1," Budget Authority Amount:")</f>
        <v>2010/2011 Budget Authority Amount:</v>
      </c>
      <c r="C30" s="248">
        <f>inputOth!B82</f>
        <v>0</v>
      </c>
      <c r="D30" s="248">
        <f>inputPrYr!D42</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f>inputPrYr!B43</f>
        <v>0</v>
      </c>
      <c r="C36" s="258">
        <f>C5</f>
        <v>2010</v>
      </c>
      <c r="D36" s="258">
        <f>D5</f>
        <v>2011</v>
      </c>
      <c r="E36" s="258">
        <f>E5</f>
        <v>2012</v>
      </c>
    </row>
    <row r="37" spans="2:5" ht="15.75">
      <c r="B37" s="259" t="s">
        <v>165</v>
      </c>
      <c r="C37" s="68"/>
      <c r="D37" s="235">
        <f>C60</f>
        <v>0</v>
      </c>
      <c r="E37" s="235">
        <f>D60</f>
        <v>0</v>
      </c>
    </row>
    <row r="38" spans="2:5"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0</v>
      </c>
      <c r="D47" s="274">
        <f>D37+D46</f>
        <v>0</v>
      </c>
      <c r="E47" s="274">
        <f>E37+E46</f>
        <v>0</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c r="D65" s="48"/>
      <c r="E65" s="48"/>
    </row>
  </sheetData>
  <sheetProtection sheet="1"/>
  <conditionalFormatting sqref="C13">
    <cfRule type="cellIs" priority="4" dxfId="8" operator="greaterThan" stopIfTrue="1">
      <formula>$C$15*0.1</formula>
    </cfRule>
  </conditionalFormatting>
  <conditionalFormatting sqref="D13">
    <cfRule type="cellIs" priority="5" dxfId="8" operator="greaterThan" stopIfTrue="1">
      <formula>$D$15*0.1</formula>
    </cfRule>
  </conditionalFormatting>
  <conditionalFormatting sqref="E13">
    <cfRule type="cellIs" priority="6" dxfId="8" operator="greaterThan" stopIfTrue="1">
      <formula>$E$15*0.1</formula>
    </cfRule>
  </conditionalFormatting>
  <conditionalFormatting sqref="C26">
    <cfRule type="cellIs" priority="7" dxfId="8" operator="greaterThan" stopIfTrue="1">
      <formula>$C$28*0.1</formula>
    </cfRule>
  </conditionalFormatting>
  <conditionalFormatting sqref="D26">
    <cfRule type="cellIs" priority="8" dxfId="8" operator="greaterThan" stopIfTrue="1">
      <formula>$D$28*0.1</formula>
    </cfRule>
  </conditionalFormatting>
  <conditionalFormatting sqref="E26">
    <cfRule type="cellIs" priority="9" dxfId="8" operator="greaterThan" stopIfTrue="1">
      <formula>$E$28*0.1</formula>
    </cfRule>
  </conditionalFormatting>
  <conditionalFormatting sqref="C44">
    <cfRule type="cellIs" priority="10"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2" dxfId="8" operator="greaterThan" stopIfTrue="1">
      <formula>$E$46*0.1</formula>
    </cfRule>
  </conditionalFormatting>
  <conditionalFormatting sqref="C57">
    <cfRule type="cellIs" priority="13" dxfId="8" operator="greaterThan" stopIfTrue="1">
      <formula>$C$59*0.1</formula>
    </cfRule>
  </conditionalFormatting>
  <conditionalFormatting sqref="D57">
    <cfRule type="cellIs" priority="14" dxfId="8" operator="greaterThan" stopIfTrue="1">
      <formula>$D$59*0.1</formula>
    </cfRule>
  </conditionalFormatting>
  <conditionalFormatting sqref="E57">
    <cfRule type="cellIs" priority="15" dxfId="8"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f>inputPrYr!B44</f>
        <v>0</v>
      </c>
      <c r="C5" s="258">
        <f>E1-2</f>
        <v>2010</v>
      </c>
      <c r="D5" s="258">
        <f>E1-1</f>
        <v>2011</v>
      </c>
      <c r="E5" s="258">
        <f>E1</f>
        <v>2012</v>
      </c>
    </row>
    <row r="6" spans="2:5" ht="15.75">
      <c r="B6" s="259" t="s">
        <v>165</v>
      </c>
      <c r="C6" s="68"/>
      <c r="D6" s="235">
        <f>C29</f>
        <v>0</v>
      </c>
      <c r="E6" s="235">
        <f>D29</f>
        <v>0</v>
      </c>
    </row>
    <row r="7" spans="2:5" s="46" customFormat="1" ht="15.75">
      <c r="B7" s="263" t="s">
        <v>167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0</v>
      </c>
      <c r="D15" s="274">
        <f>SUM(D8:D13)</f>
        <v>0</v>
      </c>
      <c r="E15" s="274">
        <f>SUM(E8:E13)</f>
        <v>0</v>
      </c>
    </row>
    <row r="16" spans="2:5" ht="15.75">
      <c r="B16" s="271" t="s">
        <v>891</v>
      </c>
      <c r="C16" s="274">
        <f>C6+C15</f>
        <v>0</v>
      </c>
      <c r="D16" s="274">
        <f>D6+D15</f>
        <v>0</v>
      </c>
      <c r="E16" s="274">
        <f>E6+E15</f>
        <v>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f>inputPrYr!B49</f>
        <v>0</v>
      </c>
      <c r="C36" s="258">
        <f>C5</f>
        <v>2010</v>
      </c>
      <c r="D36" s="258">
        <f>D5</f>
        <v>2011</v>
      </c>
      <c r="E36" s="258">
        <f>E5</f>
        <v>2012</v>
      </c>
    </row>
    <row r="37" spans="2:5" ht="15.75">
      <c r="B37" s="259" t="s">
        <v>165</v>
      </c>
      <c r="C37" s="68"/>
      <c r="D37" s="235">
        <f>C60</f>
        <v>0</v>
      </c>
      <c r="E37" s="235">
        <f>D60</f>
        <v>0</v>
      </c>
    </row>
    <row r="38" spans="2:5" s="46" customFormat="1"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0</v>
      </c>
      <c r="D47" s="274">
        <f>D37+D46</f>
        <v>0</v>
      </c>
      <c r="E47" s="274">
        <f>E37+E46</f>
        <v>0</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f>inputPrYr!B44</f>
        <v>0</v>
      </c>
      <c r="C5" s="258">
        <f>E1-2</f>
        <v>2010</v>
      </c>
      <c r="D5" s="258">
        <f>E1-1</f>
        <v>2011</v>
      </c>
      <c r="E5" s="258">
        <f>E1</f>
        <v>2012</v>
      </c>
    </row>
    <row r="6" spans="2:5" ht="15.75">
      <c r="B6" s="259" t="s">
        <v>165</v>
      </c>
      <c r="C6" s="68"/>
      <c r="D6" s="235">
        <f>C29</f>
        <v>0</v>
      </c>
      <c r="E6" s="235">
        <f>D29</f>
        <v>0</v>
      </c>
    </row>
    <row r="7" spans="2:5" s="46" customFormat="1" ht="15.75">
      <c r="B7" s="263" t="s">
        <v>167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0</v>
      </c>
      <c r="D15" s="274">
        <f>SUM(D8:D13)</f>
        <v>0</v>
      </c>
      <c r="E15" s="274">
        <f>SUM(E8:E13)</f>
        <v>0</v>
      </c>
    </row>
    <row r="16" spans="2:5" ht="15.75">
      <c r="B16" s="271" t="s">
        <v>891</v>
      </c>
      <c r="C16" s="274">
        <f>C6+C15</f>
        <v>0</v>
      </c>
      <c r="D16" s="274">
        <f>D6+D15</f>
        <v>0</v>
      </c>
      <c r="E16" s="274">
        <f>E6+E15</f>
        <v>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361</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881</v>
      </c>
      <c r="C34" s="304"/>
      <c r="D34" s="304"/>
      <c r="E34" s="304"/>
    </row>
    <row r="35" spans="2:5" ht="15.75">
      <c r="B35" s="48"/>
      <c r="C35" s="623" t="s">
        <v>903</v>
      </c>
      <c r="D35" s="622" t="s">
        <v>192</v>
      </c>
      <c r="E35" s="622" t="s">
        <v>193</v>
      </c>
    </row>
    <row r="36" spans="2:5" ht="15.75">
      <c r="B36" s="571">
        <f>inputPrYr!B49</f>
        <v>0</v>
      </c>
      <c r="C36" s="258">
        <f>C5</f>
        <v>2010</v>
      </c>
      <c r="D36" s="258">
        <f>D5</f>
        <v>2011</v>
      </c>
      <c r="E36" s="258">
        <f>E5</f>
        <v>2012</v>
      </c>
    </row>
    <row r="37" spans="2:5" ht="15.75">
      <c r="B37" s="259" t="s">
        <v>165</v>
      </c>
      <c r="C37" s="68"/>
      <c r="D37" s="235">
        <f>C60</f>
        <v>0</v>
      </c>
      <c r="E37" s="235">
        <f>D60</f>
        <v>0</v>
      </c>
    </row>
    <row r="38" spans="2:5" s="46" customFormat="1"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0</v>
      </c>
      <c r="D47" s="274">
        <f>D37+D46</f>
        <v>0</v>
      </c>
      <c r="E47" s="274">
        <f>E37+E46</f>
        <v>0</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Elbing City</v>
      </c>
      <c r="C1" s="48"/>
      <c r="D1" s="48"/>
      <c r="E1" s="255">
        <f>inputPrYr!C5</f>
        <v>2012</v>
      </c>
    </row>
    <row r="2" spans="2:5" ht="15.75">
      <c r="B2" s="48"/>
      <c r="C2" s="48"/>
      <c r="D2" s="48"/>
      <c r="E2" s="172"/>
    </row>
    <row r="3" spans="2:5" ht="15.75">
      <c r="B3" s="256" t="s">
        <v>111</v>
      </c>
      <c r="C3" s="298"/>
      <c r="D3" s="298"/>
      <c r="E3" s="298"/>
    </row>
    <row r="4" spans="2:5" ht="15.75">
      <c r="B4" s="53" t="s">
        <v>881</v>
      </c>
      <c r="C4" s="623" t="s">
        <v>903</v>
      </c>
      <c r="D4" s="622" t="s">
        <v>192</v>
      </c>
      <c r="E4" s="622" t="s">
        <v>193</v>
      </c>
    </row>
    <row r="5" spans="2:5" ht="15.75">
      <c r="B5" s="571">
        <f>inputPrYr!B44</f>
        <v>0</v>
      </c>
      <c r="C5" s="258">
        <f>E1-2</f>
        <v>2010</v>
      </c>
      <c r="D5" s="258">
        <f>E1-1</f>
        <v>2011</v>
      </c>
      <c r="E5" s="258">
        <f>E1</f>
        <v>2012</v>
      </c>
    </row>
    <row r="6" spans="2:5" ht="15.75">
      <c r="B6" s="259" t="s">
        <v>165</v>
      </c>
      <c r="C6" s="68"/>
      <c r="D6" s="235">
        <f>C29</f>
        <v>0</v>
      </c>
      <c r="E6" s="235">
        <f>D29</f>
        <v>0</v>
      </c>
    </row>
    <row r="7" spans="2:5" s="46" customFormat="1" ht="15.75">
      <c r="B7" s="263" t="s">
        <v>167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889</v>
      </c>
      <c r="C12" s="68"/>
      <c r="D12" s="68"/>
      <c r="E12" s="68"/>
    </row>
    <row r="13" spans="2:5" ht="15.75">
      <c r="B13" s="162" t="s">
        <v>789</v>
      </c>
      <c r="C13" s="68"/>
      <c r="D13" s="265"/>
      <c r="E13" s="265"/>
    </row>
    <row r="14" spans="2:5" ht="15.75">
      <c r="B14" s="259" t="s">
        <v>360</v>
      </c>
      <c r="C14" s="309">
        <f>IF(C15*0.1&lt;C13,"Exceed 10% Rule","")</f>
      </c>
      <c r="D14" s="270">
        <f>IF(D15*0.1&lt;D13,"Exceed 10% Rule","")</f>
      </c>
      <c r="E14" s="270">
        <f>IF(E15*0.1&lt;E13,"Exceed 10% Rule","")</f>
      </c>
    </row>
    <row r="15" spans="2:5" ht="15.75">
      <c r="B15" s="271" t="s">
        <v>890</v>
      </c>
      <c r="C15" s="274">
        <f>SUM(C8:C13)</f>
        <v>0</v>
      </c>
      <c r="D15" s="274">
        <f>SUM(D8:D13)</f>
        <v>0</v>
      </c>
      <c r="E15" s="274">
        <f>SUM(E8:E13)</f>
        <v>0</v>
      </c>
    </row>
    <row r="16" spans="2:5" ht="15.75">
      <c r="B16" s="271" t="s">
        <v>891</v>
      </c>
      <c r="C16" s="274">
        <f>C6+C15</f>
        <v>0</v>
      </c>
      <c r="D16" s="274">
        <f>D6+D15</f>
        <v>0</v>
      </c>
      <c r="E16" s="274">
        <f>E6+E15</f>
        <v>0</v>
      </c>
    </row>
    <row r="17" spans="2:5" ht="15.75">
      <c r="B17" s="153" t="s">
        <v>893</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789</v>
      </c>
      <c r="C26" s="68"/>
      <c r="D26" s="265"/>
      <c r="E26" s="265"/>
    </row>
    <row r="27" spans="2:5" ht="15.75">
      <c r="B27" s="281" t="s">
        <v>364</v>
      </c>
      <c r="C27" s="309">
        <f>IF(C28*0.1&lt;C26,"Exceed 10% Rule","")</f>
      </c>
      <c r="D27" s="270">
        <f>IF(D28*0.1&lt;D26,"Exceed 10% Rule","")</f>
      </c>
      <c r="E27" s="270">
        <f>IF(E28*0.1&lt;E26,"Exceed 10% Rule","")</f>
      </c>
    </row>
    <row r="28" spans="2:5" ht="15.75">
      <c r="B28" s="271" t="s">
        <v>897</v>
      </c>
      <c r="C28" s="274">
        <f>SUM(C18:C26)</f>
        <v>0</v>
      </c>
      <c r="D28" s="274">
        <f>SUM(D18:D26)</f>
        <v>0</v>
      </c>
      <c r="E28" s="274">
        <f>SUM(E18:E26)</f>
        <v>0</v>
      </c>
    </row>
    <row r="29" spans="2:5" ht="15.75">
      <c r="B29" s="153" t="s">
        <v>166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397">
        <f>IF(C28&gt;C30,"See Tab A","")</f>
      </c>
      <c r="D31" s="284">
        <f>IF(D28&gt;D30,"See Tab C","")</f>
      </c>
      <c r="E31" s="98"/>
    </row>
    <row r="32" spans="2:5" ht="15.75">
      <c r="B32" s="139"/>
      <c r="C32" s="397">
        <f>IF(C29&lt;0,"See Tab B","")</f>
      </c>
      <c r="D32" s="284">
        <f>IF(D29&lt;0,"See Tab D","")</f>
      </c>
      <c r="E32" s="98"/>
    </row>
    <row r="33" spans="2:5" ht="15.75">
      <c r="B33" s="48"/>
      <c r="C33" s="398"/>
      <c r="D33" s="98"/>
      <c r="E33" s="98"/>
    </row>
    <row r="34" spans="2:5" ht="15.75">
      <c r="B34" s="53" t="s">
        <v>881</v>
      </c>
      <c r="C34" s="399"/>
      <c r="D34" s="304"/>
      <c r="E34" s="304"/>
    </row>
    <row r="35" spans="2:5" ht="15.75">
      <c r="B35" s="48"/>
      <c r="C35" s="623" t="s">
        <v>903</v>
      </c>
      <c r="D35" s="622" t="s">
        <v>192</v>
      </c>
      <c r="E35" s="622" t="s">
        <v>193</v>
      </c>
    </row>
    <row r="36" spans="2:5" ht="15.75">
      <c r="B36" s="571">
        <f>inputPrYr!B49</f>
        <v>0</v>
      </c>
      <c r="C36" s="258">
        <f>C5</f>
        <v>2010</v>
      </c>
      <c r="D36" s="258">
        <f>D5</f>
        <v>2011</v>
      </c>
      <c r="E36" s="258">
        <f>E5</f>
        <v>2012</v>
      </c>
    </row>
    <row r="37" spans="2:5" ht="15.75">
      <c r="B37" s="259" t="s">
        <v>165</v>
      </c>
      <c r="C37" s="68"/>
      <c r="D37" s="235">
        <f>C60</f>
        <v>0</v>
      </c>
      <c r="E37" s="235">
        <f>D60</f>
        <v>0</v>
      </c>
    </row>
    <row r="38" spans="2:5" s="46" customFormat="1" ht="15.75">
      <c r="B38" s="263" t="s">
        <v>167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889</v>
      </c>
      <c r="C43" s="68"/>
      <c r="D43" s="68"/>
      <c r="E43" s="68"/>
    </row>
    <row r="44" spans="2:5" ht="15.75">
      <c r="B44" s="162" t="s">
        <v>789</v>
      </c>
      <c r="C44" s="68"/>
      <c r="D44" s="265"/>
      <c r="E44" s="265"/>
    </row>
    <row r="45" spans="2:5" ht="15.75">
      <c r="B45" s="259" t="s">
        <v>360</v>
      </c>
      <c r="C45" s="309">
        <f>IF(C46*0.1&lt;C44,"Exceed 10% Rule","")</f>
      </c>
      <c r="D45" s="270">
        <f>IF(D46*0.1&lt;D44,"Exceed 10% Rule","")</f>
      </c>
      <c r="E45" s="270">
        <f>IF(E46*0.1&lt;E44,"Exceed 10% Rule","")</f>
      </c>
    </row>
    <row r="46" spans="2:5" ht="15.75">
      <c r="B46" s="271" t="s">
        <v>890</v>
      </c>
      <c r="C46" s="274">
        <f>SUM(C39:C44)</f>
        <v>0</v>
      </c>
      <c r="D46" s="274">
        <f>SUM(D39:D44)</f>
        <v>0</v>
      </c>
      <c r="E46" s="274">
        <f>SUM(E39:E44)</f>
        <v>0</v>
      </c>
    </row>
    <row r="47" spans="2:5" ht="15.75">
      <c r="B47" s="271" t="s">
        <v>891</v>
      </c>
      <c r="C47" s="274">
        <f>C37+C46</f>
        <v>0</v>
      </c>
      <c r="D47" s="274">
        <f>D37+D46</f>
        <v>0</v>
      </c>
      <c r="E47" s="274">
        <f>E37+E46</f>
        <v>0</v>
      </c>
    </row>
    <row r="48" spans="2:5" ht="15.75">
      <c r="B48" s="153" t="s">
        <v>893</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789</v>
      </c>
      <c r="C57" s="68"/>
      <c r="D57" s="265"/>
      <c r="E57" s="265"/>
    </row>
    <row r="58" spans="2:5" ht="15.75">
      <c r="B58" s="281" t="s">
        <v>361</v>
      </c>
      <c r="C58" s="309">
        <f>IF(C59*0.1&lt;C57,"Exceed 10% Rule","")</f>
      </c>
      <c r="D58" s="270">
        <f>IF(D59*0.1&lt;D57,"Exceed 10% Rule","")</f>
      </c>
      <c r="E58" s="270">
        <f>IF(E59*0.1&lt;E57,"Exceed 10% Rule","")</f>
      </c>
    </row>
    <row r="59" spans="2:5" ht="15.75">
      <c r="B59" s="271" t="s">
        <v>897</v>
      </c>
      <c r="C59" s="274">
        <f>SUM(C49:C57)</f>
        <v>0</v>
      </c>
      <c r="D59" s="274">
        <f>SUM(D49:D57)</f>
        <v>0</v>
      </c>
      <c r="E59" s="274">
        <f>SUM(E49:E57)</f>
        <v>0</v>
      </c>
    </row>
    <row r="60" spans="2:5" ht="15.75">
      <c r="B60" s="153" t="s">
        <v>166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900</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45">
      <selection activeCell="E71" sqref="E71"/>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Elbing City</v>
      </c>
      <c r="B1" s="69"/>
      <c r="C1" s="69"/>
      <c r="D1" s="69"/>
      <c r="E1" s="177">
        <f>inputPrYr!C5</f>
        <v>2012</v>
      </c>
    </row>
    <row r="2" spans="1:5" ht="15">
      <c r="A2" s="69"/>
      <c r="B2" s="69"/>
      <c r="C2" s="69"/>
      <c r="D2" s="69"/>
      <c r="E2" s="69"/>
    </row>
    <row r="3" spans="1:5" ht="15.75">
      <c r="A3" s="670" t="s">
        <v>279</v>
      </c>
      <c r="B3" s="671"/>
      <c r="C3" s="671"/>
      <c r="D3" s="671"/>
      <c r="E3" s="671"/>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1202453</v>
      </c>
    </row>
    <row r="8" spans="1:5" ht="15.75">
      <c r="A8" s="108" t="str">
        <f>CONCATENATE("New Improvements for ",E1-1,"")</f>
        <v>New Improvements for 2011</v>
      </c>
      <c r="B8" s="73"/>
      <c r="C8" s="73"/>
      <c r="D8" s="73"/>
      <c r="E8" s="109"/>
    </row>
    <row r="9" spans="1:5" ht="15.75">
      <c r="A9" s="108" t="str">
        <f>CONCATENATE("Personal Property excluding oil, gas, mobile homes - ",E1-1,"")</f>
        <v>Personal Property excluding oil, gas, mobile homes - 2011</v>
      </c>
      <c r="B9" s="73"/>
      <c r="C9" s="73"/>
      <c r="D9" s="73"/>
      <c r="E9" s="109">
        <v>63865</v>
      </c>
    </row>
    <row r="10" spans="1:5" ht="15.75">
      <c r="A10" s="110" t="s">
        <v>205</v>
      </c>
      <c r="B10" s="73"/>
      <c r="C10" s="73"/>
      <c r="D10" s="73"/>
      <c r="E10" s="88"/>
    </row>
    <row r="11" spans="1:5" ht="15.75">
      <c r="A11" s="108" t="s">
        <v>158</v>
      </c>
      <c r="B11" s="73"/>
      <c r="C11" s="73"/>
      <c r="D11" s="73"/>
      <c r="E11" s="109"/>
    </row>
    <row r="12" spans="1:5" ht="15.75">
      <c r="A12" s="108" t="s">
        <v>159</v>
      </c>
      <c r="B12" s="73"/>
      <c r="C12" s="73"/>
      <c r="D12" s="73"/>
      <c r="E12" s="109"/>
    </row>
    <row r="13" spans="1:5" ht="15.75">
      <c r="A13" s="108" t="s">
        <v>160</v>
      </c>
      <c r="B13" s="73"/>
      <c r="C13" s="73"/>
      <c r="D13" s="73"/>
      <c r="E13" s="109"/>
    </row>
    <row r="14" spans="1:5" ht="15.75">
      <c r="A14" s="108" t="str">
        <f>CONCATENATE("Property that has changed in use for ",E1-1,"")</f>
        <v>Property that has changed in use for 2011</v>
      </c>
      <c r="B14" s="73"/>
      <c r="C14" s="73"/>
      <c r="D14" s="73"/>
      <c r="E14" s="109">
        <v>2679</v>
      </c>
    </row>
    <row r="15" spans="1:5" ht="15.75">
      <c r="A15" s="108" t="str">
        <f>CONCATENATE("Personal Property  excluding oil, gas, mobile homes- ",E1-2,"")</f>
        <v>Personal Property  excluding oil, gas, mobile homes- 2010</v>
      </c>
      <c r="B15" s="73"/>
      <c r="C15" s="73"/>
      <c r="D15" s="73"/>
      <c r="E15" s="109">
        <v>74033</v>
      </c>
    </row>
    <row r="16" spans="1:5" ht="15.75">
      <c r="A16" s="108" t="str">
        <f>CONCATENATE("Gross earnings (intangible) tax estimate for ",E1,"")</f>
        <v>Gross earnings (intangible) tax estimate for 2012</v>
      </c>
      <c r="B16" s="73"/>
      <c r="C16" s="73"/>
      <c r="D16" s="94"/>
      <c r="E16" s="68"/>
    </row>
    <row r="17" spans="1:5" ht="15.75">
      <c r="A17" s="108" t="s">
        <v>206</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76" t="s">
        <v>867</v>
      </c>
      <c r="B20" s="677"/>
      <c r="C20" s="69"/>
      <c r="D20" s="111" t="s">
        <v>922</v>
      </c>
      <c r="E20" s="85"/>
    </row>
    <row r="21" spans="1:5" ht="15.75">
      <c r="A21" s="71" t="s">
        <v>851</v>
      </c>
      <c r="B21" s="72"/>
      <c r="C21" s="77"/>
      <c r="D21" s="112">
        <v>15.49</v>
      </c>
      <c r="E21" s="85"/>
    </row>
    <row r="22" spans="1:5" ht="15.75">
      <c r="A22" s="108" t="s">
        <v>822</v>
      </c>
      <c r="B22" s="73"/>
      <c r="C22" s="77"/>
      <c r="D22" s="113">
        <v>6.346</v>
      </c>
      <c r="E22" s="85"/>
    </row>
    <row r="23" spans="1:5" ht="15.75">
      <c r="A23" s="108" t="str">
        <f>IF(inputPrYr!B20&gt;" ",(inputPrYr!B20)," ")</f>
        <v> </v>
      </c>
      <c r="B23" s="73"/>
      <c r="C23" s="77"/>
      <c r="D23" s="113"/>
      <c r="E23" s="85"/>
    </row>
    <row r="24" spans="1:5" ht="15.75">
      <c r="A24" s="108" t="str">
        <f>IF(inputPrYr!B21&gt;" ",(inputPrYr!B21)," ")</f>
        <v> </v>
      </c>
      <c r="B24" s="73"/>
      <c r="C24" s="77"/>
      <c r="D24" s="113"/>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853</v>
      </c>
      <c r="C34" s="117"/>
      <c r="D34" s="118">
        <f>SUM(D21:D33)</f>
        <v>21.836</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1214375</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854</v>
      </c>
      <c r="B39" s="72"/>
      <c r="C39" s="72"/>
      <c r="D39" s="122"/>
      <c r="E39" s="68">
        <v>3984</v>
      </c>
    </row>
    <row r="40" spans="1:5" ht="15.75">
      <c r="A40" s="108" t="s">
        <v>855</v>
      </c>
      <c r="B40" s="73"/>
      <c r="C40" s="73"/>
      <c r="D40" s="123"/>
      <c r="E40" s="68">
        <v>43</v>
      </c>
    </row>
    <row r="41" spans="1:5" ht="15.75">
      <c r="A41" s="108" t="s">
        <v>207</v>
      </c>
      <c r="B41" s="73"/>
      <c r="C41" s="73"/>
      <c r="D41" s="123"/>
      <c r="E41" s="68">
        <v>21</v>
      </c>
    </row>
    <row r="42" spans="1:5" ht="15.75">
      <c r="A42" s="108" t="s">
        <v>208</v>
      </c>
      <c r="B42" s="73"/>
      <c r="C42" s="73"/>
      <c r="D42" s="123"/>
      <c r="E42" s="68"/>
    </row>
    <row r="43" spans="1:5" ht="15.75">
      <c r="A43" s="108" t="s">
        <v>209</v>
      </c>
      <c r="B43" s="73"/>
      <c r="C43" s="73"/>
      <c r="D43" s="123"/>
      <c r="E43" s="68"/>
    </row>
    <row r="44" spans="1:5" ht="15.75">
      <c r="A44" s="71" t="s">
        <v>210</v>
      </c>
      <c r="B44" s="72"/>
      <c r="C44" s="72"/>
      <c r="D44" s="122"/>
      <c r="E44" s="68"/>
    </row>
    <row r="45" spans="1:5" ht="15.75">
      <c r="A45" s="48" t="s">
        <v>211</v>
      </c>
      <c r="B45" s="48"/>
      <c r="C45" s="48"/>
      <c r="D45" s="48"/>
      <c r="E45" s="48"/>
    </row>
    <row r="46" spans="1:5" ht="15.75">
      <c r="A46" s="47" t="s">
        <v>875</v>
      </c>
      <c r="B46" s="57"/>
      <c r="C46" s="57"/>
      <c r="D46" s="48"/>
      <c r="E46" s="48"/>
    </row>
    <row r="47" spans="1:5" ht="15.75">
      <c r="A47" s="76" t="str">
        <f>CONCATENATE("Actual Delinquency for ",E1-3," Tax - (round to three decimal places)")</f>
        <v>Actual Delinquency for 2009 Tax - (round to three decimal places)</v>
      </c>
      <c r="B47" s="77"/>
      <c r="C47" s="48"/>
      <c r="D47" s="48"/>
      <c r="E47" s="599">
        <v>0.97</v>
      </c>
    </row>
    <row r="48" spans="1:5" ht="15.75">
      <c r="A48" s="71" t="s">
        <v>212</v>
      </c>
      <c r="B48" s="71"/>
      <c r="C48" s="72"/>
      <c r="D48" s="72"/>
      <c r="E48" s="403">
        <v>0.02</v>
      </c>
    </row>
    <row r="49" spans="1:5" ht="15.75">
      <c r="A49" s="48"/>
      <c r="B49" s="48"/>
      <c r="C49" s="48"/>
      <c r="D49" s="48"/>
      <c r="E49" s="48"/>
    </row>
    <row r="50" spans="1:5" ht="15.75">
      <c r="A50" s="124" t="s">
        <v>776</v>
      </c>
      <c r="B50" s="125"/>
      <c r="C50" s="126"/>
      <c r="D50" s="126"/>
      <c r="E50" s="126"/>
    </row>
    <row r="51" spans="1:5" ht="15.75">
      <c r="A51" s="127" t="str">
        <f>CONCATENATE("",E1," State Distribution for Kansas Gas Tax")</f>
        <v>2012 State Distribution for Kansas Gas Tax</v>
      </c>
      <c r="B51" s="128"/>
      <c r="C51" s="128"/>
      <c r="D51" s="129"/>
      <c r="E51" s="104">
        <v>5600</v>
      </c>
    </row>
    <row r="52" spans="1:5" ht="15.75">
      <c r="A52" s="130" t="str">
        <f>CONCATENATE("",E1," County Transfers for Gas**")</f>
        <v>2012 County Transfers for Gas**</v>
      </c>
      <c r="B52" s="131"/>
      <c r="C52" s="131"/>
      <c r="D52" s="132"/>
      <c r="E52" s="104">
        <v>882</v>
      </c>
    </row>
    <row r="53" spans="1:5" ht="15.75">
      <c r="A53" s="130" t="str">
        <f>CONCATENATE("Adjusted ",E1-1," State Distribution for Kansas Gas Tax")</f>
        <v>Adjusted 2011 State Distribution for Kansas Gas Tax</v>
      </c>
      <c r="B53" s="131"/>
      <c r="C53" s="131"/>
      <c r="D53" s="132"/>
      <c r="E53" s="104">
        <v>5600</v>
      </c>
    </row>
    <row r="54" spans="1:5" ht="15.75">
      <c r="A54" s="130" t="str">
        <f>CONCATENATE("Adjusted ",E1-1," County Transfers for Gas**")</f>
        <v>Adjusted 2011 County Transfers for Gas**</v>
      </c>
      <c r="B54" s="131"/>
      <c r="C54" s="131"/>
      <c r="D54" s="132"/>
      <c r="E54" s="104">
        <v>823</v>
      </c>
    </row>
    <row r="55" spans="1:5" ht="15">
      <c r="A55" s="678" t="s">
        <v>274</v>
      </c>
      <c r="B55" s="679"/>
      <c r="C55" s="679"/>
      <c r="D55" s="679"/>
      <c r="E55" s="679"/>
    </row>
    <row r="56" spans="1:5" ht="15">
      <c r="A56" s="133" t="s">
        <v>275</v>
      </c>
      <c r="B56" s="133"/>
      <c r="C56" s="133"/>
      <c r="D56" s="133"/>
      <c r="E56" s="133"/>
    </row>
    <row r="57" spans="1:5" ht="15">
      <c r="A57" s="69"/>
      <c r="B57" s="69"/>
      <c r="C57" s="69"/>
      <c r="D57" s="69"/>
      <c r="E57" s="69"/>
    </row>
    <row r="58" spans="1:5" ht="15.75">
      <c r="A58" s="680" t="str">
        <f>CONCATENATE("From the ",E1-2," Budget Certificate Page")</f>
        <v>From the 2010 Budget Certificate Page</v>
      </c>
      <c r="B58" s="681"/>
      <c r="C58" s="69"/>
      <c r="D58" s="69"/>
      <c r="E58" s="69"/>
    </row>
    <row r="59" spans="1:5" ht="15.75">
      <c r="A59" s="134"/>
      <c r="B59" s="134" t="str">
        <f>CONCATENATE("",E1-2," Expenditure Amounts")</f>
        <v>2010 Expenditure Amounts</v>
      </c>
      <c r="C59" s="674" t="str">
        <f>CONCATENATE("Note: If the ",E1-2," budget was amended, then the")</f>
        <v>Note: If the 2010 budget was amended, then the</v>
      </c>
      <c r="D59" s="675"/>
      <c r="E59" s="675"/>
    </row>
    <row r="60" spans="1:5" ht="15.75">
      <c r="A60" s="135" t="s">
        <v>784</v>
      </c>
      <c r="B60" s="135" t="s">
        <v>785</v>
      </c>
      <c r="C60" s="136" t="s">
        <v>786</v>
      </c>
      <c r="D60" s="137"/>
      <c r="E60" s="137"/>
    </row>
    <row r="61" spans="1:5" ht="15.75">
      <c r="A61" s="138" t="str">
        <f>inputPrYr!B17</f>
        <v>General</v>
      </c>
      <c r="B61" s="104">
        <v>54913</v>
      </c>
      <c r="C61" s="136" t="s">
        <v>787</v>
      </c>
      <c r="D61" s="137"/>
      <c r="E61" s="137"/>
    </row>
    <row r="62" spans="1:5" ht="15.75">
      <c r="A62" s="138" t="str">
        <f>inputPrYr!B18</f>
        <v>Debt Service</v>
      </c>
      <c r="B62" s="104">
        <v>9760</v>
      </c>
      <c r="C62" s="136"/>
      <c r="D62" s="137"/>
      <c r="E62" s="137"/>
    </row>
    <row r="63" spans="1:5" ht="15.75">
      <c r="A63" s="138">
        <f>inputPrYr!B20</f>
        <v>0</v>
      </c>
      <c r="B63" s="104"/>
      <c r="C63" s="69"/>
      <c r="D63" s="69"/>
      <c r="E63" s="69"/>
    </row>
    <row r="64" spans="1:5" ht="15.75">
      <c r="A64" s="138">
        <f>inputPrYr!B21</f>
        <v>0</v>
      </c>
      <c r="B64" s="104"/>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v>13300</v>
      </c>
      <c r="C74" s="69"/>
      <c r="D74" s="69"/>
      <c r="E74" s="69"/>
    </row>
    <row r="75" spans="1:5" ht="15.75">
      <c r="A75" s="138" t="str">
        <f>inputPrYr!B35</f>
        <v>Water Utility</v>
      </c>
      <c r="B75" s="104">
        <v>42994</v>
      </c>
      <c r="C75" s="69"/>
      <c r="D75" s="69"/>
      <c r="E75" s="69"/>
    </row>
    <row r="76" spans="1:5" ht="15.75">
      <c r="A76" s="138" t="str">
        <f>inputPrYr!B36</f>
        <v>Water Reserve Fd</v>
      </c>
      <c r="B76" s="104"/>
      <c r="C76" s="69"/>
      <c r="D76" s="69"/>
      <c r="E76" s="69"/>
    </row>
    <row r="77" spans="1:5" ht="15.75">
      <c r="A77" s="138" t="str">
        <f>inputPrYr!B37</f>
        <v>Sewer Utility</v>
      </c>
      <c r="B77" s="104">
        <v>25071</v>
      </c>
      <c r="C77" s="69"/>
      <c r="D77" s="69"/>
      <c r="E77" s="69"/>
    </row>
    <row r="78" spans="1:5" ht="15.75">
      <c r="A78" s="138" t="str">
        <f>inputPrYr!B38</f>
        <v>Sewer Replace Acct. Reserve</v>
      </c>
      <c r="B78" s="104"/>
      <c r="C78" s="69"/>
      <c r="D78" s="69"/>
      <c r="E78" s="69"/>
    </row>
    <row r="79" spans="1:5" ht="15.75">
      <c r="A79" s="138" t="str">
        <f>inputPrYr!B39</f>
        <v>Sewer Reserve Account</v>
      </c>
      <c r="B79" s="104"/>
      <c r="C79" s="69"/>
      <c r="D79" s="69"/>
      <c r="E79" s="69"/>
    </row>
    <row r="80" spans="1:5" ht="15.75">
      <c r="A80" s="138">
        <f>inputPrYr!B40</f>
        <v>0</v>
      </c>
      <c r="B80" s="104"/>
      <c r="C80" s="69"/>
      <c r="D80" s="69"/>
      <c r="E80" s="69"/>
    </row>
    <row r="81" spans="1:5" ht="15.75">
      <c r="A81" s="138">
        <f>inputPrYr!B41</f>
        <v>0</v>
      </c>
      <c r="B81" s="104"/>
      <c r="C81" s="69"/>
      <c r="D81" s="69"/>
      <c r="E81" s="69"/>
    </row>
    <row r="82" spans="1:5" ht="15.75">
      <c r="A82" s="138">
        <f>inputPrYr!B42</f>
        <v>0</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Elbing City</v>
      </c>
      <c r="C1" s="48"/>
      <c r="D1" s="48"/>
      <c r="E1" s="226">
        <f>inputPrYr!$C$5</f>
        <v>2012</v>
      </c>
    </row>
    <row r="2" spans="2:5" ht="15.75">
      <c r="B2" s="48"/>
      <c r="C2" s="48"/>
      <c r="D2" s="48"/>
      <c r="E2" s="172"/>
    </row>
    <row r="3" spans="2:5" ht="15.75">
      <c r="B3" s="256" t="s">
        <v>111</v>
      </c>
      <c r="C3" s="306"/>
      <c r="D3" s="306"/>
      <c r="E3" s="307"/>
    </row>
    <row r="4" spans="2:5" ht="15.75">
      <c r="B4" s="53" t="s">
        <v>881</v>
      </c>
      <c r="C4" s="620" t="s">
        <v>903</v>
      </c>
      <c r="D4" s="621" t="s">
        <v>192</v>
      </c>
      <c r="E4" s="622" t="s">
        <v>193</v>
      </c>
    </row>
    <row r="5" spans="2:5" ht="15.75">
      <c r="B5" s="571">
        <f>(inputPrYr!B51)</f>
        <v>0</v>
      </c>
      <c r="C5" s="232">
        <f>E1-2</f>
        <v>2010</v>
      </c>
      <c r="D5" s="232">
        <f>E1-1</f>
        <v>2011</v>
      </c>
      <c r="E5" s="215">
        <f>inputPrYr!$C$5</f>
        <v>2012</v>
      </c>
    </row>
    <row r="6" spans="2:5" ht="15.75">
      <c r="B6" s="153" t="s">
        <v>165</v>
      </c>
      <c r="C6" s="264"/>
      <c r="D6" s="262">
        <f>C48</f>
        <v>0</v>
      </c>
      <c r="E6" s="235">
        <f>D48</f>
        <v>0</v>
      </c>
    </row>
    <row r="7" spans="2:5" ht="15.75">
      <c r="B7" s="293" t="s">
        <v>167</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889</v>
      </c>
      <c r="C16" s="264"/>
      <c r="D16" s="264"/>
      <c r="E16" s="267"/>
    </row>
    <row r="17" spans="2:5" ht="15.75">
      <c r="B17" s="162" t="s">
        <v>789</v>
      </c>
      <c r="C17" s="264"/>
      <c r="D17" s="264"/>
      <c r="E17" s="267"/>
    </row>
    <row r="18" spans="2:5" ht="15.75">
      <c r="B18" s="259" t="s">
        <v>360</v>
      </c>
      <c r="C18" s="269">
        <f>IF(C19*0.1&lt;C17,"Exceed 10% Rule","")</f>
      </c>
      <c r="D18" s="269">
        <f>IF(D19*0.1&lt;D17,"Exceed 10% Rule","")</f>
      </c>
      <c r="E18" s="309">
        <f>IF(E19*0.1&lt;E17,"Exceed 10% Rule","")</f>
      </c>
    </row>
    <row r="19" spans="2:5" ht="15.75">
      <c r="B19" s="271" t="s">
        <v>890</v>
      </c>
      <c r="C19" s="273">
        <f>SUM(C8:C17)</f>
        <v>0</v>
      </c>
      <c r="D19" s="273">
        <f>SUM(D8:D17)</f>
        <v>0</v>
      </c>
      <c r="E19" s="274">
        <f>SUM(E8:E17)</f>
        <v>0</v>
      </c>
    </row>
    <row r="20" spans="2:5" ht="15.75">
      <c r="B20" s="271" t="s">
        <v>891</v>
      </c>
      <c r="C20" s="273">
        <f>C6+C19</f>
        <v>0</v>
      </c>
      <c r="D20" s="273">
        <f>D6+D19</f>
        <v>0</v>
      </c>
      <c r="E20" s="274">
        <f>E6+E19</f>
        <v>0</v>
      </c>
    </row>
    <row r="21" spans="2:5" ht="15.75">
      <c r="B21" s="153" t="s">
        <v>893</v>
      </c>
      <c r="C21" s="162"/>
      <c r="D21" s="162"/>
      <c r="E21" s="88"/>
    </row>
    <row r="22" spans="2:5" ht="15.75">
      <c r="B22" s="280" t="s">
        <v>221</v>
      </c>
      <c r="C22" s="264"/>
      <c r="D22" s="264"/>
      <c r="E22" s="267"/>
    </row>
    <row r="23" spans="2:5" ht="15.75">
      <c r="B23" s="280" t="s">
        <v>798</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789</v>
      </c>
      <c r="C45" s="264"/>
      <c r="D45" s="264"/>
      <c r="E45" s="267"/>
    </row>
    <row r="46" spans="2:5" ht="15.75">
      <c r="B46" s="281" t="s">
        <v>361</v>
      </c>
      <c r="C46" s="269">
        <f>IF(C47*0.1&lt;C45,"Exceed 10% Rule","")</f>
      </c>
      <c r="D46" s="269">
        <f>IF(D47*0.1&lt;D45,"Exceed 10% Rule","")</f>
      </c>
      <c r="E46" s="309">
        <f>IF(E47*0.1&lt;E45,"Exceed 10% Rule","")</f>
      </c>
    </row>
    <row r="47" spans="2:5" ht="15.75">
      <c r="B47" s="271" t="s">
        <v>897</v>
      </c>
      <c r="C47" s="273">
        <f>SUM(C22:C45)</f>
        <v>0</v>
      </c>
      <c r="D47" s="273">
        <f>SUM(D22:D45)</f>
        <v>0</v>
      </c>
      <c r="E47" s="274">
        <f>SUM(E22:E45)</f>
        <v>0</v>
      </c>
    </row>
    <row r="48" spans="2:5" ht="15.75">
      <c r="B48" s="153" t="s">
        <v>166</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900</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Elbing City</v>
      </c>
      <c r="C1" s="48"/>
      <c r="D1" s="48"/>
      <c r="E1" s="226">
        <f>inputPrYr!$C$5</f>
        <v>2012</v>
      </c>
    </row>
    <row r="2" spans="2:5" ht="15.75">
      <c r="B2" s="48"/>
      <c r="C2" s="48"/>
      <c r="D2" s="48"/>
      <c r="E2" s="172"/>
    </row>
    <row r="3" spans="2:5" ht="15.75">
      <c r="B3" s="256" t="s">
        <v>111</v>
      </c>
      <c r="C3" s="306"/>
      <c r="D3" s="306"/>
      <c r="E3" s="307"/>
    </row>
    <row r="4" spans="2:5" ht="15.75">
      <c r="B4" s="53" t="s">
        <v>881</v>
      </c>
      <c r="C4" s="623" t="s">
        <v>903</v>
      </c>
      <c r="D4" s="622" t="s">
        <v>192</v>
      </c>
      <c r="E4" s="622" t="s">
        <v>193</v>
      </c>
    </row>
    <row r="5" spans="2:5" ht="15.75">
      <c r="B5" s="571">
        <f>(inputPrYr!B52)</f>
        <v>0</v>
      </c>
      <c r="C5" s="215">
        <f>E1-2</f>
        <v>2010</v>
      </c>
      <c r="D5" s="215">
        <f>E1-1</f>
        <v>2011</v>
      </c>
      <c r="E5" s="215">
        <f>inputPrYr!$C$5</f>
        <v>2012</v>
      </c>
    </row>
    <row r="6" spans="2:5" ht="15.75">
      <c r="B6" s="153" t="s">
        <v>165</v>
      </c>
      <c r="C6" s="68"/>
      <c r="D6" s="235">
        <f>C48</f>
        <v>0</v>
      </c>
      <c r="E6" s="235">
        <f>D48</f>
        <v>0</v>
      </c>
    </row>
    <row r="7" spans="2:5" ht="15.75">
      <c r="B7" s="293" t="s">
        <v>167</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889</v>
      </c>
      <c r="C16" s="267"/>
      <c r="D16" s="267"/>
      <c r="E16" s="267"/>
    </row>
    <row r="17" spans="2:5" ht="15.75">
      <c r="B17" s="162" t="s">
        <v>789</v>
      </c>
      <c r="C17" s="267"/>
      <c r="D17" s="261"/>
      <c r="E17" s="261"/>
    </row>
    <row r="18" spans="2:5" ht="15.75">
      <c r="B18" s="259" t="s">
        <v>360</v>
      </c>
      <c r="C18" s="309">
        <f>IF(C19*0.1&lt;C17,"Exceed 10% Rule","")</f>
      </c>
      <c r="D18" s="270">
        <f>IF(D19*0.1&lt;D17,"Exceed 10% Rule","")</f>
      </c>
      <c r="E18" s="270">
        <f>IF(E19*0.1&lt;E17,"Exceed 10% Rule","")</f>
      </c>
    </row>
    <row r="19" spans="2:5" ht="15.75">
      <c r="B19" s="271" t="s">
        <v>890</v>
      </c>
      <c r="C19" s="274">
        <f>SUM(C8:C17)</f>
        <v>0</v>
      </c>
      <c r="D19" s="274">
        <f>SUM(D8:D17)</f>
        <v>0</v>
      </c>
      <c r="E19" s="274">
        <f>SUM(E8:E17)</f>
        <v>0</v>
      </c>
    </row>
    <row r="20" spans="2:5" ht="15.75">
      <c r="B20" s="271" t="s">
        <v>891</v>
      </c>
      <c r="C20" s="274">
        <f>C6+C19</f>
        <v>0</v>
      </c>
      <c r="D20" s="274">
        <f>D6+D19</f>
        <v>0</v>
      </c>
      <c r="E20" s="274">
        <f>E6+E19</f>
        <v>0</v>
      </c>
    </row>
    <row r="21" spans="2:5" ht="15.75">
      <c r="B21" s="153" t="s">
        <v>893</v>
      </c>
      <c r="C21" s="88"/>
      <c r="D21" s="88"/>
      <c r="E21" s="88"/>
    </row>
    <row r="22" spans="2:5" ht="15.75">
      <c r="B22" s="280" t="s">
        <v>221</v>
      </c>
      <c r="C22" s="267"/>
      <c r="D22" s="267"/>
      <c r="E22" s="267"/>
    </row>
    <row r="23" spans="2:5" ht="15.75">
      <c r="B23" s="280" t="s">
        <v>799</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789</v>
      </c>
      <c r="C45" s="267"/>
      <c r="D45" s="261"/>
      <c r="E45" s="261"/>
    </row>
    <row r="46" spans="2:5" ht="15.75">
      <c r="B46" s="281" t="s">
        <v>361</v>
      </c>
      <c r="C46" s="309">
        <f>IF(C47*0.1&lt;C45,"Exceed 10% Rule","")</f>
      </c>
      <c r="D46" s="270">
        <f>IF(D47*0.1&lt;D45,"Exceed 10% Rule","")</f>
      </c>
      <c r="E46" s="270">
        <f>IF(E47*0.1&lt;E45,"Exceed 10% Rule","")</f>
      </c>
    </row>
    <row r="47" spans="2:5" ht="15.75">
      <c r="B47" s="271" t="s">
        <v>897</v>
      </c>
      <c r="C47" s="274">
        <f>SUM(C22:C45)</f>
        <v>0</v>
      </c>
      <c r="D47" s="274">
        <f>SUM(D22:D45)</f>
        <v>0</v>
      </c>
      <c r="E47" s="274">
        <f>SUM(E22:E45)</f>
        <v>0</v>
      </c>
    </row>
    <row r="48" spans="2:5" ht="15.75">
      <c r="B48" s="153" t="s">
        <v>166</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900</v>
      </c>
      <c r="C53" s="289"/>
      <c r="D53" s="69"/>
      <c r="E53" s="69"/>
    </row>
  </sheetData>
  <sheetProtection sheet="1"/>
  <conditionalFormatting sqref="E17">
    <cfRule type="cellIs" priority="2" dxfId="8" operator="greaterThan" stopIfTrue="1">
      <formula>$E$19*0.1</formula>
    </cfRule>
  </conditionalFormatting>
  <conditionalFormatting sqref="E45">
    <cfRule type="cellIs" priority="3" dxfId="8" operator="greaterThan" stopIfTrue="1">
      <formula>$E$47*0.1</formula>
    </cfRule>
  </conditionalFormatting>
  <conditionalFormatting sqref="D17">
    <cfRule type="cellIs" priority="4" dxfId="8" operator="greaterThan" stopIfTrue="1">
      <formula>$D$19*0.1</formula>
    </cfRule>
  </conditionalFormatting>
  <conditionalFormatting sqref="D45">
    <cfRule type="cellIs" priority="5" dxfId="8" operator="greaterThan" stopIfTrue="1">
      <formula>$D$47*0.1</formula>
    </cfRule>
  </conditionalFormatting>
  <conditionalFormatting sqref="C17">
    <cfRule type="cellIs" priority="6" dxfId="8" operator="greaterThan" stopIfTrue="1">
      <formula>$C$19*0.1</formula>
    </cfRule>
  </conditionalFormatting>
  <conditionalFormatting sqref="C45">
    <cfRule type="cellIs" priority="7" dxfId="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Elbing City</v>
      </c>
      <c r="C1" s="48"/>
      <c r="D1" s="48"/>
      <c r="E1" s="226">
        <f>inputPrYr!$C$5</f>
        <v>2012</v>
      </c>
    </row>
    <row r="2" spans="2:5" ht="15.75">
      <c r="B2" s="48"/>
      <c r="C2" s="48"/>
      <c r="D2" s="48"/>
      <c r="E2" s="172"/>
    </row>
    <row r="3" spans="2:5" ht="15.75">
      <c r="B3" s="256" t="s">
        <v>111</v>
      </c>
      <c r="C3" s="306"/>
      <c r="D3" s="306"/>
      <c r="E3" s="307"/>
    </row>
    <row r="4" spans="2:5" ht="15.75">
      <c r="B4" s="53" t="s">
        <v>881</v>
      </c>
      <c r="C4" s="620" t="s">
        <v>903</v>
      </c>
      <c r="D4" s="621" t="s">
        <v>192</v>
      </c>
      <c r="E4" s="622" t="s">
        <v>193</v>
      </c>
    </row>
    <row r="5" spans="2:5" ht="15.75">
      <c r="B5" s="571">
        <f>(inputPrYr!B53)</f>
        <v>0</v>
      </c>
      <c r="C5" s="232">
        <f>E1-2</f>
        <v>2010</v>
      </c>
      <c r="D5" s="232">
        <f>E1-1</f>
        <v>2011</v>
      </c>
      <c r="E5" s="215">
        <f>inputPrYr!$C$5</f>
        <v>2012</v>
      </c>
    </row>
    <row r="6" spans="2:5" ht="15.75">
      <c r="B6" s="153" t="s">
        <v>165</v>
      </c>
      <c r="C6" s="264"/>
      <c r="D6" s="262">
        <f>C48</f>
        <v>0</v>
      </c>
      <c r="E6" s="235">
        <f>D48</f>
        <v>0</v>
      </c>
    </row>
    <row r="7" spans="2:5" ht="15.75">
      <c r="B7" s="293" t="s">
        <v>167</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889</v>
      </c>
      <c r="C16" s="264"/>
      <c r="D16" s="264"/>
      <c r="E16" s="267"/>
    </row>
    <row r="17" spans="2:5" ht="15.75">
      <c r="B17" s="162" t="s">
        <v>789</v>
      </c>
      <c r="C17" s="264"/>
      <c r="D17" s="264"/>
      <c r="E17" s="267"/>
    </row>
    <row r="18" spans="2:5" ht="15.75">
      <c r="B18" s="259" t="s">
        <v>360</v>
      </c>
      <c r="C18" s="269">
        <f>IF(C19*0.1&lt;C17,"Exceed 10% Rule","")</f>
      </c>
      <c r="D18" s="269">
        <f>IF(D19*0.1&lt;D17,"Exceed 10% Rule","")</f>
      </c>
      <c r="E18" s="309">
        <f>IF(E19*0.1&lt;E17,"Exceed 10% Rule","")</f>
      </c>
    </row>
    <row r="19" spans="2:5" ht="15.75">
      <c r="B19" s="271" t="s">
        <v>890</v>
      </c>
      <c r="C19" s="273">
        <f>SUM(C8:C17)</f>
        <v>0</v>
      </c>
      <c r="D19" s="273">
        <f>SUM(D8:D17)</f>
        <v>0</v>
      </c>
      <c r="E19" s="274">
        <f>SUM(E8:E17)</f>
        <v>0</v>
      </c>
    </row>
    <row r="20" spans="2:5" ht="15.75">
      <c r="B20" s="271" t="s">
        <v>891</v>
      </c>
      <c r="C20" s="273">
        <f>C6+C19</f>
        <v>0</v>
      </c>
      <c r="D20" s="273">
        <f>D6+D19</f>
        <v>0</v>
      </c>
      <c r="E20" s="274">
        <f>E6+E19</f>
        <v>0</v>
      </c>
    </row>
    <row r="21" spans="2:5" ht="15.75">
      <c r="B21" s="153" t="s">
        <v>893</v>
      </c>
      <c r="C21" s="162"/>
      <c r="D21" s="162"/>
      <c r="E21" s="88"/>
    </row>
    <row r="22" spans="2:5" ht="15.75">
      <c r="B22" s="280" t="s">
        <v>221</v>
      </c>
      <c r="C22" s="264"/>
      <c r="D22" s="264"/>
      <c r="E22" s="267"/>
    </row>
    <row r="23" spans="2:5" ht="15.75">
      <c r="B23" s="280" t="s">
        <v>798</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789</v>
      </c>
      <c r="C45" s="264"/>
      <c r="D45" s="264"/>
      <c r="E45" s="267"/>
    </row>
    <row r="46" spans="2:5" ht="15.75">
      <c r="B46" s="281" t="s">
        <v>361</v>
      </c>
      <c r="C46" s="269">
        <f>IF(C47*0.1&lt;C45,"Exceed 10% Rule","")</f>
      </c>
      <c r="D46" s="269">
        <f>IF(D47*0.1&lt;D45,"Exceed 10% Rule","")</f>
      </c>
      <c r="E46" s="309">
        <f>IF(E47*0.1&lt;E45,"Exceed 10% Rule","")</f>
      </c>
    </row>
    <row r="47" spans="2:5" ht="15.75">
      <c r="B47" s="271" t="s">
        <v>897</v>
      </c>
      <c r="C47" s="273">
        <f>SUM(C22:C45)</f>
        <v>0</v>
      </c>
      <c r="D47" s="273">
        <f>SUM(D22:D45)</f>
        <v>0</v>
      </c>
      <c r="E47" s="274">
        <f>SUM(E22:E45)</f>
        <v>0</v>
      </c>
    </row>
    <row r="48" spans="2:5" ht="15.75">
      <c r="B48" s="153" t="s">
        <v>166</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900</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Elbing City</v>
      </c>
      <c r="C1" s="48"/>
      <c r="D1" s="48"/>
      <c r="E1" s="226">
        <f>inputPrYr!$C$5</f>
        <v>2012</v>
      </c>
    </row>
    <row r="2" spans="2:5" ht="15.75">
      <c r="B2" s="48"/>
      <c r="C2" s="48"/>
      <c r="D2" s="48"/>
      <c r="E2" s="172"/>
    </row>
    <row r="3" spans="2:5" ht="15.75">
      <c r="B3" s="256" t="s">
        <v>111</v>
      </c>
      <c r="C3" s="306"/>
      <c r="D3" s="306"/>
      <c r="E3" s="307"/>
    </row>
    <row r="4" spans="2:5" ht="15.75">
      <c r="B4" s="53" t="s">
        <v>881</v>
      </c>
      <c r="C4" s="620" t="s">
        <v>903</v>
      </c>
      <c r="D4" s="621" t="s">
        <v>192</v>
      </c>
      <c r="E4" s="622" t="s">
        <v>193</v>
      </c>
    </row>
    <row r="5" spans="2:5" ht="15.75">
      <c r="B5" s="571">
        <f>(inputPrYr!B54)</f>
        <v>0</v>
      </c>
      <c r="C5" s="232">
        <f>E1-2</f>
        <v>2010</v>
      </c>
      <c r="D5" s="232">
        <f>E1-1</f>
        <v>2011</v>
      </c>
      <c r="E5" s="215">
        <f>inputPrYr!$C$5</f>
        <v>2012</v>
      </c>
    </row>
    <row r="6" spans="2:5" ht="15.75">
      <c r="B6" s="153" t="s">
        <v>165</v>
      </c>
      <c r="C6" s="264"/>
      <c r="D6" s="262">
        <f>C48</f>
        <v>0</v>
      </c>
      <c r="E6" s="235">
        <f>D48</f>
        <v>0</v>
      </c>
    </row>
    <row r="7" spans="2:5" ht="15.75">
      <c r="B7" s="293" t="s">
        <v>167</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889</v>
      </c>
      <c r="C16" s="264"/>
      <c r="D16" s="264"/>
      <c r="E16" s="267"/>
    </row>
    <row r="17" spans="2:5" ht="15.75">
      <c r="B17" s="162" t="s">
        <v>789</v>
      </c>
      <c r="C17" s="264"/>
      <c r="D17" s="264"/>
      <c r="E17" s="267"/>
    </row>
    <row r="18" spans="2:5" ht="15.75">
      <c r="B18" s="259" t="s">
        <v>360</v>
      </c>
      <c r="C18" s="269">
        <f>IF(C19*0.1&lt;C17,"Exceed 10% Rule","")</f>
      </c>
      <c r="D18" s="269">
        <f>IF(D19*0.1&lt;D17,"Exceed 10% Rule","")</f>
      </c>
      <c r="E18" s="309">
        <f>IF(E19*0.1&lt;E17,"Exceed 10% Rule","")</f>
      </c>
    </row>
    <row r="19" spans="2:5" ht="15.75">
      <c r="B19" s="271" t="s">
        <v>890</v>
      </c>
      <c r="C19" s="273">
        <f>SUM(C8:C17)</f>
        <v>0</v>
      </c>
      <c r="D19" s="273">
        <f>SUM(D8:D17)</f>
        <v>0</v>
      </c>
      <c r="E19" s="274">
        <f>SUM(E8:E17)</f>
        <v>0</v>
      </c>
    </row>
    <row r="20" spans="2:5" ht="15.75">
      <c r="B20" s="271" t="s">
        <v>891</v>
      </c>
      <c r="C20" s="273">
        <f>C6+C19</f>
        <v>0</v>
      </c>
      <c r="D20" s="273">
        <f>D6+D19</f>
        <v>0</v>
      </c>
      <c r="E20" s="274">
        <f>E6+E19</f>
        <v>0</v>
      </c>
    </row>
    <row r="21" spans="2:5" ht="15.75">
      <c r="B21" s="153" t="s">
        <v>893</v>
      </c>
      <c r="C21" s="162"/>
      <c r="D21" s="162"/>
      <c r="E21" s="88"/>
    </row>
    <row r="22" spans="2:5" ht="15.75">
      <c r="B22" s="280" t="s">
        <v>221</v>
      </c>
      <c r="C22" s="264"/>
      <c r="D22" s="264"/>
      <c r="E22" s="267"/>
    </row>
    <row r="23" spans="2:5" ht="15.75">
      <c r="B23" s="280" t="s">
        <v>799</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789</v>
      </c>
      <c r="C45" s="264"/>
      <c r="D45" s="264"/>
      <c r="E45" s="267"/>
    </row>
    <row r="46" spans="2:5" ht="15.75">
      <c r="B46" s="281" t="s">
        <v>361</v>
      </c>
      <c r="C46" s="269">
        <f>IF(C47*0.1&lt;C45,"Exceed 10% Rule","")</f>
      </c>
      <c r="D46" s="269">
        <f>IF(D47*0.1&lt;D45,"Exceed 10% Rule","")</f>
      </c>
      <c r="E46" s="309">
        <f>IF(E47*0.1&lt;E45,"Exceed 10% Rule","")</f>
      </c>
    </row>
    <row r="47" spans="2:5" ht="15.75">
      <c r="B47" s="271" t="s">
        <v>897</v>
      </c>
      <c r="C47" s="273">
        <f>SUM(C22:C45)</f>
        <v>0</v>
      </c>
      <c r="D47" s="273">
        <f>SUM(D22:D45)</f>
        <v>0</v>
      </c>
      <c r="E47" s="274">
        <f>SUM(E22:E45)</f>
        <v>0</v>
      </c>
    </row>
    <row r="48" spans="2:5" ht="15.75">
      <c r="B48" s="153" t="s">
        <v>166</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900</v>
      </c>
      <c r="C53" s="289"/>
      <c r="D53" s="69"/>
      <c r="E53" s="69"/>
    </row>
  </sheetData>
  <sheetProtection sheet="1"/>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3" sqref="J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Elbing City</v>
      </c>
      <c r="B1" s="310"/>
      <c r="C1" s="177"/>
      <c r="D1" s="177"/>
      <c r="E1" s="177"/>
      <c r="F1" s="179" t="s">
        <v>194</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246</v>
      </c>
      <c r="B3" s="177"/>
      <c r="C3" s="177"/>
      <c r="D3" s="177"/>
      <c r="E3" s="177"/>
      <c r="F3" s="312"/>
      <c r="G3" s="177"/>
      <c r="H3" s="177"/>
      <c r="I3" s="177"/>
      <c r="J3" s="177"/>
      <c r="K3" s="177"/>
    </row>
    <row r="4" spans="1:11" ht="15.75">
      <c r="A4" s="177" t="s">
        <v>195</v>
      </c>
      <c r="B4" s="177"/>
      <c r="C4" s="177" t="s">
        <v>196</v>
      </c>
      <c r="D4" s="177"/>
      <c r="E4" s="177" t="s">
        <v>197</v>
      </c>
      <c r="F4" s="310"/>
      <c r="G4" s="177" t="s">
        <v>198</v>
      </c>
      <c r="H4" s="177"/>
      <c r="I4" s="177" t="s">
        <v>199</v>
      </c>
      <c r="J4" s="177"/>
      <c r="K4" s="177"/>
    </row>
    <row r="5" spans="1:11" ht="15.75">
      <c r="A5" s="715" t="str">
        <f>IF(inputPrYr!B57&gt;" ",(inputPrYr!B57)," ")</f>
        <v> </v>
      </c>
      <c r="B5" s="716"/>
      <c r="C5" s="715" t="str">
        <f>IF(inputPrYr!B58&gt;" ",(inputPrYr!B58)," ")</f>
        <v> </v>
      </c>
      <c r="D5" s="716"/>
      <c r="E5" s="715" t="str">
        <f>IF(inputPrYr!B59&gt;" ",(inputPrYr!B59)," ")</f>
        <v> </v>
      </c>
      <c r="F5" s="716"/>
      <c r="G5" s="715" t="str">
        <f>IF(inputPrYr!B60&gt;" ",(inputPrYr!B60)," ")</f>
        <v> </v>
      </c>
      <c r="H5" s="716"/>
      <c r="I5" s="715" t="str">
        <f>IF(inputPrYr!B61&gt;" ",(inputPrYr!B61)," ")</f>
        <v> </v>
      </c>
      <c r="J5" s="716"/>
      <c r="K5" s="127"/>
    </row>
    <row r="6" spans="1:11" ht="15.75">
      <c r="A6" s="314" t="s">
        <v>200</v>
      </c>
      <c r="B6" s="315"/>
      <c r="C6" s="316" t="s">
        <v>200</v>
      </c>
      <c r="D6" s="317"/>
      <c r="E6" s="316" t="s">
        <v>200</v>
      </c>
      <c r="F6" s="313"/>
      <c r="G6" s="316" t="s">
        <v>200</v>
      </c>
      <c r="H6" s="318"/>
      <c r="I6" s="316" t="s">
        <v>200</v>
      </c>
      <c r="J6" s="177"/>
      <c r="K6" s="319" t="s">
        <v>853</v>
      </c>
    </row>
    <row r="7" spans="1:11" ht="15.75">
      <c r="A7" s="320" t="s">
        <v>796</v>
      </c>
      <c r="B7" s="321"/>
      <c r="C7" s="322" t="s">
        <v>796</v>
      </c>
      <c r="D7" s="321"/>
      <c r="E7" s="322" t="s">
        <v>796</v>
      </c>
      <c r="F7" s="321"/>
      <c r="G7" s="322" t="s">
        <v>796</v>
      </c>
      <c r="H7" s="321"/>
      <c r="I7" s="322" t="s">
        <v>796</v>
      </c>
      <c r="J7" s="321"/>
      <c r="K7" s="323">
        <f>SUM(B7+D7+F7+H7+J7)</f>
        <v>0</v>
      </c>
    </row>
    <row r="8" spans="1:11" ht="15.75">
      <c r="A8" s="324" t="s">
        <v>167</v>
      </c>
      <c r="B8" s="325"/>
      <c r="C8" s="324" t="s">
        <v>167</v>
      </c>
      <c r="D8" s="326"/>
      <c r="E8" s="324" t="s">
        <v>167</v>
      </c>
      <c r="F8" s="310"/>
      <c r="G8" s="324" t="s">
        <v>167</v>
      </c>
      <c r="H8" s="177"/>
      <c r="I8" s="324" t="s">
        <v>167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890</v>
      </c>
      <c r="B17" s="323">
        <f>SUM(B9:B16)</f>
        <v>0</v>
      </c>
      <c r="C17" s="324" t="s">
        <v>890</v>
      </c>
      <c r="D17" s="323">
        <f>SUM(D9:D16)</f>
        <v>0</v>
      </c>
      <c r="E17" s="324" t="s">
        <v>890</v>
      </c>
      <c r="F17" s="393">
        <f>SUM(F9:F16)</f>
        <v>0</v>
      </c>
      <c r="G17" s="324" t="s">
        <v>890</v>
      </c>
      <c r="H17" s="323">
        <f>SUM(H9:H16)</f>
        <v>0</v>
      </c>
      <c r="I17" s="324" t="s">
        <v>890</v>
      </c>
      <c r="J17" s="323">
        <f>SUM(J9:J16)</f>
        <v>0</v>
      </c>
      <c r="K17" s="323">
        <f>SUM(B17+D17+F17+H17+J17)</f>
        <v>0</v>
      </c>
    </row>
    <row r="18" spans="1:11" ht="15.75">
      <c r="A18" s="324" t="s">
        <v>891</v>
      </c>
      <c r="B18" s="323">
        <f>SUM(B7+B17)</f>
        <v>0</v>
      </c>
      <c r="C18" s="324" t="s">
        <v>891</v>
      </c>
      <c r="D18" s="323">
        <f>SUM(D7+D17)</f>
        <v>0</v>
      </c>
      <c r="E18" s="324" t="s">
        <v>891</v>
      </c>
      <c r="F18" s="323">
        <f>SUM(F7+F17)</f>
        <v>0</v>
      </c>
      <c r="G18" s="324" t="s">
        <v>891</v>
      </c>
      <c r="H18" s="323">
        <f>SUM(H7+H17)</f>
        <v>0</v>
      </c>
      <c r="I18" s="324" t="s">
        <v>891</v>
      </c>
      <c r="J18" s="323">
        <f>SUM(J7+J17)</f>
        <v>0</v>
      </c>
      <c r="K18" s="323">
        <f>SUM(B18+D18+F18+H18+J18)</f>
        <v>0</v>
      </c>
    </row>
    <row r="19" spans="1:11" ht="15.75">
      <c r="A19" s="324" t="s">
        <v>893</v>
      </c>
      <c r="B19" s="325"/>
      <c r="C19" s="324" t="s">
        <v>893</v>
      </c>
      <c r="D19" s="326"/>
      <c r="E19" s="324" t="s">
        <v>893</v>
      </c>
      <c r="F19" s="310"/>
      <c r="G19" s="324" t="s">
        <v>893</v>
      </c>
      <c r="H19" s="177"/>
      <c r="I19" s="324" t="s">
        <v>893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897</v>
      </c>
      <c r="B28" s="323">
        <f>SUM(B20:B27)</f>
        <v>0</v>
      </c>
      <c r="C28" s="324" t="s">
        <v>897</v>
      </c>
      <c r="D28" s="323">
        <f>SUM(D20:D27)</f>
        <v>0</v>
      </c>
      <c r="E28" s="324" t="s">
        <v>897</v>
      </c>
      <c r="F28" s="393">
        <f>SUM(F20:F27)</f>
        <v>0</v>
      </c>
      <c r="G28" s="324" t="s">
        <v>897</v>
      </c>
      <c r="H28" s="393">
        <f>SUM(H20:H27)</f>
        <v>0</v>
      </c>
      <c r="I28" s="324" t="s">
        <v>897</v>
      </c>
      <c r="J28" s="323">
        <f>SUM(J20:J27)</f>
        <v>0</v>
      </c>
      <c r="K28" s="323">
        <f>SUM(B28+D28+F28+H28+J28)</f>
        <v>0</v>
      </c>
    </row>
    <row r="29" spans="1:12" ht="15.75">
      <c r="A29" s="324" t="s">
        <v>201</v>
      </c>
      <c r="B29" s="323">
        <f>SUM(B18-B28)</f>
        <v>0</v>
      </c>
      <c r="C29" s="324" t="s">
        <v>201</v>
      </c>
      <c r="D29" s="323">
        <f>SUM(D18-D28)</f>
        <v>0</v>
      </c>
      <c r="E29" s="324" t="s">
        <v>201</v>
      </c>
      <c r="F29" s="323">
        <f>SUM(F18-F28)</f>
        <v>0</v>
      </c>
      <c r="G29" s="324" t="s">
        <v>201</v>
      </c>
      <c r="H29" s="323">
        <f>SUM(H18-H28)</f>
        <v>0</v>
      </c>
      <c r="I29" s="324" t="s">
        <v>201</v>
      </c>
      <c r="J29" s="323">
        <f>SUM(J18-J28)</f>
        <v>0</v>
      </c>
      <c r="K29" s="333">
        <f>SUM(B29+D29+F29+H29+J29)</f>
        <v>0</v>
      </c>
      <c r="L29" s="33" t="s">
        <v>283</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283</v>
      </c>
    </row>
    <row r="31" spans="1:11" ht="15.75">
      <c r="A31" s="177"/>
      <c r="B31" s="182"/>
      <c r="C31" s="177"/>
      <c r="D31" s="310"/>
      <c r="E31" s="177"/>
      <c r="F31" s="177"/>
      <c r="G31" s="44" t="s">
        <v>285</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900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Elbing City</v>
      </c>
      <c r="B1" s="310"/>
      <c r="C1" s="177"/>
      <c r="D1" s="177"/>
      <c r="E1" s="177"/>
      <c r="F1" s="179" t="s">
        <v>202</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245</v>
      </c>
      <c r="B3" s="177"/>
      <c r="C3" s="177"/>
      <c r="D3" s="177"/>
      <c r="E3" s="177"/>
      <c r="F3" s="310"/>
      <c r="G3" s="177"/>
      <c r="H3" s="177"/>
      <c r="I3" s="177"/>
      <c r="J3" s="177"/>
      <c r="K3" s="177"/>
    </row>
    <row r="4" spans="1:11" ht="15.75">
      <c r="A4" s="177" t="s">
        <v>195</v>
      </c>
      <c r="B4" s="177"/>
      <c r="C4" s="177" t="s">
        <v>196</v>
      </c>
      <c r="D4" s="177"/>
      <c r="E4" s="177" t="s">
        <v>197</v>
      </c>
      <c r="F4" s="310"/>
      <c r="G4" s="177" t="s">
        <v>198</v>
      </c>
      <c r="H4" s="177"/>
      <c r="I4" s="177" t="s">
        <v>199</v>
      </c>
      <c r="J4" s="177"/>
      <c r="K4" s="177"/>
    </row>
    <row r="5" spans="1:11" ht="15.75">
      <c r="A5" s="715" t="str">
        <f>IF(inputPrYr!B63&gt;" ",(inputPrYr!B63)," ")</f>
        <v> </v>
      </c>
      <c r="B5" s="716"/>
      <c r="C5" s="715" t="str">
        <f>IF(inputPrYr!B64&gt;" ",(inputPrYr!B64)," ")</f>
        <v> </v>
      </c>
      <c r="D5" s="716"/>
      <c r="E5" s="715" t="str">
        <f>IF(inputPrYr!B65&gt;" ",(inputPrYr!B65)," ")</f>
        <v> </v>
      </c>
      <c r="F5" s="716"/>
      <c r="G5" s="715" t="str">
        <f>IF(inputPrYr!B66&gt;" ",(inputPrYr!B66)," ")</f>
        <v> </v>
      </c>
      <c r="H5" s="716"/>
      <c r="I5" s="715" t="str">
        <f>IF(inputPrYr!B67&gt;" ",(inputPrYr!B67)," ")</f>
        <v> </v>
      </c>
      <c r="J5" s="716"/>
      <c r="K5" s="127"/>
    </row>
    <row r="6" spans="1:11" ht="15.75">
      <c r="A6" s="314" t="s">
        <v>200</v>
      </c>
      <c r="B6" s="315"/>
      <c r="C6" s="316" t="s">
        <v>200</v>
      </c>
      <c r="D6" s="317"/>
      <c r="E6" s="316" t="s">
        <v>200</v>
      </c>
      <c r="F6" s="313"/>
      <c r="G6" s="316" t="s">
        <v>200</v>
      </c>
      <c r="H6" s="318"/>
      <c r="I6" s="316" t="s">
        <v>200</v>
      </c>
      <c r="J6" s="177"/>
      <c r="K6" s="319" t="s">
        <v>853</v>
      </c>
    </row>
    <row r="7" spans="1:11" ht="15.75">
      <c r="A7" s="320" t="s">
        <v>796</v>
      </c>
      <c r="B7" s="321"/>
      <c r="C7" s="322" t="s">
        <v>796</v>
      </c>
      <c r="D7" s="321"/>
      <c r="E7" s="322" t="s">
        <v>796</v>
      </c>
      <c r="F7" s="321"/>
      <c r="G7" s="322" t="s">
        <v>796</v>
      </c>
      <c r="H7" s="321"/>
      <c r="I7" s="322" t="s">
        <v>796</v>
      </c>
      <c r="J7" s="321"/>
      <c r="K7" s="323">
        <f>SUM(B7+D7+F7+H7+J7)</f>
        <v>0</v>
      </c>
    </row>
    <row r="8" spans="1:11" ht="15.75">
      <c r="A8" s="324" t="s">
        <v>167</v>
      </c>
      <c r="B8" s="325"/>
      <c r="C8" s="324" t="s">
        <v>167</v>
      </c>
      <c r="D8" s="326"/>
      <c r="E8" s="324" t="s">
        <v>167</v>
      </c>
      <c r="F8" s="310"/>
      <c r="G8" s="324" t="s">
        <v>167</v>
      </c>
      <c r="H8" s="177"/>
      <c r="I8" s="324" t="s">
        <v>167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890</v>
      </c>
      <c r="B17" s="323">
        <f>SUM(B9:B16)</f>
        <v>0</v>
      </c>
      <c r="C17" s="324" t="s">
        <v>890</v>
      </c>
      <c r="D17" s="323">
        <f>SUM(D9:D16)</f>
        <v>0</v>
      </c>
      <c r="E17" s="324" t="s">
        <v>890</v>
      </c>
      <c r="F17" s="393">
        <f>SUM(F9:F16)</f>
        <v>0</v>
      </c>
      <c r="G17" s="324" t="s">
        <v>890</v>
      </c>
      <c r="H17" s="323">
        <f>SUM(H9:H16)</f>
        <v>0</v>
      </c>
      <c r="I17" s="324" t="s">
        <v>890</v>
      </c>
      <c r="J17" s="323">
        <f>SUM(J9:J16)</f>
        <v>0</v>
      </c>
      <c r="K17" s="323">
        <f>SUM(B17+D17+F17+H17+J17)</f>
        <v>0</v>
      </c>
    </row>
    <row r="18" spans="1:11" ht="15.75">
      <c r="A18" s="324" t="s">
        <v>891</v>
      </c>
      <c r="B18" s="323">
        <f>SUM(B7+B17)</f>
        <v>0</v>
      </c>
      <c r="C18" s="324" t="s">
        <v>891</v>
      </c>
      <c r="D18" s="323">
        <f>SUM(D7+D17)</f>
        <v>0</v>
      </c>
      <c r="E18" s="324" t="s">
        <v>891</v>
      </c>
      <c r="F18" s="323">
        <f>SUM(F7+F17)</f>
        <v>0</v>
      </c>
      <c r="G18" s="324" t="s">
        <v>891</v>
      </c>
      <c r="H18" s="323">
        <f>SUM(H7+H17)</f>
        <v>0</v>
      </c>
      <c r="I18" s="324" t="s">
        <v>891</v>
      </c>
      <c r="J18" s="323">
        <f>SUM(J7+J17)</f>
        <v>0</v>
      </c>
      <c r="K18" s="323">
        <f>SUM(B18+D18+F18+H18+J18)</f>
        <v>0</v>
      </c>
    </row>
    <row r="19" spans="1:11" ht="15.75">
      <c r="A19" s="324" t="s">
        <v>893</v>
      </c>
      <c r="B19" s="325"/>
      <c r="C19" s="324" t="s">
        <v>893</v>
      </c>
      <c r="D19" s="326"/>
      <c r="E19" s="324" t="s">
        <v>893</v>
      </c>
      <c r="F19" s="310"/>
      <c r="G19" s="324" t="s">
        <v>893</v>
      </c>
      <c r="H19" s="177"/>
      <c r="I19" s="324" t="s">
        <v>893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897</v>
      </c>
      <c r="B28" s="323">
        <f>SUM(B20:B27)</f>
        <v>0</v>
      </c>
      <c r="C28" s="324" t="s">
        <v>897</v>
      </c>
      <c r="D28" s="323">
        <f>SUM(D20:D27)</f>
        <v>0</v>
      </c>
      <c r="E28" s="324" t="s">
        <v>897</v>
      </c>
      <c r="F28" s="393">
        <f>SUM(F20:F27)</f>
        <v>0</v>
      </c>
      <c r="G28" s="324" t="s">
        <v>897</v>
      </c>
      <c r="H28" s="393">
        <f>SUM(H20:H27)</f>
        <v>0</v>
      </c>
      <c r="I28" s="324" t="s">
        <v>897</v>
      </c>
      <c r="J28" s="323">
        <f>SUM(J20:J27)</f>
        <v>0</v>
      </c>
      <c r="K28" s="323">
        <f>SUM(B28+D28+F28+H28+J28)</f>
        <v>0</v>
      </c>
    </row>
    <row r="29" spans="1:12" ht="15.75">
      <c r="A29" s="324" t="s">
        <v>201</v>
      </c>
      <c r="B29" s="323">
        <f>SUM(B18-B28)</f>
        <v>0</v>
      </c>
      <c r="C29" s="324" t="s">
        <v>201</v>
      </c>
      <c r="D29" s="323">
        <f>SUM(D18-D28)</f>
        <v>0</v>
      </c>
      <c r="E29" s="324" t="s">
        <v>201</v>
      </c>
      <c r="F29" s="323">
        <f>SUM(F18-F28)</f>
        <v>0</v>
      </c>
      <c r="G29" s="324" t="s">
        <v>201</v>
      </c>
      <c r="H29" s="323">
        <f>SUM(H18-H28)</f>
        <v>0</v>
      </c>
      <c r="I29" s="324" t="s">
        <v>201</v>
      </c>
      <c r="J29" s="323">
        <f>SUM(J18-J28)</f>
        <v>0</v>
      </c>
      <c r="K29" s="333">
        <f>SUM(B29+D29+F29+H29+J29)</f>
        <v>0</v>
      </c>
      <c r="L29" s="33" t="s">
        <v>283</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283</v>
      </c>
    </row>
    <row r="31" spans="1:11" ht="15.75">
      <c r="A31" s="177"/>
      <c r="B31" s="182"/>
      <c r="C31" s="177"/>
      <c r="D31" s="310"/>
      <c r="E31" s="177"/>
      <c r="F31" s="177"/>
      <c r="G31" s="44" t="s">
        <v>285</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900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Elbing City</v>
      </c>
      <c r="B1" s="310"/>
      <c r="C1" s="177"/>
      <c r="D1" s="177"/>
      <c r="E1" s="177"/>
      <c r="F1" s="179" t="s">
        <v>203</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243</v>
      </c>
      <c r="B3" s="177"/>
      <c r="C3" s="177"/>
      <c r="D3" s="177"/>
      <c r="E3" s="177"/>
      <c r="F3" s="310"/>
      <c r="G3" s="177"/>
      <c r="H3" s="177"/>
      <c r="I3" s="177"/>
      <c r="J3" s="177"/>
      <c r="K3" s="177"/>
    </row>
    <row r="4" spans="1:11" ht="15.75">
      <c r="A4" s="177" t="s">
        <v>195</v>
      </c>
      <c r="B4" s="177"/>
      <c r="C4" s="177" t="s">
        <v>196</v>
      </c>
      <c r="D4" s="177"/>
      <c r="E4" s="177" t="s">
        <v>197</v>
      </c>
      <c r="F4" s="310"/>
      <c r="G4" s="177" t="s">
        <v>198</v>
      </c>
      <c r="H4" s="177"/>
      <c r="I4" s="177" t="s">
        <v>199</v>
      </c>
      <c r="J4" s="177"/>
      <c r="K4" s="177"/>
    </row>
    <row r="5" spans="1:11" ht="15.75">
      <c r="A5" s="715" t="str">
        <f>IF(inputPrYr!B69&gt;" ",(inputPrYr!B69)," ")</f>
        <v> </v>
      </c>
      <c r="B5" s="716"/>
      <c r="C5" s="715" t="str">
        <f>IF(inputPrYr!B70&gt;" ",(inputPrYr!B70)," ")</f>
        <v> </v>
      </c>
      <c r="D5" s="716"/>
      <c r="E5" s="715" t="str">
        <f>IF(inputPrYr!B71&gt;" ",(inputPrYr!B71)," ")</f>
        <v> </v>
      </c>
      <c r="F5" s="716"/>
      <c r="G5" s="715" t="str">
        <f>IF(inputPrYr!B72&gt;" ",(inputPrYr!B72)," ")</f>
        <v> </v>
      </c>
      <c r="H5" s="716"/>
      <c r="I5" s="715" t="str">
        <f>IF(inputPrYr!B73&gt;" ",(inputPrYr!B73)," ")</f>
        <v> </v>
      </c>
      <c r="J5" s="716"/>
      <c r="K5" s="127"/>
    </row>
    <row r="6" spans="1:11" ht="15.75">
      <c r="A6" s="314" t="s">
        <v>200</v>
      </c>
      <c r="B6" s="315"/>
      <c r="C6" s="316" t="s">
        <v>200</v>
      </c>
      <c r="D6" s="317"/>
      <c r="E6" s="316" t="s">
        <v>200</v>
      </c>
      <c r="F6" s="313"/>
      <c r="G6" s="316" t="s">
        <v>200</v>
      </c>
      <c r="H6" s="318"/>
      <c r="I6" s="316" t="s">
        <v>200</v>
      </c>
      <c r="J6" s="177"/>
      <c r="K6" s="319" t="s">
        <v>853</v>
      </c>
    </row>
    <row r="7" spans="1:11" ht="15.75">
      <c r="A7" s="320" t="s">
        <v>796</v>
      </c>
      <c r="B7" s="321"/>
      <c r="C7" s="322" t="s">
        <v>796</v>
      </c>
      <c r="D7" s="321"/>
      <c r="E7" s="322" t="s">
        <v>796</v>
      </c>
      <c r="F7" s="321"/>
      <c r="G7" s="322" t="s">
        <v>796</v>
      </c>
      <c r="H7" s="321"/>
      <c r="I7" s="322" t="s">
        <v>796</v>
      </c>
      <c r="J7" s="321"/>
      <c r="K7" s="323">
        <f>SUM(B7+D7+F7+H7+J7)</f>
        <v>0</v>
      </c>
    </row>
    <row r="8" spans="1:11" ht="15.75">
      <c r="A8" s="324" t="s">
        <v>167</v>
      </c>
      <c r="B8" s="325"/>
      <c r="C8" s="324" t="s">
        <v>167</v>
      </c>
      <c r="D8" s="326"/>
      <c r="E8" s="324" t="s">
        <v>167</v>
      </c>
      <c r="F8" s="310"/>
      <c r="G8" s="324" t="s">
        <v>167</v>
      </c>
      <c r="H8" s="177"/>
      <c r="I8" s="324" t="s">
        <v>167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890</v>
      </c>
      <c r="B17" s="323">
        <f>SUM(B9:B16)</f>
        <v>0</v>
      </c>
      <c r="C17" s="324" t="s">
        <v>890</v>
      </c>
      <c r="D17" s="323">
        <f>SUM(D9:D16)</f>
        <v>0</v>
      </c>
      <c r="E17" s="324" t="s">
        <v>890</v>
      </c>
      <c r="F17" s="393">
        <f>SUM(F9:F16)</f>
        <v>0</v>
      </c>
      <c r="G17" s="324" t="s">
        <v>890</v>
      </c>
      <c r="H17" s="323">
        <f>SUM(H9:H16)</f>
        <v>0</v>
      </c>
      <c r="I17" s="324" t="s">
        <v>890</v>
      </c>
      <c r="J17" s="323">
        <f>SUM(J9:J16)</f>
        <v>0</v>
      </c>
      <c r="K17" s="323">
        <f>SUM(B17+D17+F17+H17+J17)</f>
        <v>0</v>
      </c>
    </row>
    <row r="18" spans="1:11" ht="15.75">
      <c r="A18" s="324" t="s">
        <v>891</v>
      </c>
      <c r="B18" s="323">
        <f>SUM(B7+B17)</f>
        <v>0</v>
      </c>
      <c r="C18" s="324" t="s">
        <v>891</v>
      </c>
      <c r="D18" s="323">
        <f>SUM(D7+D17)</f>
        <v>0</v>
      </c>
      <c r="E18" s="324" t="s">
        <v>891</v>
      </c>
      <c r="F18" s="323">
        <f>SUM(F7+F17)</f>
        <v>0</v>
      </c>
      <c r="G18" s="324" t="s">
        <v>891</v>
      </c>
      <c r="H18" s="323">
        <f>SUM(H7+H17)</f>
        <v>0</v>
      </c>
      <c r="I18" s="324" t="s">
        <v>891</v>
      </c>
      <c r="J18" s="323">
        <f>SUM(J7+J17)</f>
        <v>0</v>
      </c>
      <c r="K18" s="323">
        <f>SUM(B18+D18+F18+H18+J18)</f>
        <v>0</v>
      </c>
    </row>
    <row r="19" spans="1:11" ht="15.75">
      <c r="A19" s="324" t="s">
        <v>893</v>
      </c>
      <c r="B19" s="325"/>
      <c r="C19" s="324" t="s">
        <v>893</v>
      </c>
      <c r="D19" s="326"/>
      <c r="E19" s="324" t="s">
        <v>893</v>
      </c>
      <c r="F19" s="310"/>
      <c r="G19" s="324" t="s">
        <v>893</v>
      </c>
      <c r="H19" s="177"/>
      <c r="I19" s="324" t="s">
        <v>893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897</v>
      </c>
      <c r="B28" s="323">
        <f>SUM(B20:B27)</f>
        <v>0</v>
      </c>
      <c r="C28" s="324" t="s">
        <v>897</v>
      </c>
      <c r="D28" s="323">
        <f>SUM(D20:D27)</f>
        <v>0</v>
      </c>
      <c r="E28" s="324" t="s">
        <v>897</v>
      </c>
      <c r="F28" s="393">
        <f>SUM(F20:F27)</f>
        <v>0</v>
      </c>
      <c r="G28" s="324" t="s">
        <v>897</v>
      </c>
      <c r="H28" s="393">
        <f>SUM(H20:H27)</f>
        <v>0</v>
      </c>
      <c r="I28" s="324" t="s">
        <v>897</v>
      </c>
      <c r="J28" s="323">
        <f>SUM(J20:J27)</f>
        <v>0</v>
      </c>
      <c r="K28" s="323">
        <f>SUM(B28+D28+F28+H28+J28)</f>
        <v>0</v>
      </c>
    </row>
    <row r="29" spans="1:12" ht="15.75">
      <c r="A29" s="324" t="s">
        <v>201</v>
      </c>
      <c r="B29" s="323">
        <f>SUM(B18-B28)</f>
        <v>0</v>
      </c>
      <c r="C29" s="324" t="s">
        <v>201</v>
      </c>
      <c r="D29" s="323">
        <f>SUM(D18-D28)</f>
        <v>0</v>
      </c>
      <c r="E29" s="324" t="s">
        <v>201</v>
      </c>
      <c r="F29" s="323">
        <f>SUM(F18-F28)</f>
        <v>0</v>
      </c>
      <c r="G29" s="324" t="s">
        <v>201</v>
      </c>
      <c r="H29" s="323">
        <f>SUM(H18-H28)</f>
        <v>0</v>
      </c>
      <c r="I29" s="324" t="s">
        <v>201</v>
      </c>
      <c r="J29" s="323">
        <f>SUM(J18-J28)</f>
        <v>0</v>
      </c>
      <c r="K29" s="333">
        <f>SUM(B29+D29+F29+H29+J29)</f>
        <v>0</v>
      </c>
      <c r="L29" s="33" t="s">
        <v>283</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283</v>
      </c>
    </row>
    <row r="31" spans="1:11" ht="15.75">
      <c r="A31" s="177"/>
      <c r="B31" s="182"/>
      <c r="C31" s="177"/>
      <c r="D31" s="310"/>
      <c r="E31" s="177"/>
      <c r="F31" s="177"/>
      <c r="G31" s="44" t="s">
        <v>285</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900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Elbing City</v>
      </c>
      <c r="B1" s="310"/>
      <c r="C1" s="177"/>
      <c r="D1" s="177"/>
      <c r="E1" s="177"/>
      <c r="F1" s="179" t="s">
        <v>204</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244</v>
      </c>
      <c r="B3" s="177"/>
      <c r="C3" s="177"/>
      <c r="D3" s="177"/>
      <c r="E3" s="177"/>
      <c r="F3" s="310"/>
      <c r="G3" s="177"/>
      <c r="H3" s="177"/>
      <c r="I3" s="177"/>
      <c r="J3" s="177"/>
      <c r="K3" s="177"/>
    </row>
    <row r="4" spans="1:11" ht="15.75">
      <c r="A4" s="177" t="s">
        <v>195</v>
      </c>
      <c r="B4" s="177"/>
      <c r="C4" s="177" t="s">
        <v>196</v>
      </c>
      <c r="D4" s="177"/>
      <c r="E4" s="177" t="s">
        <v>197</v>
      </c>
      <c r="F4" s="310"/>
      <c r="G4" s="177" t="s">
        <v>198</v>
      </c>
      <c r="H4" s="177"/>
      <c r="I4" s="177" t="s">
        <v>199</v>
      </c>
      <c r="J4" s="177"/>
      <c r="K4" s="177"/>
    </row>
    <row r="5" spans="1:11" ht="15.75">
      <c r="A5" s="715" t="str">
        <f>IF(inputPrYr!B75&gt;" ",(inputPrYr!B75)," ")</f>
        <v> </v>
      </c>
      <c r="B5" s="716"/>
      <c r="C5" s="715" t="str">
        <f>IF(inputPrYr!B76&gt;" ",(inputPrYr!B76)," ")</f>
        <v> </v>
      </c>
      <c r="D5" s="716"/>
      <c r="E5" s="715" t="str">
        <f>IF(inputPrYr!B77&gt;" ",(inputPrYr!B77)," ")</f>
        <v> </v>
      </c>
      <c r="F5" s="716"/>
      <c r="G5" s="715" t="str">
        <f>IF(inputPrYr!B78&gt;" ",(inputPrYr!B78)," ")</f>
        <v> </v>
      </c>
      <c r="H5" s="716"/>
      <c r="I5" s="715" t="str">
        <f>IF(inputPrYr!B79&gt;" ",(inputPrYr!B79)," ")</f>
        <v> </v>
      </c>
      <c r="J5" s="716"/>
      <c r="K5" s="127"/>
    </row>
    <row r="6" spans="1:11" ht="15.75">
      <c r="A6" s="314" t="s">
        <v>200</v>
      </c>
      <c r="B6" s="315"/>
      <c r="C6" s="316" t="s">
        <v>200</v>
      </c>
      <c r="D6" s="317"/>
      <c r="E6" s="316" t="s">
        <v>200</v>
      </c>
      <c r="F6" s="313"/>
      <c r="G6" s="316" t="s">
        <v>200</v>
      </c>
      <c r="H6" s="318"/>
      <c r="I6" s="316" t="s">
        <v>200</v>
      </c>
      <c r="J6" s="177"/>
      <c r="K6" s="319" t="s">
        <v>853</v>
      </c>
    </row>
    <row r="7" spans="1:11" ht="15.75">
      <c r="A7" s="320" t="s">
        <v>796</v>
      </c>
      <c r="B7" s="321"/>
      <c r="C7" s="322" t="s">
        <v>796</v>
      </c>
      <c r="D7" s="321"/>
      <c r="E7" s="322" t="s">
        <v>796</v>
      </c>
      <c r="F7" s="321"/>
      <c r="G7" s="322" t="s">
        <v>796</v>
      </c>
      <c r="H7" s="321"/>
      <c r="I7" s="322" t="s">
        <v>796</v>
      </c>
      <c r="J7" s="321"/>
      <c r="K7" s="323">
        <f>SUM(B7+D7+F7+H7+J7)</f>
        <v>0</v>
      </c>
    </row>
    <row r="8" spans="1:11" ht="15.75">
      <c r="A8" s="324" t="s">
        <v>167</v>
      </c>
      <c r="B8" s="325"/>
      <c r="C8" s="324" t="s">
        <v>167</v>
      </c>
      <c r="D8" s="326"/>
      <c r="E8" s="324" t="s">
        <v>167</v>
      </c>
      <c r="F8" s="310"/>
      <c r="G8" s="324" t="s">
        <v>167</v>
      </c>
      <c r="H8" s="177"/>
      <c r="I8" s="324" t="s">
        <v>167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890</v>
      </c>
      <c r="B17" s="323">
        <f>SUM(B9:B16)</f>
        <v>0</v>
      </c>
      <c r="C17" s="324" t="s">
        <v>890</v>
      </c>
      <c r="D17" s="323">
        <f>SUM(D9:D16)</f>
        <v>0</v>
      </c>
      <c r="E17" s="324" t="s">
        <v>890</v>
      </c>
      <c r="F17" s="393">
        <f>SUM(F9:F16)</f>
        <v>0</v>
      </c>
      <c r="G17" s="324" t="s">
        <v>890</v>
      </c>
      <c r="H17" s="323">
        <f>SUM(H9:H16)</f>
        <v>0</v>
      </c>
      <c r="I17" s="324" t="s">
        <v>890</v>
      </c>
      <c r="J17" s="323">
        <f>SUM(J9:J16)</f>
        <v>0</v>
      </c>
      <c r="K17" s="323">
        <f>SUM(B17+D17+F17+H17+J17)</f>
        <v>0</v>
      </c>
    </row>
    <row r="18" spans="1:11" ht="15.75">
      <c r="A18" s="324" t="s">
        <v>891</v>
      </c>
      <c r="B18" s="323">
        <f>SUM(B7+B17)</f>
        <v>0</v>
      </c>
      <c r="C18" s="324" t="s">
        <v>891</v>
      </c>
      <c r="D18" s="323">
        <f>SUM(D7+D17)</f>
        <v>0</v>
      </c>
      <c r="E18" s="324" t="s">
        <v>891</v>
      </c>
      <c r="F18" s="323">
        <f>SUM(F7+F17)</f>
        <v>0</v>
      </c>
      <c r="G18" s="324" t="s">
        <v>891</v>
      </c>
      <c r="H18" s="323">
        <f>SUM(H7+H17)</f>
        <v>0</v>
      </c>
      <c r="I18" s="324" t="s">
        <v>891</v>
      </c>
      <c r="J18" s="323">
        <f>SUM(J7+J17)</f>
        <v>0</v>
      </c>
      <c r="K18" s="323">
        <f>SUM(B18+D18+F18+H18+J18)</f>
        <v>0</v>
      </c>
    </row>
    <row r="19" spans="1:11" ht="15.75">
      <c r="A19" s="324" t="s">
        <v>893</v>
      </c>
      <c r="B19" s="325"/>
      <c r="C19" s="324" t="s">
        <v>893</v>
      </c>
      <c r="D19" s="326"/>
      <c r="E19" s="324" t="s">
        <v>893</v>
      </c>
      <c r="F19" s="310"/>
      <c r="G19" s="324" t="s">
        <v>893</v>
      </c>
      <c r="H19" s="177"/>
      <c r="I19" s="324" t="s">
        <v>893</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897</v>
      </c>
      <c r="B28" s="323">
        <f>SUM(B20:B27)</f>
        <v>0</v>
      </c>
      <c r="C28" s="324" t="s">
        <v>897</v>
      </c>
      <c r="D28" s="323">
        <f>SUM(D20:D27)</f>
        <v>0</v>
      </c>
      <c r="E28" s="324" t="s">
        <v>897</v>
      </c>
      <c r="F28" s="393">
        <f>SUM(F20:F27)</f>
        <v>0</v>
      </c>
      <c r="G28" s="324" t="s">
        <v>897</v>
      </c>
      <c r="H28" s="393">
        <f>SUM(H20:H27)</f>
        <v>0</v>
      </c>
      <c r="I28" s="324" t="s">
        <v>897</v>
      </c>
      <c r="J28" s="323">
        <f>SUM(J20:J27)</f>
        <v>0</v>
      </c>
      <c r="K28" s="323">
        <f>SUM(B28+D28+F28+H28+J28)</f>
        <v>0</v>
      </c>
    </row>
    <row r="29" spans="1:12" ht="15.75">
      <c r="A29" s="324" t="s">
        <v>201</v>
      </c>
      <c r="B29" s="323">
        <f>SUM(B18-B28)</f>
        <v>0</v>
      </c>
      <c r="C29" s="324" t="s">
        <v>201</v>
      </c>
      <c r="D29" s="323">
        <f>SUM(D18-D28)</f>
        <v>0</v>
      </c>
      <c r="E29" s="324" t="s">
        <v>201</v>
      </c>
      <c r="F29" s="323">
        <f>SUM(F18-F28)</f>
        <v>0</v>
      </c>
      <c r="G29" s="324" t="s">
        <v>201</v>
      </c>
      <c r="H29" s="323">
        <f>SUM(H18-H28)</f>
        <v>0</v>
      </c>
      <c r="I29" s="324" t="s">
        <v>201</v>
      </c>
      <c r="J29" s="323">
        <f>SUM(J18-J28)</f>
        <v>0</v>
      </c>
      <c r="K29" s="333">
        <f>SUM(B29+D29+F29+H29+J29)</f>
        <v>0</v>
      </c>
      <c r="L29" s="33" t="s">
        <v>283</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283</v>
      </c>
    </row>
    <row r="31" spans="1:11" ht="15.75">
      <c r="A31" s="177"/>
      <c r="B31" s="182"/>
      <c r="C31" s="177"/>
      <c r="D31" s="310"/>
      <c r="E31" s="177"/>
      <c r="F31" s="177"/>
      <c r="G31" s="44" t="s">
        <v>284</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900</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6" t="s">
        <v>307</v>
      </c>
    </row>
    <row r="2" ht="15.75">
      <c r="A2" s="1"/>
    </row>
    <row r="3" ht="57" customHeight="1">
      <c r="A3" s="527" t="s">
        <v>308</v>
      </c>
    </row>
    <row r="4" ht="15.75">
      <c r="A4" s="525"/>
    </row>
    <row r="5" ht="15.75">
      <c r="A5" s="1"/>
    </row>
    <row r="6" ht="44.25" customHeight="1">
      <c r="A6" s="527" t="s">
        <v>309</v>
      </c>
    </row>
    <row r="7" ht="15.75">
      <c r="A7" s="1"/>
    </row>
    <row r="8" ht="15.75">
      <c r="A8" s="525"/>
    </row>
    <row r="9" ht="46.5" customHeight="1">
      <c r="A9" s="527" t="s">
        <v>310</v>
      </c>
    </row>
    <row r="10" ht="15.75">
      <c r="A10" s="1"/>
    </row>
    <row r="11" ht="15.75">
      <c r="A11" s="525"/>
    </row>
    <row r="12" ht="60" customHeight="1">
      <c r="A12" s="527" t="s">
        <v>311</v>
      </c>
    </row>
    <row r="13" ht="15.75">
      <c r="A13" s="1"/>
    </row>
    <row r="14" ht="15.75">
      <c r="A14" s="1"/>
    </row>
    <row r="15" ht="61.5" customHeight="1">
      <c r="A15" s="527" t="s">
        <v>312</v>
      </c>
    </row>
    <row r="16" ht="15.75">
      <c r="A16" s="1"/>
    </row>
    <row r="17" ht="15.75">
      <c r="A17" s="1"/>
    </row>
    <row r="18" ht="59.25" customHeight="1">
      <c r="A18" s="527" t="s">
        <v>313</v>
      </c>
    </row>
    <row r="19" ht="15.75">
      <c r="A19" s="1"/>
    </row>
    <row r="20" ht="15.75">
      <c r="A20" s="1"/>
    </row>
    <row r="21" ht="61.5" customHeight="1">
      <c r="A21" s="527" t="s">
        <v>314</v>
      </c>
    </row>
    <row r="22" ht="15.75">
      <c r="A22" s="525"/>
    </row>
    <row r="23" ht="15.75">
      <c r="A23" s="525"/>
    </row>
    <row r="24" ht="63" customHeight="1">
      <c r="A24" s="527" t="s">
        <v>315</v>
      </c>
    </row>
    <row r="25" ht="15.75">
      <c r="A25" s="1"/>
    </row>
    <row r="26" ht="15.75">
      <c r="A26" s="1"/>
    </row>
    <row r="27" ht="52.5" customHeight="1">
      <c r="A27" s="538" t="s">
        <v>333</v>
      </c>
    </row>
    <row r="28" ht="15.75">
      <c r="A28" s="1"/>
    </row>
    <row r="29" ht="15.75">
      <c r="A29" s="1"/>
    </row>
    <row r="30" ht="44.25" customHeight="1">
      <c r="A30" s="527" t="s">
        <v>316</v>
      </c>
    </row>
    <row r="31" ht="15.75">
      <c r="A31" s="1"/>
    </row>
    <row r="32" ht="15.75">
      <c r="A32" s="1"/>
    </row>
    <row r="33" ht="42.75" customHeight="1">
      <c r="A33" s="527" t="s">
        <v>317</v>
      </c>
    </row>
    <row r="34" ht="15.75">
      <c r="A34" s="525"/>
    </row>
    <row r="35" ht="15.75">
      <c r="A35" s="525"/>
    </row>
    <row r="36" ht="38.25" customHeight="1">
      <c r="A36" s="527" t="s">
        <v>318</v>
      </c>
    </row>
    <row r="37" ht="15.75">
      <c r="A37" s="525"/>
    </row>
    <row r="38" ht="15.75">
      <c r="A38" s="1"/>
    </row>
    <row r="39" ht="75.75" customHeight="1">
      <c r="A39" s="527" t="s">
        <v>616</v>
      </c>
    </row>
    <row r="40" ht="15.75">
      <c r="A40" s="1"/>
    </row>
    <row r="41" ht="15.75">
      <c r="A41" s="1"/>
    </row>
    <row r="42" ht="57.75" customHeight="1">
      <c r="A42" s="527" t="s">
        <v>617</v>
      </c>
    </row>
    <row r="43" ht="15.75">
      <c r="A43" s="525"/>
    </row>
    <row r="44" ht="15.75">
      <c r="A44" s="1"/>
    </row>
    <row r="45" ht="57.75" customHeight="1">
      <c r="A45" s="527" t="s">
        <v>618</v>
      </c>
    </row>
    <row r="46" ht="15.75">
      <c r="A46" s="1"/>
    </row>
    <row r="47" ht="15.75">
      <c r="A47" s="1"/>
    </row>
    <row r="48" ht="41.25" customHeight="1">
      <c r="A48" s="527" t="s">
        <v>619</v>
      </c>
    </row>
    <row r="49" ht="15.75">
      <c r="A49" s="1"/>
    </row>
    <row r="50" ht="15.75">
      <c r="A50" s="1"/>
    </row>
    <row r="51" ht="75" customHeight="1">
      <c r="A51" s="527" t="s">
        <v>620</v>
      </c>
    </row>
    <row r="52" ht="15.75">
      <c r="A52" s="525"/>
    </row>
    <row r="53" ht="15.75">
      <c r="A53" s="525"/>
    </row>
    <row r="54" ht="57.75" customHeight="1">
      <c r="A54" s="527" t="s">
        <v>621</v>
      </c>
    </row>
    <row r="55" ht="15.75">
      <c r="A55" s="1"/>
    </row>
    <row r="56" ht="15.75">
      <c r="A56" s="1"/>
    </row>
    <row r="57" ht="44.25" customHeight="1">
      <c r="A57" s="527" t="s">
        <v>622</v>
      </c>
    </row>
    <row r="58" ht="15.75">
      <c r="A58" s="1"/>
    </row>
    <row r="59" ht="15.75">
      <c r="A59" s="1"/>
    </row>
    <row r="60" ht="60" customHeight="1">
      <c r="A60" s="527" t="s">
        <v>623</v>
      </c>
    </row>
    <row r="61" ht="15.75">
      <c r="A61" s="525"/>
    </row>
    <row r="62" ht="15.75">
      <c r="A62" s="525"/>
    </row>
    <row r="63" ht="57.75" customHeight="1">
      <c r="A63" s="527" t="s">
        <v>624</v>
      </c>
    </row>
    <row r="64" ht="15.75">
      <c r="A64" s="1"/>
    </row>
    <row r="65" ht="15.75">
      <c r="A65" s="1"/>
    </row>
    <row r="66" ht="60" customHeight="1">
      <c r="A66" s="527" t="s">
        <v>625</v>
      </c>
    </row>
  </sheetData>
  <sheetProtection sheet="1" objects="1" scenarios="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Elbing City</v>
      </c>
      <c r="B1" s="48"/>
      <c r="C1" s="48"/>
      <c r="D1" s="48"/>
      <c r="E1" s="48"/>
      <c r="F1" s="48">
        <f>inputPrYr!C5</f>
        <v>2012</v>
      </c>
    </row>
    <row r="2" spans="1:6" ht="15.75">
      <c r="A2" s="48"/>
      <c r="B2" s="48"/>
      <c r="C2" s="48"/>
      <c r="D2" s="48"/>
      <c r="E2" s="48"/>
      <c r="F2" s="48"/>
    </row>
    <row r="3" spans="1:6" ht="15.75">
      <c r="A3" s="48"/>
      <c r="B3" s="666" t="str">
        <f>CONCATENATE("",F1," Neighborhood Revitalization Rebate")</f>
        <v>2012 Neighborhood Revitalization Rebate</v>
      </c>
      <c r="C3" s="718"/>
      <c r="D3" s="718"/>
      <c r="E3" s="718"/>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f>inputPrYr!B20</f>
        <v>0</v>
      </c>
      <c r="C8" s="345"/>
      <c r="D8" s="346">
        <f t="shared" si="1"/>
      </c>
      <c r="E8" s="248">
        <f t="shared" si="0"/>
      </c>
      <c r="F8" s="99"/>
    </row>
    <row r="9" spans="1:6" ht="15.75">
      <c r="A9" s="48"/>
      <c r="B9" s="88">
        <f>inputPrYr!B21</f>
        <v>0</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876</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19" t="str">
        <f>CONCATENATE("",F1-1," July 1 Valuation:")</f>
        <v>2011 July 1 Valuation:</v>
      </c>
      <c r="B22" s="699"/>
      <c r="C22" s="719"/>
      <c r="D22" s="341">
        <f>inputOth!E7</f>
        <v>1202453</v>
      </c>
      <c r="E22" s="48"/>
      <c r="F22" s="99"/>
    </row>
    <row r="23" spans="1:6" ht="15.75">
      <c r="A23" s="48"/>
      <c r="B23" s="48"/>
      <c r="C23" s="48"/>
      <c r="D23" s="48"/>
      <c r="E23" s="48"/>
      <c r="F23" s="99"/>
    </row>
    <row r="24" spans="1:6" ht="15.75">
      <c r="A24" s="48"/>
      <c r="B24" s="719" t="s">
        <v>303</v>
      </c>
      <c r="C24" s="719"/>
      <c r="D24" s="350">
        <f>IF(D22&gt;0,(D22*0.001),"")</f>
        <v>1202.453</v>
      </c>
      <c r="E24" s="48"/>
      <c r="F24" s="99"/>
    </row>
    <row r="25" spans="1:6" ht="15.75">
      <c r="A25" s="48"/>
      <c r="B25" s="139"/>
      <c r="C25" s="139"/>
      <c r="D25" s="351"/>
      <c r="E25" s="48"/>
      <c r="F25" s="99"/>
    </row>
    <row r="26" spans="1:6" ht="15.75">
      <c r="A26" s="717" t="s">
        <v>304</v>
      </c>
      <c r="B26" s="689"/>
      <c r="C26" s="689"/>
      <c r="D26" s="352">
        <f>inputOth!E17</f>
        <v>0</v>
      </c>
      <c r="E26" s="69"/>
      <c r="F26" s="69"/>
    </row>
    <row r="27" spans="1:6" ht="15">
      <c r="A27" s="69"/>
      <c r="B27" s="69"/>
      <c r="C27" s="69"/>
      <c r="D27" s="353"/>
      <c r="E27" s="69"/>
      <c r="F27" s="69"/>
    </row>
    <row r="28" spans="1:6" ht="15.75">
      <c r="A28" s="69"/>
      <c r="B28" s="717" t="s">
        <v>305</v>
      </c>
      <c r="C28" s="699"/>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89"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89" t="s">
        <v>29</v>
      </c>
      <c r="B33" s="69"/>
      <c r="C33" s="69"/>
      <c r="D33" s="69"/>
      <c r="E33" s="69"/>
      <c r="F33" s="69"/>
    </row>
    <row r="34" spans="1:6" ht="15.75">
      <c r="A34" s="389"/>
      <c r="B34" s="69"/>
      <c r="C34" s="69"/>
      <c r="D34" s="69"/>
      <c r="E34" s="69"/>
      <c r="F34" s="69"/>
    </row>
    <row r="35" spans="1:6" ht="15.75">
      <c r="A35" s="389"/>
      <c r="B35" s="69"/>
      <c r="C35" s="69"/>
      <c r="D35" s="69"/>
      <c r="E35" s="69"/>
      <c r="F35" s="69"/>
    </row>
    <row r="36" spans="1:6" ht="15.75">
      <c r="A36" s="389"/>
      <c r="B36" s="69"/>
      <c r="C36" s="69"/>
      <c r="D36" s="69"/>
      <c r="E36" s="69"/>
      <c r="F36" s="69"/>
    </row>
    <row r="37" spans="1:6" ht="15.75">
      <c r="A37" s="389"/>
      <c r="B37" s="69"/>
      <c r="C37" s="69"/>
      <c r="D37" s="69"/>
      <c r="E37" s="69"/>
      <c r="F37" s="69"/>
    </row>
    <row r="38" spans="1:6" ht="15">
      <c r="A38" s="69"/>
      <c r="B38" s="69"/>
      <c r="C38" s="69"/>
      <c r="D38" s="69"/>
      <c r="E38" s="69"/>
      <c r="F38" s="69"/>
    </row>
    <row r="39" spans="1:6" ht="15.75">
      <c r="A39" s="69"/>
      <c r="B39" s="191" t="s">
        <v>900</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82" t="s">
        <v>665</v>
      </c>
      <c r="B2" s="683"/>
      <c r="C2" s="683"/>
      <c r="D2" s="683"/>
      <c r="E2" s="683"/>
      <c r="F2" s="683"/>
    </row>
    <row r="4" spans="1:2" ht="15.75">
      <c r="A4" s="364" t="s">
        <v>338</v>
      </c>
      <c r="B4" s="366" t="s">
        <v>181</v>
      </c>
    </row>
    <row r="5" spans="1:6" ht="15.75">
      <c r="A5" s="363"/>
      <c r="B5" s="363"/>
      <c r="C5" s="363"/>
      <c r="D5" s="365"/>
      <c r="E5" s="363"/>
      <c r="F5" s="363"/>
    </row>
    <row r="6" spans="1:6" ht="15.75">
      <c r="A6" s="364" t="s">
        <v>666</v>
      </c>
      <c r="B6" s="366" t="s">
        <v>449</v>
      </c>
      <c r="C6" s="367"/>
      <c r="D6" s="364" t="s">
        <v>359</v>
      </c>
      <c r="E6" s="363"/>
      <c r="F6" s="363"/>
    </row>
    <row r="7" spans="1:6" ht="15.75">
      <c r="A7" s="364"/>
      <c r="B7" s="368"/>
      <c r="C7" s="369"/>
      <c r="D7" s="364" t="s">
        <v>358</v>
      </c>
      <c r="E7" s="363"/>
      <c r="F7" s="363"/>
    </row>
    <row r="8" spans="1:6" ht="15.75">
      <c r="A8" s="364" t="s">
        <v>667</v>
      </c>
      <c r="B8" s="366" t="s">
        <v>450</v>
      </c>
      <c r="C8" s="370"/>
      <c r="D8" s="364"/>
      <c r="E8" s="363"/>
      <c r="F8" s="363"/>
    </row>
    <row r="9" spans="1:6" ht="15.75">
      <c r="A9" s="364"/>
      <c r="B9" s="364"/>
      <c r="C9" s="364"/>
      <c r="D9" s="364"/>
      <c r="E9" s="363"/>
      <c r="F9" s="363"/>
    </row>
    <row r="10" spans="1:6" ht="15.75">
      <c r="A10" s="364" t="s">
        <v>668</v>
      </c>
      <c r="B10" s="371" t="s">
        <v>451</v>
      </c>
      <c r="C10" s="371"/>
      <c r="D10" s="371"/>
      <c r="E10" s="372"/>
      <c r="F10" s="363"/>
    </row>
    <row r="11" spans="1:6" ht="15.75">
      <c r="A11" s="364"/>
      <c r="B11" s="364"/>
      <c r="C11" s="364"/>
      <c r="D11" s="364"/>
      <c r="E11" s="363"/>
      <c r="F11" s="363"/>
    </row>
    <row r="12" spans="1:6" ht="15.75">
      <c r="A12" s="364"/>
      <c r="B12" s="364"/>
      <c r="C12" s="364"/>
      <c r="D12" s="364"/>
      <c r="E12" s="363"/>
      <c r="F12" s="363"/>
    </row>
    <row r="13" spans="1:6" ht="15.75">
      <c r="A13" s="364" t="s">
        <v>669</v>
      </c>
      <c r="B13" s="371" t="s">
        <v>451</v>
      </c>
      <c r="C13" s="371"/>
      <c r="D13" s="371"/>
      <c r="E13" s="372"/>
      <c r="F13" s="363"/>
    </row>
    <row r="16" spans="1:6" ht="15.75">
      <c r="A16" s="684" t="s">
        <v>670</v>
      </c>
      <c r="B16" s="684"/>
      <c r="C16" s="364"/>
      <c r="D16" s="364"/>
      <c r="E16" s="364"/>
      <c r="F16" s="363"/>
    </row>
    <row r="17" spans="1:6" ht="15.75">
      <c r="A17" s="364"/>
      <c r="B17" s="364"/>
      <c r="C17" s="364"/>
      <c r="D17" s="364"/>
      <c r="E17" s="364"/>
      <c r="F17" s="363"/>
    </row>
    <row r="18" spans="1:6" ht="15.75">
      <c r="A18" s="364" t="s">
        <v>338</v>
      </c>
      <c r="B18" s="364" t="s">
        <v>339</v>
      </c>
      <c r="C18" s="364"/>
      <c r="D18" s="364"/>
      <c r="E18" s="364"/>
      <c r="F18" s="363"/>
    </row>
    <row r="19" spans="1:6" ht="15.75">
      <c r="A19" s="364"/>
      <c r="B19" s="364"/>
      <c r="C19" s="364"/>
      <c r="D19" s="364"/>
      <c r="E19" s="364"/>
      <c r="F19" s="363"/>
    </row>
    <row r="20" spans="1:5" ht="15.75">
      <c r="A20" s="364" t="s">
        <v>666</v>
      </c>
      <c r="B20" s="368" t="s">
        <v>671</v>
      </c>
      <c r="C20" s="364"/>
      <c r="D20" s="364"/>
      <c r="E20" s="364"/>
    </row>
    <row r="21" spans="1:5" ht="15.75">
      <c r="A21" s="364"/>
      <c r="B21" s="364"/>
      <c r="C21" s="364"/>
      <c r="D21" s="364"/>
      <c r="E21" s="364"/>
    </row>
    <row r="22" spans="1:5" ht="15.75">
      <c r="A22" s="364" t="s">
        <v>667</v>
      </c>
      <c r="B22" s="364" t="s">
        <v>672</v>
      </c>
      <c r="C22" s="364"/>
      <c r="D22" s="364"/>
      <c r="E22" s="364"/>
    </row>
    <row r="23" spans="1:5" ht="15.75">
      <c r="A23" s="364"/>
      <c r="B23" s="364"/>
      <c r="C23" s="364"/>
      <c r="D23" s="364"/>
      <c r="E23" s="364"/>
    </row>
    <row r="24" spans="1:5" ht="15.75">
      <c r="A24" s="364" t="s">
        <v>668</v>
      </c>
      <c r="B24" s="364" t="s">
        <v>673</v>
      </c>
      <c r="C24" s="364"/>
      <c r="D24" s="364"/>
      <c r="E24" s="364"/>
    </row>
    <row r="25" spans="1:5" ht="15.75">
      <c r="A25" s="364"/>
      <c r="B25" s="364"/>
      <c r="C25" s="364"/>
      <c r="D25" s="364"/>
      <c r="E25" s="364"/>
    </row>
    <row r="26" spans="1:5" ht="15.75">
      <c r="A26" s="364" t="s">
        <v>669</v>
      </c>
      <c r="B26" s="364" t="s">
        <v>673</v>
      </c>
      <c r="C26" s="364"/>
      <c r="D26" s="364"/>
      <c r="E26" s="364"/>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H19" sqref="H19"/>
    </sheetView>
  </sheetViews>
  <sheetFormatPr defaultColWidth="8.796875" defaultRowHeight="15"/>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23" t="s">
        <v>176</v>
      </c>
      <c r="B1" s="723"/>
      <c r="C1" s="723"/>
      <c r="D1" s="723"/>
      <c r="E1" s="723"/>
      <c r="F1" s="723"/>
      <c r="G1" s="723"/>
    </row>
    <row r="2" spans="1:7" ht="16.5" customHeight="1">
      <c r="A2" s="723"/>
      <c r="B2" s="723"/>
      <c r="C2" s="723"/>
      <c r="D2" s="723"/>
      <c r="E2" s="723"/>
      <c r="F2" s="723"/>
      <c r="G2" s="723"/>
    </row>
    <row r="3" spans="1:7" ht="16.5" customHeight="1">
      <c r="A3" s="724"/>
      <c r="B3" s="724"/>
      <c r="C3" s="724"/>
      <c r="D3" s="724"/>
      <c r="E3" s="724"/>
      <c r="F3" s="724"/>
      <c r="G3" s="724"/>
    </row>
    <row r="4" spans="1:7" ht="16.5" customHeight="1">
      <c r="A4" s="721" t="str">
        <f>CONCATENATE("AN ORDINANCE ATTESTING TO AN INCREASE IN TAX REVENUES FOR BUDGET YEAR ",inputPrYr!C5," FOR THE ",(inputPrYr!$D$2))</f>
        <v>AN ORDINANCE ATTESTING TO AN INCREASE IN TAX REVENUES FOR BUDGET YEAR 2012 FOR THE Elbing City</v>
      </c>
      <c r="B4" s="721"/>
      <c r="C4" s="721"/>
      <c r="D4" s="721"/>
      <c r="E4" s="721"/>
      <c r="F4" s="721"/>
      <c r="G4" s="721"/>
    </row>
    <row r="5" spans="1:7" ht="16.5" customHeight="1">
      <c r="A5" s="721"/>
      <c r="B5" s="721"/>
      <c r="C5" s="721"/>
      <c r="D5" s="721"/>
      <c r="E5" s="721"/>
      <c r="F5" s="721"/>
      <c r="G5" s="721"/>
    </row>
    <row r="6" spans="1:7" ht="16.5" customHeight="1">
      <c r="A6" s="723"/>
      <c r="B6" s="723"/>
      <c r="C6" s="723"/>
      <c r="D6" s="723"/>
      <c r="E6" s="723"/>
      <c r="F6" s="723"/>
      <c r="G6" s="723"/>
    </row>
    <row r="7" spans="1:14" ht="16.5" customHeight="1">
      <c r="A7" s="721" t="str">
        <f>CONCATENATE("WHEREAS, the ",(inputPrYr!$D$2)," must continue to provide services to protect the health, safety, and welfare of the citizens of this community; and")</f>
        <v>WHEREAS, the Elbing City must continue to provide services to protect the health, safety, and welfare of the citizens of this community; and</v>
      </c>
      <c r="B7" s="721"/>
      <c r="C7" s="721"/>
      <c r="D7" s="721"/>
      <c r="E7" s="721"/>
      <c r="F7" s="721"/>
      <c r="G7" s="721"/>
      <c r="H7" s="25"/>
      <c r="I7" s="25"/>
      <c r="J7" s="25"/>
      <c r="K7" s="25"/>
      <c r="L7" s="25"/>
      <c r="M7" s="25"/>
      <c r="N7" s="25"/>
    </row>
    <row r="8" spans="1:14" ht="16.5" customHeight="1">
      <c r="A8" s="721"/>
      <c r="B8" s="721"/>
      <c r="C8" s="721"/>
      <c r="D8" s="721"/>
      <c r="E8" s="721"/>
      <c r="F8" s="721"/>
      <c r="G8" s="721"/>
      <c r="H8" s="25"/>
      <c r="I8" s="25"/>
      <c r="J8" s="25"/>
      <c r="K8" s="25"/>
      <c r="L8" s="25"/>
      <c r="M8" s="25"/>
      <c r="N8" s="25"/>
    </row>
    <row r="9" spans="1:7" ht="16.5" customHeight="1">
      <c r="A9" s="26"/>
      <c r="B9" s="26"/>
      <c r="C9" s="26"/>
      <c r="D9" s="26"/>
      <c r="E9" s="26"/>
      <c r="F9" s="26"/>
      <c r="G9" s="26"/>
    </row>
    <row r="10" spans="1:7" ht="16.5" customHeight="1">
      <c r="A10" s="721" t="s">
        <v>177</v>
      </c>
      <c r="B10" s="721"/>
      <c r="C10" s="721"/>
      <c r="D10" s="721"/>
      <c r="E10" s="721"/>
      <c r="F10" s="721"/>
      <c r="G10" s="721"/>
    </row>
    <row r="11" spans="1:7" ht="16.5" customHeight="1">
      <c r="A11" s="721"/>
      <c r="B11" s="721"/>
      <c r="C11" s="721"/>
      <c r="D11" s="721"/>
      <c r="E11" s="721"/>
      <c r="F11" s="721"/>
      <c r="G11" s="721"/>
    </row>
    <row r="12" spans="1:7" ht="16.5" customHeight="1">
      <c r="A12" s="26"/>
      <c r="B12" s="26"/>
      <c r="C12" s="26"/>
      <c r="D12" s="26"/>
      <c r="E12" s="26"/>
      <c r="F12" s="26"/>
      <c r="G12" s="26"/>
    </row>
    <row r="13" spans="1:14" ht="16.5" customHeight="1">
      <c r="A13" s="721" t="str">
        <f>CONCATENATE("NOW THEREFORE, be it ordained by the Governing Body of the ",(inputPrYr!$D$2),":")</f>
        <v>NOW THEREFORE, be it ordained by the Governing Body of the Elbing City:</v>
      </c>
      <c r="B13" s="721"/>
      <c r="C13" s="721"/>
      <c r="D13" s="721"/>
      <c r="E13" s="721"/>
      <c r="F13" s="721"/>
      <c r="G13" s="721"/>
      <c r="H13" s="25"/>
      <c r="I13" s="25"/>
      <c r="J13" s="25"/>
      <c r="K13" s="25"/>
      <c r="L13" s="25"/>
      <c r="M13" s="25"/>
      <c r="N13" s="25"/>
    </row>
    <row r="14" spans="1:14" ht="16.5" customHeight="1">
      <c r="A14" s="721"/>
      <c r="B14" s="721"/>
      <c r="C14" s="721"/>
      <c r="D14" s="721"/>
      <c r="E14" s="721"/>
      <c r="F14" s="721"/>
      <c r="G14" s="721"/>
      <c r="H14" s="25"/>
      <c r="I14" s="25"/>
      <c r="J14" s="25"/>
      <c r="K14" s="25"/>
      <c r="L14" s="25"/>
      <c r="M14" s="25"/>
      <c r="N14" s="25"/>
    </row>
    <row r="15" spans="1:14" ht="16.5" customHeight="1">
      <c r="A15" s="72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Elbing City  has scheduled a public hearing and has prepared the proposed budget necessary to fund city services from January 1, 2012 until December 31, 2012.</v>
      </c>
      <c r="B15" s="721"/>
      <c r="C15" s="721"/>
      <c r="D15" s="721"/>
      <c r="E15" s="721"/>
      <c r="F15" s="721"/>
      <c r="G15" s="721"/>
      <c r="H15" s="25"/>
      <c r="I15" s="25"/>
      <c r="J15" s="25"/>
      <c r="K15" s="25"/>
      <c r="L15" s="25"/>
      <c r="M15" s="25"/>
      <c r="N15" s="25"/>
    </row>
    <row r="16" spans="1:14" ht="16.5" customHeight="1">
      <c r="A16" s="721"/>
      <c r="B16" s="721"/>
      <c r="C16" s="721"/>
      <c r="D16" s="721"/>
      <c r="E16" s="721"/>
      <c r="F16" s="721"/>
      <c r="G16" s="721"/>
      <c r="H16" s="25"/>
      <c r="I16" s="25"/>
      <c r="J16" s="25"/>
      <c r="K16" s="25"/>
      <c r="L16" s="25"/>
      <c r="M16" s="25"/>
      <c r="N16" s="25"/>
    </row>
    <row r="17" spans="1:14" ht="16.5" customHeight="1">
      <c r="A17" s="721"/>
      <c r="B17" s="721"/>
      <c r="C17" s="721"/>
      <c r="D17" s="721"/>
      <c r="E17" s="721"/>
      <c r="F17" s="721"/>
      <c r="G17" s="721"/>
      <c r="H17" s="25"/>
      <c r="I17" s="25"/>
      <c r="J17" s="25"/>
      <c r="K17" s="25"/>
      <c r="L17" s="25"/>
      <c r="M17" s="25"/>
      <c r="N17" s="25"/>
    </row>
    <row r="18" spans="1:7" ht="16.5" customHeight="1">
      <c r="A18" s="25"/>
      <c r="B18" s="25"/>
      <c r="C18" s="25"/>
      <c r="D18" s="25"/>
      <c r="E18" s="25"/>
      <c r="F18" s="25"/>
      <c r="G18" s="25"/>
    </row>
    <row r="19" spans="1:7" ht="16.5" customHeight="1">
      <c r="A19" s="722" t="s">
        <v>248</v>
      </c>
      <c r="B19" s="722"/>
      <c r="C19" s="722"/>
      <c r="D19" s="722"/>
      <c r="E19" s="722"/>
      <c r="F19" s="722"/>
      <c r="G19" s="722"/>
    </row>
    <row r="20" spans="1:7" ht="16.5" customHeight="1">
      <c r="A20" s="722" t="s">
        <v>249</v>
      </c>
      <c r="B20" s="722"/>
      <c r="C20" s="722"/>
      <c r="D20" s="722"/>
      <c r="E20" s="722"/>
      <c r="F20" s="722"/>
      <c r="G20" s="722"/>
    </row>
    <row r="21" spans="1:7" ht="16.5" customHeight="1">
      <c r="A21" s="722" t="str">
        <f>CONCATENATE("necessary to budget property tax revenues in an amount exceeding the levy in the ",inputPrYr!C5-1,"")</f>
        <v>necessary to budget property tax revenues in an amount exceeding the levy in the 2011</v>
      </c>
      <c r="B21" s="722"/>
      <c r="C21" s="722"/>
      <c r="D21" s="722"/>
      <c r="E21" s="722"/>
      <c r="F21" s="722"/>
      <c r="G21" s="722"/>
    </row>
    <row r="22" spans="1:7" ht="16.5" customHeight="1">
      <c r="A22" s="27" t="s">
        <v>250</v>
      </c>
      <c r="B22" s="27"/>
      <c r="C22" s="27"/>
      <c r="D22" s="27"/>
      <c r="E22" s="27"/>
      <c r="F22" s="27"/>
      <c r="G22" s="27"/>
    </row>
    <row r="23" spans="1:7" ht="16.5" customHeight="1">
      <c r="A23" s="25"/>
      <c r="B23" s="25"/>
      <c r="C23" s="25"/>
      <c r="D23" s="25"/>
      <c r="E23" s="25"/>
      <c r="F23" s="25"/>
      <c r="G23" s="25"/>
    </row>
    <row r="24" spans="1:7" ht="16.5" customHeight="1">
      <c r="A24" s="721" t="s">
        <v>178</v>
      </c>
      <c r="B24" s="721"/>
      <c r="C24" s="721"/>
      <c r="D24" s="721"/>
      <c r="E24" s="721"/>
      <c r="F24" s="721"/>
      <c r="G24" s="721"/>
    </row>
    <row r="25" spans="1:7" ht="16.5" customHeight="1">
      <c r="A25" s="721"/>
      <c r="B25" s="721"/>
      <c r="C25" s="721"/>
      <c r="D25" s="721"/>
      <c r="E25" s="721"/>
      <c r="F25" s="721"/>
      <c r="G25" s="721"/>
    </row>
    <row r="26" spans="1:7" ht="16.5" customHeight="1">
      <c r="A26" s="25"/>
      <c r="B26" s="25"/>
      <c r="C26" s="25"/>
      <c r="D26" s="25"/>
      <c r="E26" s="25"/>
      <c r="F26" s="25"/>
      <c r="G26" s="25"/>
    </row>
    <row r="27" spans="1:7" ht="16.5" customHeight="1">
      <c r="A27" s="721" t="str">
        <f>CONCATENATE("Passed and approved by the Governing Body on this ______ day of __________, ",inputPrYr!C5-1,".")</f>
        <v>Passed and approved by the Governing Body on this ______ day of __________, 2011.</v>
      </c>
      <c r="B27" s="721"/>
      <c r="C27" s="721"/>
      <c r="D27" s="721"/>
      <c r="E27" s="721"/>
      <c r="F27" s="721"/>
      <c r="G27" s="721"/>
    </row>
    <row r="28" spans="1:7" ht="16.5" customHeight="1">
      <c r="A28" s="721"/>
      <c r="B28" s="721"/>
      <c r="C28" s="721"/>
      <c r="D28" s="721"/>
      <c r="E28" s="721"/>
      <c r="F28" s="721"/>
      <c r="G28" s="721"/>
    </row>
    <row r="29" ht="16.5" customHeight="1"/>
    <row r="30" spans="1:7" ht="16.5" customHeight="1">
      <c r="A30" s="720" t="s">
        <v>179</v>
      </c>
      <c r="B30" s="720"/>
      <c r="C30" s="720"/>
      <c r="D30" s="720"/>
      <c r="E30" s="720"/>
      <c r="F30" s="720"/>
      <c r="G30" s="720"/>
    </row>
    <row r="31" spans="1:7" ht="16.5" customHeight="1">
      <c r="A31" s="720" t="s">
        <v>184</v>
      </c>
      <c r="B31" s="720"/>
      <c r="C31" s="720"/>
      <c r="D31" s="720"/>
      <c r="E31" s="720"/>
      <c r="F31" s="720"/>
      <c r="G31" s="720"/>
    </row>
    <row r="32" ht="16.5" customHeight="1">
      <c r="A32" s="1" t="s">
        <v>180</v>
      </c>
    </row>
    <row r="33" ht="16.5" customHeight="1">
      <c r="B33" s="1" t="s">
        <v>181</v>
      </c>
    </row>
    <row r="34" ht="16.5" customHeight="1"/>
    <row r="35" ht="16.5" customHeight="1"/>
    <row r="36" ht="16.5" customHeight="1">
      <c r="A36" s="1" t="s">
        <v>182</v>
      </c>
    </row>
    <row r="37" ht="16.5" customHeight="1"/>
    <row r="38" ht="16.5" customHeight="1"/>
    <row r="39" ht="16.5" customHeight="1"/>
    <row r="40" ht="16.5" customHeight="1">
      <c r="A40" s="1" t="s">
        <v>183</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5" t="s">
        <v>678</v>
      </c>
      <c r="B3" s="375"/>
      <c r="C3" s="375"/>
      <c r="D3" s="375"/>
      <c r="E3" s="375"/>
      <c r="F3" s="375"/>
      <c r="G3" s="375"/>
      <c r="H3" s="375"/>
      <c r="I3" s="375"/>
      <c r="J3" s="375"/>
      <c r="K3" s="375"/>
      <c r="L3" s="375"/>
    </row>
    <row r="5" ht="15">
      <c r="A5" s="376" t="s">
        <v>679</v>
      </c>
    </row>
    <row r="6" ht="15">
      <c r="A6" s="376" t="str">
        <f>CONCATENATE(inputPrYr!C5-2," 'total expenditures' exceed your ",inputPrYr!C5-2," 'budget authority.'")</f>
        <v>2010 'total expenditures' exceed your 2010 'budget authority.'</v>
      </c>
    </row>
    <row r="7" ht="15">
      <c r="A7" s="376"/>
    </row>
    <row r="8" ht="15">
      <c r="A8" s="376" t="s">
        <v>680</v>
      </c>
    </row>
    <row r="9" ht="15">
      <c r="A9" s="376" t="s">
        <v>681</v>
      </c>
    </row>
    <row r="10" ht="15">
      <c r="A10" s="376" t="s">
        <v>682</v>
      </c>
    </row>
    <row r="11" ht="15">
      <c r="A11" s="376"/>
    </row>
    <row r="12" ht="15">
      <c r="A12" s="376"/>
    </row>
    <row r="13" ht="15">
      <c r="A13" s="377" t="s">
        <v>683</v>
      </c>
    </row>
    <row r="15" ht="15">
      <c r="A15" s="376" t="s">
        <v>684</v>
      </c>
    </row>
    <row r="16" ht="15">
      <c r="A16" s="376" t="str">
        <f>CONCATENATE("(i.e. an audit has not been completed, or the ",inputPrYr!C5," adopted")</f>
        <v>(i.e. an audit has not been completed, or the 2012 adopted</v>
      </c>
    </row>
    <row r="17" ht="15">
      <c r="A17" s="376" t="s">
        <v>685</v>
      </c>
    </row>
    <row r="18" ht="15">
      <c r="A18" s="376" t="s">
        <v>686</v>
      </c>
    </row>
    <row r="19" ht="15">
      <c r="A19" s="376" t="s">
        <v>687</v>
      </c>
    </row>
    <row r="21" ht="15">
      <c r="A21" s="377" t="s">
        <v>688</v>
      </c>
    </row>
    <row r="22" ht="15">
      <c r="A22" s="377"/>
    </row>
    <row r="23" ht="15">
      <c r="A23" s="376" t="s">
        <v>689</v>
      </c>
    </row>
    <row r="24" ht="15">
      <c r="A24" s="376" t="s">
        <v>690</v>
      </c>
    </row>
    <row r="25" ht="15">
      <c r="A25" s="376" t="str">
        <f>CONCATENATE("particular fund.  If your ",inputPrYr!C5-2," budget was amended, did you")</f>
        <v>particular fund.  If your 2010 budget was amended, did you</v>
      </c>
    </row>
    <row r="26" ht="15">
      <c r="A26" s="376" t="s">
        <v>691</v>
      </c>
    </row>
    <row r="27" ht="15">
      <c r="A27" s="376"/>
    </row>
    <row r="28" ht="15">
      <c r="A28" s="376" t="str">
        <f>CONCATENATE("Next, look to see if any of your ",inputPrYr!C5-2," expenditures can be")</f>
        <v>Next, look to see if any of your 2010 expenditures can be</v>
      </c>
    </row>
    <row r="29" ht="15">
      <c r="A29" s="376" t="s">
        <v>692</v>
      </c>
    </row>
    <row r="30" ht="15">
      <c r="A30" s="376" t="s">
        <v>693</v>
      </c>
    </row>
    <row r="31" ht="15">
      <c r="A31" s="376" t="s">
        <v>694</v>
      </c>
    </row>
    <row r="32" ht="15">
      <c r="A32" s="376"/>
    </row>
    <row r="33" ht="15">
      <c r="A33" s="376" t="str">
        <f>CONCATENATE("Additionally, do your ",inputPrYr!C5-2," receipts contain a reimbursement")</f>
        <v>Additionally, do your 2010 receipts contain a reimbursement</v>
      </c>
    </row>
    <row r="34" ht="15">
      <c r="A34" s="376" t="s">
        <v>695</v>
      </c>
    </row>
    <row r="35" ht="15">
      <c r="A35" s="376" t="s">
        <v>696</v>
      </c>
    </row>
    <row r="36" ht="15">
      <c r="A36" s="376"/>
    </row>
    <row r="37" ht="15">
      <c r="A37" s="376" t="s">
        <v>697</v>
      </c>
    </row>
    <row r="38" ht="15">
      <c r="A38" s="376" t="s">
        <v>698</v>
      </c>
    </row>
    <row r="39" ht="15">
      <c r="A39" s="376" t="s">
        <v>699</v>
      </c>
    </row>
    <row r="40" ht="15">
      <c r="A40" s="376" t="s">
        <v>700</v>
      </c>
    </row>
    <row r="41" ht="15">
      <c r="A41" s="376" t="s">
        <v>701</v>
      </c>
    </row>
    <row r="42" ht="15">
      <c r="A42" s="376" t="s">
        <v>702</v>
      </c>
    </row>
    <row r="43" ht="15">
      <c r="A43" s="376" t="s">
        <v>703</v>
      </c>
    </row>
    <row r="44" ht="15">
      <c r="A44" s="376" t="s">
        <v>704</v>
      </c>
    </row>
    <row r="45" ht="15">
      <c r="A45" s="376"/>
    </row>
    <row r="46" ht="15">
      <c r="A46" s="376" t="s">
        <v>705</v>
      </c>
    </row>
    <row r="47" ht="15">
      <c r="A47" s="376" t="s">
        <v>706</v>
      </c>
    </row>
    <row r="48" ht="15">
      <c r="A48" s="376" t="s">
        <v>707</v>
      </c>
    </row>
    <row r="49" ht="15">
      <c r="A49" s="376"/>
    </row>
    <row r="50" ht="15">
      <c r="A50" s="376" t="s">
        <v>708</v>
      </c>
    </row>
    <row r="51" ht="15">
      <c r="A51" s="376" t="s">
        <v>709</v>
      </c>
    </row>
    <row r="52" ht="15">
      <c r="A52" s="376" t="s">
        <v>710</v>
      </c>
    </row>
    <row r="53" ht="15">
      <c r="A53" s="376"/>
    </row>
    <row r="54" ht="15">
      <c r="A54" s="377" t="s">
        <v>711</v>
      </c>
    </row>
    <row r="55" ht="15">
      <c r="A55" s="376"/>
    </row>
    <row r="56" ht="15">
      <c r="A56" s="376" t="s">
        <v>452</v>
      </c>
    </row>
    <row r="57" ht="15">
      <c r="A57" s="376" t="s">
        <v>453</v>
      </c>
    </row>
    <row r="58" ht="15">
      <c r="A58" s="376" t="s">
        <v>454</v>
      </c>
    </row>
    <row r="59" ht="15">
      <c r="A59" s="376" t="s">
        <v>455</v>
      </c>
    </row>
    <row r="60" ht="15">
      <c r="A60" s="376" t="s">
        <v>456</v>
      </c>
    </row>
    <row r="61" ht="15">
      <c r="A61" s="376" t="s">
        <v>457</v>
      </c>
    </row>
    <row r="62" ht="15">
      <c r="A62" s="376" t="s">
        <v>458</v>
      </c>
    </row>
    <row r="63" ht="15">
      <c r="A63" s="376" t="s">
        <v>459</v>
      </c>
    </row>
    <row r="64" ht="15">
      <c r="A64" s="376" t="s">
        <v>460</v>
      </c>
    </row>
    <row r="65" ht="15">
      <c r="A65" s="376" t="s">
        <v>461</v>
      </c>
    </row>
    <row r="66" ht="15">
      <c r="A66" s="376" t="s">
        <v>462</v>
      </c>
    </row>
    <row r="67" ht="15">
      <c r="A67" s="376" t="s">
        <v>463</v>
      </c>
    </row>
    <row r="68" ht="15">
      <c r="A68" s="376" t="s">
        <v>464</v>
      </c>
    </row>
    <row r="69" ht="15">
      <c r="A69" s="376"/>
    </row>
    <row r="70" ht="15">
      <c r="A70" s="376" t="s">
        <v>465</v>
      </c>
    </row>
    <row r="71" ht="15">
      <c r="A71" s="376" t="s">
        <v>466</v>
      </c>
    </row>
    <row r="72" ht="15">
      <c r="A72" s="376" t="s">
        <v>467</v>
      </c>
    </row>
    <row r="73" ht="15">
      <c r="A73" s="376"/>
    </row>
    <row r="74" ht="15">
      <c r="A74" s="377" t="str">
        <f>CONCATENATE("What if the ",inputPrYr!C5-2," financial records have been closed?")</f>
        <v>What if the 2010 financial records have been closed?</v>
      </c>
    </row>
    <row r="76" ht="15">
      <c r="A76" s="376" t="s">
        <v>468</v>
      </c>
    </row>
    <row r="77" ht="15">
      <c r="A77" s="376" t="str">
        <f>CONCATENATE("(i.e. an audit for ",inputPrYr!C5-2," has been completed, or the ",inputPrYr!C5)</f>
        <v>(i.e. an audit for 2010 has been completed, or the 2012</v>
      </c>
    </row>
    <row r="78" ht="15">
      <c r="A78" s="376" t="s">
        <v>469</v>
      </c>
    </row>
    <row r="79" ht="15">
      <c r="A79" s="376" t="s">
        <v>470</v>
      </c>
    </row>
    <row r="80" ht="15">
      <c r="A80" s="376"/>
    </row>
    <row r="81" ht="15">
      <c r="A81" s="376" t="s">
        <v>471</v>
      </c>
    </row>
    <row r="82" ht="15">
      <c r="A82" s="376" t="s">
        <v>472</v>
      </c>
    </row>
    <row r="83" ht="15">
      <c r="A83" s="376" t="s">
        <v>473</v>
      </c>
    </row>
    <row r="84" ht="15">
      <c r="A84" s="376"/>
    </row>
    <row r="85" ht="15">
      <c r="A85" s="376" t="s">
        <v>474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5" t="s">
        <v>475</v>
      </c>
      <c r="B3" s="375"/>
      <c r="C3" s="375"/>
      <c r="D3" s="375"/>
      <c r="E3" s="375"/>
      <c r="F3" s="375"/>
      <c r="G3" s="375"/>
      <c r="H3" s="378"/>
      <c r="I3" s="378"/>
      <c r="J3" s="378"/>
    </row>
    <row r="5" ht="15">
      <c r="A5" s="376" t="s">
        <v>476</v>
      </c>
    </row>
    <row r="6" ht="15">
      <c r="A6" t="str">
        <f>CONCATENATE(inputPrYr!C5-2," expenditures show that you finished the year with a ")</f>
        <v>2010 expenditures show that you finished the year with a </v>
      </c>
    </row>
    <row r="7" ht="15">
      <c r="A7" t="s">
        <v>477</v>
      </c>
    </row>
    <row r="9" ht="15">
      <c r="A9" t="s">
        <v>478</v>
      </c>
    </row>
    <row r="10" ht="15">
      <c r="A10" t="s">
        <v>479</v>
      </c>
    </row>
    <row r="11" ht="15">
      <c r="A11" t="s">
        <v>480</v>
      </c>
    </row>
    <row r="13" ht="15">
      <c r="A13" s="377" t="s">
        <v>481</v>
      </c>
    </row>
    <row r="14" ht="15">
      <c r="A14" s="377"/>
    </row>
    <row r="15" ht="15">
      <c r="A15" s="376" t="s">
        <v>482</v>
      </c>
    </row>
    <row r="16" ht="15">
      <c r="A16" s="376" t="s">
        <v>483</v>
      </c>
    </row>
    <row r="17" ht="15">
      <c r="A17" s="376" t="s">
        <v>484</v>
      </c>
    </row>
    <row r="18" ht="15">
      <c r="A18" s="376"/>
    </row>
    <row r="19" ht="15">
      <c r="A19" s="377" t="s">
        <v>485</v>
      </c>
    </row>
    <row r="20" ht="15">
      <c r="A20" s="377"/>
    </row>
    <row r="21" ht="15">
      <c r="A21" s="376" t="s">
        <v>486</v>
      </c>
    </row>
    <row r="22" ht="15">
      <c r="A22" s="376" t="s">
        <v>487</v>
      </c>
    </row>
    <row r="23" ht="15">
      <c r="A23" s="376" t="s">
        <v>488</v>
      </c>
    </row>
    <row r="24" ht="15">
      <c r="A24" s="376"/>
    </row>
    <row r="25" ht="15">
      <c r="A25" s="377" t="s">
        <v>489</v>
      </c>
    </row>
    <row r="26" ht="15">
      <c r="A26" s="377"/>
    </row>
    <row r="27" ht="15">
      <c r="A27" s="376" t="s">
        <v>490</v>
      </c>
    </row>
    <row r="28" ht="15">
      <c r="A28" s="376" t="s">
        <v>491</v>
      </c>
    </row>
    <row r="29" ht="15">
      <c r="A29" s="376" t="s">
        <v>492</v>
      </c>
    </row>
    <row r="30" ht="15">
      <c r="A30" s="376"/>
    </row>
    <row r="31" ht="15">
      <c r="A31" s="377" t="s">
        <v>493</v>
      </c>
    </row>
    <row r="32" ht="15">
      <c r="A32" s="377"/>
    </row>
    <row r="33" spans="1:8" ht="15">
      <c r="A33" s="376" t="str">
        <f>CONCATENATE("If your financial records for ",inputPrYr!C5-2," are not closed")</f>
        <v>If your financial records for 2010 are not closed</v>
      </c>
      <c r="B33" s="376"/>
      <c r="C33" s="376"/>
      <c r="D33" s="376"/>
      <c r="E33" s="376"/>
      <c r="F33" s="376"/>
      <c r="G33" s="376"/>
      <c r="H33" s="376"/>
    </row>
    <row r="34" spans="1:8" ht="15">
      <c r="A34" s="376" t="str">
        <f>CONCATENATE("(i.e. an audit has not been completed, or the ",inputPrYr!C5," adopted ")</f>
        <v>(i.e. an audit has not been completed, or the 2012 adopted </v>
      </c>
      <c r="B34" s="376"/>
      <c r="C34" s="376"/>
      <c r="D34" s="376"/>
      <c r="E34" s="376"/>
      <c r="F34" s="376"/>
      <c r="G34" s="376"/>
      <c r="H34" s="376"/>
    </row>
    <row r="35" spans="1:8" ht="15">
      <c r="A35" s="376" t="s">
        <v>494</v>
      </c>
      <c r="B35" s="376"/>
      <c r="C35" s="376"/>
      <c r="D35" s="376"/>
      <c r="E35" s="376"/>
      <c r="F35" s="376"/>
      <c r="G35" s="376"/>
      <c r="H35" s="376"/>
    </row>
    <row r="36" spans="1:8" ht="15">
      <c r="A36" s="376" t="s">
        <v>495</v>
      </c>
      <c r="B36" s="376"/>
      <c r="C36" s="376"/>
      <c r="D36" s="376"/>
      <c r="E36" s="376"/>
      <c r="F36" s="376"/>
      <c r="G36" s="376"/>
      <c r="H36" s="376"/>
    </row>
    <row r="37" spans="1:8" ht="15">
      <c r="A37" s="376" t="s">
        <v>496</v>
      </c>
      <c r="B37" s="376"/>
      <c r="C37" s="376"/>
      <c r="D37" s="376"/>
      <c r="E37" s="376"/>
      <c r="F37" s="376"/>
      <c r="G37" s="376"/>
      <c r="H37" s="376"/>
    </row>
    <row r="38" spans="1:8" ht="15">
      <c r="A38" s="376" t="s">
        <v>497</v>
      </c>
      <c r="B38" s="376"/>
      <c r="C38" s="376"/>
      <c r="D38" s="376"/>
      <c r="E38" s="376"/>
      <c r="F38" s="376"/>
      <c r="G38" s="376"/>
      <c r="H38" s="376"/>
    </row>
    <row r="39" spans="1:8" ht="15">
      <c r="A39" s="376" t="s">
        <v>498</v>
      </c>
      <c r="B39" s="376"/>
      <c r="C39" s="376"/>
      <c r="D39" s="376"/>
      <c r="E39" s="376"/>
      <c r="F39" s="376"/>
      <c r="G39" s="376"/>
      <c r="H39" s="376"/>
    </row>
    <row r="40" spans="1:8" ht="15">
      <c r="A40" s="376"/>
      <c r="B40" s="376"/>
      <c r="C40" s="376"/>
      <c r="D40" s="376"/>
      <c r="E40" s="376"/>
      <c r="F40" s="376"/>
      <c r="G40" s="376"/>
      <c r="H40" s="376"/>
    </row>
    <row r="41" spans="1:8" ht="15">
      <c r="A41" s="376" t="s">
        <v>499</v>
      </c>
      <c r="B41" s="376"/>
      <c r="C41" s="376"/>
      <c r="D41" s="376"/>
      <c r="E41" s="376"/>
      <c r="F41" s="376"/>
      <c r="G41" s="376"/>
      <c r="H41" s="376"/>
    </row>
    <row r="42" spans="1:8" ht="15">
      <c r="A42" s="376" t="s">
        <v>500</v>
      </c>
      <c r="B42" s="376"/>
      <c r="C42" s="376"/>
      <c r="D42" s="376"/>
      <c r="E42" s="376"/>
      <c r="F42" s="376"/>
      <c r="G42" s="376"/>
      <c r="H42" s="376"/>
    </row>
    <row r="43" spans="1:8" ht="15">
      <c r="A43" s="376" t="s">
        <v>501</v>
      </c>
      <c r="B43" s="376"/>
      <c r="C43" s="376"/>
      <c r="D43" s="376"/>
      <c r="E43" s="376"/>
      <c r="F43" s="376"/>
      <c r="G43" s="376"/>
      <c r="H43" s="376"/>
    </row>
    <row r="44" spans="1:8" ht="15">
      <c r="A44" s="376" t="s">
        <v>502</v>
      </c>
      <c r="B44" s="376"/>
      <c r="C44" s="376"/>
      <c r="D44" s="376"/>
      <c r="E44" s="376"/>
      <c r="F44" s="376"/>
      <c r="G44" s="376"/>
      <c r="H44" s="376"/>
    </row>
    <row r="45" spans="1:8" ht="15">
      <c r="A45" s="376"/>
      <c r="B45" s="376"/>
      <c r="C45" s="376"/>
      <c r="D45" s="376"/>
      <c r="E45" s="376"/>
      <c r="F45" s="376"/>
      <c r="G45" s="376"/>
      <c r="H45" s="376"/>
    </row>
    <row r="46" spans="1:8" ht="15">
      <c r="A46" s="376" t="s">
        <v>503</v>
      </c>
      <c r="B46" s="376"/>
      <c r="C46" s="376"/>
      <c r="D46" s="376"/>
      <c r="E46" s="376"/>
      <c r="F46" s="376"/>
      <c r="G46" s="376"/>
      <c r="H46" s="376"/>
    </row>
    <row r="47" spans="1:8" ht="15">
      <c r="A47" s="376" t="s">
        <v>504</v>
      </c>
      <c r="B47" s="376"/>
      <c r="C47" s="376"/>
      <c r="D47" s="376"/>
      <c r="E47" s="376"/>
      <c r="F47" s="376"/>
      <c r="G47" s="376"/>
      <c r="H47" s="376"/>
    </row>
    <row r="48" spans="1:8" ht="15">
      <c r="A48" s="376" t="s">
        <v>505</v>
      </c>
      <c r="B48" s="376"/>
      <c r="C48" s="376"/>
      <c r="D48" s="376"/>
      <c r="E48" s="376"/>
      <c r="F48" s="376"/>
      <c r="G48" s="376"/>
      <c r="H48" s="376"/>
    </row>
    <row r="49" spans="1:8" ht="15">
      <c r="A49" s="376" t="s">
        <v>506</v>
      </c>
      <c r="B49" s="376"/>
      <c r="C49" s="376"/>
      <c r="D49" s="376"/>
      <c r="E49" s="376"/>
      <c r="F49" s="376"/>
      <c r="G49" s="376"/>
      <c r="H49" s="376"/>
    </row>
    <row r="50" spans="1:8" ht="15">
      <c r="A50" s="376" t="s">
        <v>507</v>
      </c>
      <c r="B50" s="376"/>
      <c r="C50" s="376"/>
      <c r="D50" s="376"/>
      <c r="E50" s="376"/>
      <c r="F50" s="376"/>
      <c r="G50" s="376"/>
      <c r="H50" s="376"/>
    </row>
    <row r="51" spans="1:8" ht="15">
      <c r="A51" s="376"/>
      <c r="B51" s="376"/>
      <c r="C51" s="376"/>
      <c r="D51" s="376"/>
      <c r="E51" s="376"/>
      <c r="F51" s="376"/>
      <c r="G51" s="376"/>
      <c r="H51" s="376"/>
    </row>
    <row r="52" spans="1:8" ht="15">
      <c r="A52" s="377" t="s">
        <v>508</v>
      </c>
      <c r="B52" s="377"/>
      <c r="C52" s="377"/>
      <c r="D52" s="377"/>
      <c r="E52" s="377"/>
      <c r="F52" s="377"/>
      <c r="G52" s="377"/>
      <c r="H52" s="376"/>
    </row>
    <row r="53" spans="1:8" ht="15">
      <c r="A53" s="377" t="s">
        <v>509</v>
      </c>
      <c r="B53" s="377"/>
      <c r="C53" s="377"/>
      <c r="D53" s="377"/>
      <c r="E53" s="377"/>
      <c r="F53" s="377"/>
      <c r="G53" s="377"/>
      <c r="H53" s="376"/>
    </row>
    <row r="54" spans="1:8" ht="15">
      <c r="A54" s="376"/>
      <c r="B54" s="376"/>
      <c r="C54" s="376"/>
      <c r="D54" s="376"/>
      <c r="E54" s="376"/>
      <c r="F54" s="376"/>
      <c r="G54" s="376"/>
      <c r="H54" s="376"/>
    </row>
    <row r="55" spans="1:8" ht="15">
      <c r="A55" s="376" t="s">
        <v>510</v>
      </c>
      <c r="B55" s="376"/>
      <c r="C55" s="376"/>
      <c r="D55" s="376"/>
      <c r="E55" s="376"/>
      <c r="F55" s="376"/>
      <c r="G55" s="376"/>
      <c r="H55" s="376"/>
    </row>
    <row r="56" spans="1:8" ht="15">
      <c r="A56" s="376" t="s">
        <v>511</v>
      </c>
      <c r="B56" s="376"/>
      <c r="C56" s="376"/>
      <c r="D56" s="376"/>
      <c r="E56" s="376"/>
      <c r="F56" s="376"/>
      <c r="G56" s="376"/>
      <c r="H56" s="376"/>
    </row>
    <row r="57" spans="1:8" ht="15">
      <c r="A57" s="376" t="s">
        <v>512</v>
      </c>
      <c r="B57" s="376"/>
      <c r="C57" s="376"/>
      <c r="D57" s="376"/>
      <c r="E57" s="376"/>
      <c r="F57" s="376"/>
      <c r="G57" s="376"/>
      <c r="H57" s="376"/>
    </row>
    <row r="58" spans="1:8" ht="15">
      <c r="A58" s="376" t="s">
        <v>513</v>
      </c>
      <c r="B58" s="376"/>
      <c r="C58" s="376"/>
      <c r="D58" s="376"/>
      <c r="E58" s="376"/>
      <c r="F58" s="376"/>
      <c r="G58" s="376"/>
      <c r="H58" s="376"/>
    </row>
    <row r="59" spans="1:8" ht="15">
      <c r="A59" s="376"/>
      <c r="B59" s="376"/>
      <c r="C59" s="376"/>
      <c r="D59" s="376"/>
      <c r="E59" s="376"/>
      <c r="F59" s="376"/>
      <c r="G59" s="376"/>
      <c r="H59" s="376"/>
    </row>
    <row r="60" spans="1:8" ht="15">
      <c r="A60" s="376" t="s">
        <v>514</v>
      </c>
      <c r="B60" s="376"/>
      <c r="C60" s="376"/>
      <c r="D60" s="376"/>
      <c r="E60" s="376"/>
      <c r="F60" s="376"/>
      <c r="G60" s="376"/>
      <c r="H60" s="376"/>
    </row>
    <row r="61" spans="1:8" ht="15">
      <c r="A61" s="376" t="s">
        <v>515</v>
      </c>
      <c r="B61" s="376"/>
      <c r="C61" s="376"/>
      <c r="D61" s="376"/>
      <c r="E61" s="376"/>
      <c r="F61" s="376"/>
      <c r="G61" s="376"/>
      <c r="H61" s="376"/>
    </row>
    <row r="62" spans="1:8" ht="15">
      <c r="A62" s="376" t="s">
        <v>516</v>
      </c>
      <c r="B62" s="376"/>
      <c r="C62" s="376"/>
      <c r="D62" s="376"/>
      <c r="E62" s="376"/>
      <c r="F62" s="376"/>
      <c r="G62" s="376"/>
      <c r="H62" s="376"/>
    </row>
    <row r="63" spans="1:8" ht="15">
      <c r="A63" s="376" t="s">
        <v>517</v>
      </c>
      <c r="B63" s="376"/>
      <c r="C63" s="376"/>
      <c r="D63" s="376"/>
      <c r="E63" s="376"/>
      <c r="F63" s="376"/>
      <c r="G63" s="376"/>
      <c r="H63" s="376"/>
    </row>
    <row r="64" spans="1:8" ht="15">
      <c r="A64" s="376" t="s">
        <v>518</v>
      </c>
      <c r="B64" s="376"/>
      <c r="C64" s="376"/>
      <c r="D64" s="376"/>
      <c r="E64" s="376"/>
      <c r="F64" s="376"/>
      <c r="G64" s="376"/>
      <c r="H64" s="376"/>
    </row>
    <row r="65" spans="1:8" ht="15">
      <c r="A65" s="376" t="s">
        <v>519</v>
      </c>
      <c r="B65" s="376"/>
      <c r="C65" s="376"/>
      <c r="D65" s="376"/>
      <c r="E65" s="376"/>
      <c r="F65" s="376"/>
      <c r="G65" s="376"/>
      <c r="H65" s="376"/>
    </row>
    <row r="66" spans="1:8" ht="15">
      <c r="A66" s="376"/>
      <c r="B66" s="376"/>
      <c r="C66" s="376"/>
      <c r="D66" s="376"/>
      <c r="E66" s="376"/>
      <c r="F66" s="376"/>
      <c r="G66" s="376"/>
      <c r="H66" s="376"/>
    </row>
    <row r="67" spans="1:8" ht="15">
      <c r="A67" s="376" t="s">
        <v>520</v>
      </c>
      <c r="B67" s="376"/>
      <c r="C67" s="376"/>
      <c r="D67" s="376"/>
      <c r="E67" s="376"/>
      <c r="F67" s="376"/>
      <c r="G67" s="376"/>
      <c r="H67" s="376"/>
    </row>
    <row r="68" spans="1:8" ht="15">
      <c r="A68" s="376" t="s">
        <v>521</v>
      </c>
      <c r="B68" s="376"/>
      <c r="C68" s="376"/>
      <c r="D68" s="376"/>
      <c r="E68" s="376"/>
      <c r="F68" s="376"/>
      <c r="G68" s="376"/>
      <c r="H68" s="376"/>
    </row>
    <row r="69" spans="1:8" ht="15">
      <c r="A69" s="376" t="s">
        <v>522</v>
      </c>
      <c r="B69" s="376"/>
      <c r="C69" s="376"/>
      <c r="D69" s="376"/>
      <c r="E69" s="376"/>
      <c r="F69" s="376"/>
      <c r="G69" s="376"/>
      <c r="H69" s="376"/>
    </row>
    <row r="70" spans="1:8" ht="15">
      <c r="A70" s="376" t="s">
        <v>523</v>
      </c>
      <c r="B70" s="376"/>
      <c r="C70" s="376"/>
      <c r="D70" s="376"/>
      <c r="E70" s="376"/>
      <c r="F70" s="376"/>
      <c r="G70" s="376"/>
      <c r="H70" s="376"/>
    </row>
    <row r="71" spans="1:8" ht="15">
      <c r="A71" s="376" t="s">
        <v>524</v>
      </c>
      <c r="B71" s="376"/>
      <c r="C71" s="376"/>
      <c r="D71" s="376"/>
      <c r="E71" s="376"/>
      <c r="F71" s="376"/>
      <c r="G71" s="376"/>
      <c r="H71" s="376"/>
    </row>
    <row r="72" spans="1:8" ht="15">
      <c r="A72" s="376" t="s">
        <v>525</v>
      </c>
      <c r="B72" s="376"/>
      <c r="C72" s="376"/>
      <c r="D72" s="376"/>
      <c r="E72" s="376"/>
      <c r="F72" s="376"/>
      <c r="G72" s="376"/>
      <c r="H72" s="376"/>
    </row>
    <row r="73" spans="1:8" ht="15">
      <c r="A73" s="376" t="s">
        <v>526</v>
      </c>
      <c r="B73" s="376"/>
      <c r="C73" s="376"/>
      <c r="D73" s="376"/>
      <c r="E73" s="376"/>
      <c r="F73" s="376"/>
      <c r="G73" s="376"/>
      <c r="H73" s="376"/>
    </row>
    <row r="74" spans="1:8" ht="15">
      <c r="A74" s="376"/>
      <c r="B74" s="376"/>
      <c r="C74" s="376"/>
      <c r="D74" s="376"/>
      <c r="E74" s="376"/>
      <c r="F74" s="376"/>
      <c r="G74" s="376"/>
      <c r="H74" s="376"/>
    </row>
    <row r="75" spans="1:8" ht="15">
      <c r="A75" s="376" t="s">
        <v>527</v>
      </c>
      <c r="B75" s="376"/>
      <c r="C75" s="376"/>
      <c r="D75" s="376"/>
      <c r="E75" s="376"/>
      <c r="F75" s="376"/>
      <c r="G75" s="376"/>
      <c r="H75" s="376"/>
    </row>
    <row r="76" spans="1:8" ht="15">
      <c r="A76" s="376" t="s">
        <v>528</v>
      </c>
      <c r="B76" s="376"/>
      <c r="C76" s="376"/>
      <c r="D76" s="376"/>
      <c r="E76" s="376"/>
      <c r="F76" s="376"/>
      <c r="G76" s="376"/>
      <c r="H76" s="376"/>
    </row>
    <row r="77" spans="1:8" ht="15">
      <c r="A77" s="376" t="s">
        <v>529</v>
      </c>
      <c r="B77" s="376"/>
      <c r="C77" s="376"/>
      <c r="D77" s="376"/>
      <c r="E77" s="376"/>
      <c r="F77" s="376"/>
      <c r="G77" s="376"/>
      <c r="H77" s="376"/>
    </row>
    <row r="78" spans="1:8" ht="15">
      <c r="A78" s="376"/>
      <c r="B78" s="376"/>
      <c r="C78" s="376"/>
      <c r="D78" s="376"/>
      <c r="E78" s="376"/>
      <c r="F78" s="376"/>
      <c r="G78" s="376"/>
      <c r="H78" s="376"/>
    </row>
    <row r="79" ht="15">
      <c r="A79" s="376" t="s">
        <v>474</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5" t="s">
        <v>530</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679</v>
      </c>
      <c r="I5" s="375"/>
      <c r="J5" s="375"/>
      <c r="K5" s="375"/>
      <c r="L5" s="375"/>
    </row>
    <row r="6" spans="1:12" ht="15">
      <c r="A6" s="376" t="str">
        <f>CONCATENATE("estimated ",inputPrYr!C5-1," 'total expenditures' exceed your ",inputPrYr!C5-1,"")</f>
        <v>estimated 2011 'total expenditures' exceed your 2011</v>
      </c>
      <c r="I6" s="375"/>
      <c r="J6" s="375"/>
      <c r="K6" s="375"/>
      <c r="L6" s="375"/>
    </row>
    <row r="7" spans="1:12" ht="15">
      <c r="A7" s="379" t="s">
        <v>531</v>
      </c>
      <c r="I7" s="375"/>
      <c r="J7" s="375"/>
      <c r="K7" s="375"/>
      <c r="L7" s="375"/>
    </row>
    <row r="8" spans="1:12" ht="15">
      <c r="A8" s="376"/>
      <c r="I8" s="375"/>
      <c r="J8" s="375"/>
      <c r="K8" s="375"/>
      <c r="L8" s="375"/>
    </row>
    <row r="9" spans="1:12" ht="15">
      <c r="A9" s="376" t="s">
        <v>532</v>
      </c>
      <c r="I9" s="375"/>
      <c r="J9" s="375"/>
      <c r="K9" s="375"/>
      <c r="L9" s="375"/>
    </row>
    <row r="10" spans="1:12" ht="15">
      <c r="A10" s="376" t="s">
        <v>533</v>
      </c>
      <c r="I10" s="375"/>
      <c r="J10" s="375"/>
      <c r="K10" s="375"/>
      <c r="L10" s="375"/>
    </row>
    <row r="11" spans="1:12" ht="15">
      <c r="A11" s="376" t="s">
        <v>534</v>
      </c>
      <c r="I11" s="375"/>
      <c r="J11" s="375"/>
      <c r="K11" s="375"/>
      <c r="L11" s="375"/>
    </row>
    <row r="12" spans="1:12" ht="15">
      <c r="A12" s="376" t="s">
        <v>535</v>
      </c>
      <c r="I12" s="375"/>
      <c r="J12" s="375"/>
      <c r="K12" s="375"/>
      <c r="L12" s="375"/>
    </row>
    <row r="13" spans="1:12" ht="15">
      <c r="A13" s="376" t="s">
        <v>536</v>
      </c>
      <c r="I13" s="375"/>
      <c r="J13" s="375"/>
      <c r="K13" s="375"/>
      <c r="L13" s="375"/>
    </row>
    <row r="14" spans="1:12" ht="15">
      <c r="A14" s="375"/>
      <c r="B14" s="375"/>
      <c r="C14" s="375"/>
      <c r="D14" s="375"/>
      <c r="E14" s="375"/>
      <c r="F14" s="375"/>
      <c r="G14" s="375"/>
      <c r="H14" s="375"/>
      <c r="I14" s="375"/>
      <c r="J14" s="375"/>
      <c r="K14" s="375"/>
      <c r="L14" s="375"/>
    </row>
    <row r="15" ht="15">
      <c r="A15" s="377" t="s">
        <v>537</v>
      </c>
    </row>
    <row r="16" ht="15">
      <c r="A16" s="377" t="s">
        <v>538</v>
      </c>
    </row>
    <row r="17" ht="15">
      <c r="A17" s="377"/>
    </row>
    <row r="18" spans="1:7" ht="15">
      <c r="A18" s="376" t="s">
        <v>539</v>
      </c>
      <c r="B18" s="376"/>
      <c r="C18" s="376"/>
      <c r="D18" s="376"/>
      <c r="E18" s="376"/>
      <c r="F18" s="376"/>
      <c r="G18" s="376"/>
    </row>
    <row r="19" spans="1:7" ht="15">
      <c r="A19" s="376" t="str">
        <f>CONCATENATE("your ",inputPrYr!C5-1," numbers to see what steps might be necessary to")</f>
        <v>your 2011 numbers to see what steps might be necessary to</v>
      </c>
      <c r="B19" s="376"/>
      <c r="C19" s="376"/>
      <c r="D19" s="376"/>
      <c r="E19" s="376"/>
      <c r="F19" s="376"/>
      <c r="G19" s="376"/>
    </row>
    <row r="20" spans="1:7" ht="15">
      <c r="A20" s="376" t="s">
        <v>540</v>
      </c>
      <c r="B20" s="376"/>
      <c r="C20" s="376"/>
      <c r="D20" s="376"/>
      <c r="E20" s="376"/>
      <c r="F20" s="376"/>
      <c r="G20" s="376"/>
    </row>
    <row r="21" spans="1:7" ht="15">
      <c r="A21" s="376" t="s">
        <v>541</v>
      </c>
      <c r="B21" s="376"/>
      <c r="C21" s="376"/>
      <c r="D21" s="376"/>
      <c r="E21" s="376"/>
      <c r="F21" s="376"/>
      <c r="G21" s="376"/>
    </row>
    <row r="22" ht="15">
      <c r="A22" s="376"/>
    </row>
    <row r="23" ht="15">
      <c r="A23" s="377" t="s">
        <v>542</v>
      </c>
    </row>
    <row r="24" ht="15">
      <c r="A24" s="377"/>
    </row>
    <row r="25" ht="15">
      <c r="A25" s="376" t="s">
        <v>543</v>
      </c>
    </row>
    <row r="26" spans="1:6" ht="15">
      <c r="A26" s="376" t="s">
        <v>544</v>
      </c>
      <c r="B26" s="376"/>
      <c r="C26" s="376"/>
      <c r="D26" s="376"/>
      <c r="E26" s="376"/>
      <c r="F26" s="376"/>
    </row>
    <row r="27" spans="1:6" ht="15">
      <c r="A27" s="376" t="s">
        <v>545</v>
      </c>
      <c r="B27" s="376"/>
      <c r="C27" s="376"/>
      <c r="D27" s="376"/>
      <c r="E27" s="376"/>
      <c r="F27" s="376"/>
    </row>
    <row r="28" spans="1:6" ht="15">
      <c r="A28" s="376" t="s">
        <v>546</v>
      </c>
      <c r="B28" s="376"/>
      <c r="C28" s="376"/>
      <c r="D28" s="376"/>
      <c r="E28" s="376"/>
      <c r="F28" s="376"/>
    </row>
    <row r="29" spans="1:6" ht="15">
      <c r="A29" s="376"/>
      <c r="B29" s="376"/>
      <c r="C29" s="376"/>
      <c r="D29" s="376"/>
      <c r="E29" s="376"/>
      <c r="F29" s="376"/>
    </row>
    <row r="30" spans="1:7" ht="15">
      <c r="A30" s="377" t="s">
        <v>547</v>
      </c>
      <c r="B30" s="377"/>
      <c r="C30" s="377"/>
      <c r="D30" s="377"/>
      <c r="E30" s="377"/>
      <c r="F30" s="377"/>
      <c r="G30" s="377"/>
    </row>
    <row r="31" spans="1:7" ht="15">
      <c r="A31" s="377" t="s">
        <v>548</v>
      </c>
      <c r="B31" s="377"/>
      <c r="C31" s="377"/>
      <c r="D31" s="377"/>
      <c r="E31" s="377"/>
      <c r="F31" s="377"/>
      <c r="G31" s="377"/>
    </row>
    <row r="32" spans="1:6" ht="15">
      <c r="A32" s="376"/>
      <c r="B32" s="376"/>
      <c r="C32" s="376"/>
      <c r="D32" s="376"/>
      <c r="E32" s="376"/>
      <c r="F32" s="376"/>
    </row>
    <row r="33" spans="1:6" ht="15">
      <c r="A33" s="374" t="str">
        <f>CONCATENATE("Well, let's look to see if any of your ",inputPrYr!C5-1," expenditures can")</f>
        <v>Well, let's look to see if any of your 2011 expenditures can</v>
      </c>
      <c r="B33" s="376"/>
      <c r="C33" s="376"/>
      <c r="D33" s="376"/>
      <c r="E33" s="376"/>
      <c r="F33" s="376"/>
    </row>
    <row r="34" spans="1:6" ht="15">
      <c r="A34" s="374" t="s">
        <v>549</v>
      </c>
      <c r="B34" s="376"/>
      <c r="C34" s="376"/>
      <c r="D34" s="376"/>
      <c r="E34" s="376"/>
      <c r="F34" s="376"/>
    </row>
    <row r="35" spans="1:6" ht="15">
      <c r="A35" s="374" t="s">
        <v>693</v>
      </c>
      <c r="B35" s="376"/>
      <c r="C35" s="376"/>
      <c r="D35" s="376"/>
      <c r="E35" s="376"/>
      <c r="F35" s="376"/>
    </row>
    <row r="36" spans="1:6" ht="15">
      <c r="A36" s="374" t="s">
        <v>694</v>
      </c>
      <c r="B36" s="376"/>
      <c r="C36" s="376"/>
      <c r="D36" s="376"/>
      <c r="E36" s="376"/>
      <c r="F36" s="376"/>
    </row>
    <row r="37" spans="1:6" ht="15">
      <c r="A37" s="374"/>
      <c r="B37" s="376"/>
      <c r="C37" s="376"/>
      <c r="D37" s="376"/>
      <c r="E37" s="376"/>
      <c r="F37" s="376"/>
    </row>
    <row r="38" spans="1:6" ht="15">
      <c r="A38" s="374" t="str">
        <f>CONCATENATE("Additionally, do your ",inputPrYr!C5-1," receipts contain a reimbursement")</f>
        <v>Additionally, do your 2011 receipts contain a reimbursement</v>
      </c>
      <c r="B38" s="376"/>
      <c r="C38" s="376"/>
      <c r="D38" s="376"/>
      <c r="E38" s="376"/>
      <c r="F38" s="376"/>
    </row>
    <row r="39" spans="1:6" ht="15">
      <c r="A39" s="374" t="s">
        <v>695</v>
      </c>
      <c r="B39" s="376"/>
      <c r="C39" s="376"/>
      <c r="D39" s="376"/>
      <c r="E39" s="376"/>
      <c r="F39" s="376"/>
    </row>
    <row r="40" spans="1:6" ht="15">
      <c r="A40" s="374" t="s">
        <v>696</v>
      </c>
      <c r="B40" s="376"/>
      <c r="C40" s="376"/>
      <c r="D40" s="376"/>
      <c r="E40" s="376"/>
      <c r="F40" s="376"/>
    </row>
    <row r="41" spans="1:6" ht="15">
      <c r="A41" s="374"/>
      <c r="B41" s="376"/>
      <c r="C41" s="376"/>
      <c r="D41" s="376"/>
      <c r="E41" s="376"/>
      <c r="F41" s="376"/>
    </row>
    <row r="42" spans="1:6" ht="15">
      <c r="A42" s="374" t="s">
        <v>697</v>
      </c>
      <c r="B42" s="376"/>
      <c r="C42" s="376"/>
      <c r="D42" s="376"/>
      <c r="E42" s="376"/>
      <c r="F42" s="376"/>
    </row>
    <row r="43" spans="1:6" ht="15">
      <c r="A43" s="374" t="s">
        <v>698</v>
      </c>
      <c r="B43" s="376"/>
      <c r="C43" s="376"/>
      <c r="D43" s="376"/>
      <c r="E43" s="376"/>
      <c r="F43" s="376"/>
    </row>
    <row r="44" spans="1:6" ht="15">
      <c r="A44" s="374" t="s">
        <v>699</v>
      </c>
      <c r="B44" s="376"/>
      <c r="C44" s="376"/>
      <c r="D44" s="376"/>
      <c r="E44" s="376"/>
      <c r="F44" s="376"/>
    </row>
    <row r="45" spans="1:6" ht="15">
      <c r="A45" s="374" t="s">
        <v>550</v>
      </c>
      <c r="B45" s="376"/>
      <c r="C45" s="376"/>
      <c r="D45" s="376"/>
      <c r="E45" s="376"/>
      <c r="F45" s="376"/>
    </row>
    <row r="46" spans="1:6" ht="15">
      <c r="A46" s="374" t="s">
        <v>701</v>
      </c>
      <c r="B46" s="376"/>
      <c r="C46" s="376"/>
      <c r="D46" s="376"/>
      <c r="E46" s="376"/>
      <c r="F46" s="376"/>
    </row>
    <row r="47" spans="1:6" ht="15">
      <c r="A47" s="374" t="s">
        <v>551</v>
      </c>
      <c r="B47" s="376"/>
      <c r="C47" s="376"/>
      <c r="D47" s="376"/>
      <c r="E47" s="376"/>
      <c r="F47" s="376"/>
    </row>
    <row r="48" spans="1:6" ht="15">
      <c r="A48" s="374" t="s">
        <v>552</v>
      </c>
      <c r="B48" s="376"/>
      <c r="C48" s="376"/>
      <c r="D48" s="376"/>
      <c r="E48" s="376"/>
      <c r="F48" s="376"/>
    </row>
    <row r="49" spans="1:6" ht="15">
      <c r="A49" s="374" t="s">
        <v>704</v>
      </c>
      <c r="B49" s="376"/>
      <c r="C49" s="376"/>
      <c r="D49" s="376"/>
      <c r="E49" s="376"/>
      <c r="F49" s="376"/>
    </row>
    <row r="50" spans="1:6" ht="15">
      <c r="A50" s="374"/>
      <c r="B50" s="376"/>
      <c r="C50" s="376"/>
      <c r="D50" s="376"/>
      <c r="E50" s="376"/>
      <c r="F50" s="376"/>
    </row>
    <row r="51" spans="1:6" ht="15">
      <c r="A51" s="374" t="s">
        <v>705</v>
      </c>
      <c r="B51" s="376"/>
      <c r="C51" s="376"/>
      <c r="D51" s="376"/>
      <c r="E51" s="376"/>
      <c r="F51" s="376"/>
    </row>
    <row r="52" spans="1:6" ht="15">
      <c r="A52" s="374" t="s">
        <v>706</v>
      </c>
      <c r="B52" s="376"/>
      <c r="C52" s="376"/>
      <c r="D52" s="376"/>
      <c r="E52" s="376"/>
      <c r="F52" s="376"/>
    </row>
    <row r="53" spans="1:6" ht="15">
      <c r="A53" s="374" t="s">
        <v>707</v>
      </c>
      <c r="B53" s="376"/>
      <c r="C53" s="376"/>
      <c r="D53" s="376"/>
      <c r="E53" s="376"/>
      <c r="F53" s="376"/>
    </row>
    <row r="54" spans="1:6" ht="15">
      <c r="A54" s="374"/>
      <c r="B54" s="376"/>
      <c r="C54" s="376"/>
      <c r="D54" s="376"/>
      <c r="E54" s="376"/>
      <c r="F54" s="376"/>
    </row>
    <row r="55" spans="1:6" ht="15">
      <c r="A55" s="374" t="s">
        <v>553</v>
      </c>
      <c r="B55" s="376"/>
      <c r="C55" s="376"/>
      <c r="D55" s="376"/>
      <c r="E55" s="376"/>
      <c r="F55" s="376"/>
    </row>
    <row r="56" spans="1:6" ht="15">
      <c r="A56" s="374" t="s">
        <v>554</v>
      </c>
      <c r="B56" s="376"/>
      <c r="C56" s="376"/>
      <c r="D56" s="376"/>
      <c r="E56" s="376"/>
      <c r="F56" s="376"/>
    </row>
    <row r="57" spans="1:6" ht="15">
      <c r="A57" s="374" t="s">
        <v>555</v>
      </c>
      <c r="B57" s="376"/>
      <c r="C57" s="376"/>
      <c r="D57" s="376"/>
      <c r="E57" s="376"/>
      <c r="F57" s="376"/>
    </row>
    <row r="58" spans="1:6" ht="15">
      <c r="A58" s="374" t="s">
        <v>556</v>
      </c>
      <c r="B58" s="376"/>
      <c r="C58" s="376"/>
      <c r="D58" s="376"/>
      <c r="E58" s="376"/>
      <c r="F58" s="376"/>
    </row>
    <row r="59" spans="1:6" ht="15">
      <c r="A59" s="374" t="s">
        <v>557</v>
      </c>
      <c r="B59" s="376"/>
      <c r="C59" s="376"/>
      <c r="D59" s="376"/>
      <c r="E59" s="376"/>
      <c r="F59" s="376"/>
    </row>
    <row r="60" spans="1:6" ht="15">
      <c r="A60" s="374"/>
      <c r="B60" s="376"/>
      <c r="C60" s="376"/>
      <c r="D60" s="376"/>
      <c r="E60" s="376"/>
      <c r="F60" s="376"/>
    </row>
    <row r="61" spans="1:6" ht="15">
      <c r="A61" s="373" t="s">
        <v>558</v>
      </c>
      <c r="B61" s="376"/>
      <c r="C61" s="376"/>
      <c r="D61" s="376"/>
      <c r="E61" s="376"/>
      <c r="F61" s="376"/>
    </row>
    <row r="62" spans="1:6" ht="15">
      <c r="A62" s="373" t="s">
        <v>559</v>
      </c>
      <c r="B62" s="376"/>
      <c r="C62" s="376"/>
      <c r="D62" s="376"/>
      <c r="E62" s="376"/>
      <c r="F62" s="376"/>
    </row>
    <row r="63" spans="1:6" ht="15">
      <c r="A63" s="373" t="s">
        <v>560</v>
      </c>
      <c r="B63" s="376"/>
      <c r="C63" s="376"/>
      <c r="D63" s="376"/>
      <c r="E63" s="376"/>
      <c r="F63" s="376"/>
    </row>
    <row r="64" ht="15">
      <c r="A64" s="373" t="s">
        <v>561</v>
      </c>
    </row>
    <row r="65" ht="15">
      <c r="A65" s="373" t="s">
        <v>562</v>
      </c>
    </row>
    <row r="66" ht="15">
      <c r="A66" s="373" t="s">
        <v>563</v>
      </c>
    </row>
    <row r="68" ht="15">
      <c r="A68" s="376" t="s">
        <v>564</v>
      </c>
    </row>
    <row r="69" ht="15">
      <c r="A69" s="376" t="s">
        <v>565</v>
      </c>
    </row>
    <row r="70" ht="15">
      <c r="A70" s="376" t="s">
        <v>566</v>
      </c>
    </row>
    <row r="71" ht="15">
      <c r="A71" s="376" t="s">
        <v>567</v>
      </c>
    </row>
    <row r="72" ht="15">
      <c r="A72" s="376" t="s">
        <v>568</v>
      </c>
    </row>
    <row r="73" ht="15">
      <c r="A73" s="376" t="s">
        <v>569</v>
      </c>
    </row>
    <row r="75" ht="15">
      <c r="A75" s="376" t="s">
        <v>474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5" t="s">
        <v>570</v>
      </c>
      <c r="B3" s="375"/>
      <c r="C3" s="375"/>
      <c r="D3" s="375"/>
      <c r="E3" s="375"/>
      <c r="F3" s="375"/>
      <c r="G3" s="375"/>
    </row>
    <row r="4" spans="1:7" ht="15">
      <c r="A4" s="375"/>
      <c r="B4" s="375"/>
      <c r="C4" s="375"/>
      <c r="D4" s="375"/>
      <c r="E4" s="375"/>
      <c r="F4" s="375"/>
      <c r="G4" s="375"/>
    </row>
    <row r="5" ht="15">
      <c r="A5" s="376" t="s">
        <v>476</v>
      </c>
    </row>
    <row r="6" ht="15">
      <c r="A6" s="376" t="str">
        <f>CONCATENATE(inputPrYr!C5," estimated expenditures show that at the end of this year")</f>
        <v>2012 estimated expenditures show that at the end of this year</v>
      </c>
    </row>
    <row r="7" ht="15">
      <c r="A7" s="376" t="s">
        <v>571</v>
      </c>
    </row>
    <row r="8" ht="15">
      <c r="A8" s="376" t="s">
        <v>572</v>
      </c>
    </row>
    <row r="10" ht="15">
      <c r="A10" t="s">
        <v>478</v>
      </c>
    </row>
    <row r="11" ht="15">
      <c r="A11" t="s">
        <v>479</v>
      </c>
    </row>
    <row r="12" ht="15">
      <c r="A12" t="s">
        <v>480</v>
      </c>
    </row>
    <row r="13" spans="1:7" ht="15">
      <c r="A13" s="375"/>
      <c r="B13" s="375"/>
      <c r="C13" s="375"/>
      <c r="D13" s="375"/>
      <c r="E13" s="375"/>
      <c r="F13" s="375"/>
      <c r="G13" s="375"/>
    </row>
    <row r="14" ht="15">
      <c r="A14" s="377" t="s">
        <v>573</v>
      </c>
    </row>
    <row r="15" ht="15">
      <c r="A15" s="376"/>
    </row>
    <row r="16" ht="15">
      <c r="A16" s="376" t="s">
        <v>574</v>
      </c>
    </row>
    <row r="17" ht="15">
      <c r="A17" s="376" t="s">
        <v>575</v>
      </c>
    </row>
    <row r="18" ht="15">
      <c r="A18" s="376" t="s">
        <v>576</v>
      </c>
    </row>
    <row r="19" ht="15">
      <c r="A19" s="376"/>
    </row>
    <row r="20" ht="15">
      <c r="A20" s="376" t="s">
        <v>577</v>
      </c>
    </row>
    <row r="21" ht="15">
      <c r="A21" s="376" t="s">
        <v>578</v>
      </c>
    </row>
    <row r="22" ht="15">
      <c r="A22" s="376" t="s">
        <v>579</v>
      </c>
    </row>
    <row r="23" ht="15">
      <c r="A23" s="376" t="s">
        <v>580</v>
      </c>
    </row>
    <row r="24" ht="15">
      <c r="A24" s="376"/>
    </row>
    <row r="25" ht="15">
      <c r="A25" s="377" t="s">
        <v>542</v>
      </c>
    </row>
    <row r="26" ht="15">
      <c r="A26" s="377"/>
    </row>
    <row r="27" ht="15">
      <c r="A27" s="376" t="s">
        <v>543</v>
      </c>
    </row>
    <row r="28" spans="1:6" ht="15">
      <c r="A28" s="376" t="s">
        <v>544</v>
      </c>
      <c r="B28" s="376"/>
      <c r="C28" s="376"/>
      <c r="D28" s="376"/>
      <c r="E28" s="376"/>
      <c r="F28" s="376"/>
    </row>
    <row r="29" spans="1:6" ht="15">
      <c r="A29" s="376" t="s">
        <v>545</v>
      </c>
      <c r="B29" s="376"/>
      <c r="C29" s="376"/>
      <c r="D29" s="376"/>
      <c r="E29" s="376"/>
      <c r="F29" s="376"/>
    </row>
    <row r="30" spans="1:6" ht="15">
      <c r="A30" s="376" t="s">
        <v>546</v>
      </c>
      <c r="B30" s="376"/>
      <c r="C30" s="376"/>
      <c r="D30" s="376"/>
      <c r="E30" s="376"/>
      <c r="F30" s="376"/>
    </row>
    <row r="31" ht="15">
      <c r="A31" s="376"/>
    </row>
    <row r="32" spans="1:7" ht="15">
      <c r="A32" s="377" t="s">
        <v>547</v>
      </c>
      <c r="B32" s="377"/>
      <c r="C32" s="377"/>
      <c r="D32" s="377"/>
      <c r="E32" s="377"/>
      <c r="F32" s="377"/>
      <c r="G32" s="377"/>
    </row>
    <row r="33" spans="1:7" ht="15">
      <c r="A33" s="377" t="s">
        <v>548</v>
      </c>
      <c r="B33" s="377"/>
      <c r="C33" s="377"/>
      <c r="D33" s="377"/>
      <c r="E33" s="377"/>
      <c r="F33" s="377"/>
      <c r="G33" s="377"/>
    </row>
    <row r="34" spans="1:7" ht="15">
      <c r="A34" s="377"/>
      <c r="B34" s="377"/>
      <c r="C34" s="377"/>
      <c r="D34" s="377"/>
      <c r="E34" s="377"/>
      <c r="F34" s="377"/>
      <c r="G34" s="377"/>
    </row>
    <row r="35" spans="1:7" ht="15">
      <c r="A35" s="376" t="s">
        <v>581</v>
      </c>
      <c r="B35" s="376"/>
      <c r="C35" s="376"/>
      <c r="D35" s="376"/>
      <c r="E35" s="376"/>
      <c r="F35" s="376"/>
      <c r="G35" s="376"/>
    </row>
    <row r="36" spans="1:7" ht="15">
      <c r="A36" s="376" t="s">
        <v>582</v>
      </c>
      <c r="B36" s="376"/>
      <c r="C36" s="376"/>
      <c r="D36" s="376"/>
      <c r="E36" s="376"/>
      <c r="F36" s="376"/>
      <c r="G36" s="376"/>
    </row>
    <row r="37" spans="1:7" ht="15">
      <c r="A37" s="376" t="s">
        <v>583</v>
      </c>
      <c r="B37" s="376"/>
      <c r="C37" s="376"/>
      <c r="D37" s="376"/>
      <c r="E37" s="376"/>
      <c r="F37" s="376"/>
      <c r="G37" s="376"/>
    </row>
    <row r="38" spans="1:7" ht="15">
      <c r="A38" s="376" t="s">
        <v>584</v>
      </c>
      <c r="B38" s="376"/>
      <c r="C38" s="376"/>
      <c r="D38" s="376"/>
      <c r="E38" s="376"/>
      <c r="F38" s="376"/>
      <c r="G38" s="376"/>
    </row>
    <row r="39" spans="1:7" ht="15">
      <c r="A39" s="376" t="s">
        <v>585</v>
      </c>
      <c r="B39" s="376"/>
      <c r="C39" s="376"/>
      <c r="D39" s="376"/>
      <c r="E39" s="376"/>
      <c r="F39" s="376"/>
      <c r="G39" s="376"/>
    </row>
    <row r="40" spans="1:7" ht="15">
      <c r="A40" s="377"/>
      <c r="B40" s="377"/>
      <c r="C40" s="377"/>
      <c r="D40" s="377"/>
      <c r="E40" s="377"/>
      <c r="F40" s="377"/>
      <c r="G40" s="377"/>
    </row>
    <row r="41" spans="1:6" ht="15">
      <c r="A41" s="374" t="str">
        <f>CONCATENATE("So, let's look to see if any of your ",inputPrYr!C5-1," expenditures can")</f>
        <v>So, let's look to see if any of your 2011 expenditures can</v>
      </c>
      <c r="B41" s="376"/>
      <c r="C41" s="376"/>
      <c r="D41" s="376"/>
      <c r="E41" s="376"/>
      <c r="F41" s="376"/>
    </row>
    <row r="42" spans="1:6" ht="15">
      <c r="A42" s="374" t="s">
        <v>549</v>
      </c>
      <c r="B42" s="376"/>
      <c r="C42" s="376"/>
      <c r="D42" s="376"/>
      <c r="E42" s="376"/>
      <c r="F42" s="376"/>
    </row>
    <row r="43" spans="1:6" ht="15">
      <c r="A43" s="374" t="s">
        <v>693</v>
      </c>
      <c r="B43" s="376"/>
      <c r="C43" s="376"/>
      <c r="D43" s="376"/>
      <c r="E43" s="376"/>
      <c r="F43" s="376"/>
    </row>
    <row r="44" spans="1:6" ht="15">
      <c r="A44" s="374" t="s">
        <v>694</v>
      </c>
      <c r="B44" s="376"/>
      <c r="C44" s="376"/>
      <c r="D44" s="376"/>
      <c r="E44" s="376"/>
      <c r="F44" s="376"/>
    </row>
    <row r="45" ht="15">
      <c r="A45" s="376"/>
    </row>
    <row r="46" spans="1:6" ht="15">
      <c r="A46" s="374" t="str">
        <f>CONCATENATE("Additionally, do your ",inputPrYr!C5-1," receipts contain a reimbursement")</f>
        <v>Additionally, do your 2011 receipts contain a reimbursement</v>
      </c>
      <c r="B46" s="376"/>
      <c r="C46" s="376"/>
      <c r="D46" s="376"/>
      <c r="E46" s="376"/>
      <c r="F46" s="376"/>
    </row>
    <row r="47" spans="1:6" ht="15">
      <c r="A47" s="374" t="s">
        <v>695</v>
      </c>
      <c r="B47" s="376"/>
      <c r="C47" s="376"/>
      <c r="D47" s="376"/>
      <c r="E47" s="376"/>
      <c r="F47" s="376"/>
    </row>
    <row r="48" spans="1:6" ht="15">
      <c r="A48" s="374" t="s">
        <v>696</v>
      </c>
      <c r="B48" s="376"/>
      <c r="C48" s="376"/>
      <c r="D48" s="376"/>
      <c r="E48" s="376"/>
      <c r="F48" s="376"/>
    </row>
    <row r="49" spans="1:7" ht="15">
      <c r="A49" s="376"/>
      <c r="B49" s="376"/>
      <c r="C49" s="376"/>
      <c r="D49" s="376"/>
      <c r="E49" s="376"/>
      <c r="F49" s="376"/>
      <c r="G49" s="376"/>
    </row>
    <row r="50" spans="1:7" ht="15">
      <c r="A50" s="376" t="s">
        <v>503</v>
      </c>
      <c r="B50" s="376"/>
      <c r="C50" s="376"/>
      <c r="D50" s="376"/>
      <c r="E50" s="376"/>
      <c r="F50" s="376"/>
      <c r="G50" s="376"/>
    </row>
    <row r="51" spans="1:7" ht="15">
      <c r="A51" s="376" t="s">
        <v>504</v>
      </c>
      <c r="B51" s="376"/>
      <c r="C51" s="376"/>
      <c r="D51" s="376"/>
      <c r="E51" s="376"/>
      <c r="F51" s="376"/>
      <c r="G51" s="376"/>
    </row>
    <row r="52" spans="1:7" ht="15">
      <c r="A52" s="376" t="s">
        <v>505</v>
      </c>
      <c r="B52" s="376"/>
      <c r="C52" s="376"/>
      <c r="D52" s="376"/>
      <c r="E52" s="376"/>
      <c r="F52" s="376"/>
      <c r="G52" s="376"/>
    </row>
    <row r="53" spans="1:7" ht="15">
      <c r="A53" s="376" t="s">
        <v>506</v>
      </c>
      <c r="B53" s="376"/>
      <c r="C53" s="376"/>
      <c r="D53" s="376"/>
      <c r="E53" s="376"/>
      <c r="F53" s="376"/>
      <c r="G53" s="376"/>
    </row>
    <row r="54" spans="1:7" ht="15">
      <c r="A54" s="376" t="s">
        <v>507</v>
      </c>
      <c r="B54" s="376"/>
      <c r="C54" s="376"/>
      <c r="D54" s="376"/>
      <c r="E54" s="376"/>
      <c r="F54" s="376"/>
      <c r="G54" s="376"/>
    </row>
    <row r="55" spans="1:7" ht="15">
      <c r="A55" s="376"/>
      <c r="B55" s="376"/>
      <c r="C55" s="376"/>
      <c r="D55" s="376"/>
      <c r="E55" s="376"/>
      <c r="F55" s="376"/>
      <c r="G55" s="376"/>
    </row>
    <row r="56" spans="1:6" ht="15">
      <c r="A56" s="374" t="s">
        <v>705</v>
      </c>
      <c r="B56" s="376"/>
      <c r="C56" s="376"/>
      <c r="D56" s="376"/>
      <c r="E56" s="376"/>
      <c r="F56" s="376"/>
    </row>
    <row r="57" spans="1:6" ht="15">
      <c r="A57" s="374" t="s">
        <v>706</v>
      </c>
      <c r="B57" s="376"/>
      <c r="C57" s="376"/>
      <c r="D57" s="376"/>
      <c r="E57" s="376"/>
      <c r="F57" s="376"/>
    </row>
    <row r="58" spans="1:6" ht="15">
      <c r="A58" s="374" t="s">
        <v>707</v>
      </c>
      <c r="B58" s="376"/>
      <c r="C58" s="376"/>
      <c r="D58" s="376"/>
      <c r="E58" s="376"/>
      <c r="F58" s="376"/>
    </row>
    <row r="59" spans="1:6" ht="15">
      <c r="A59" s="374"/>
      <c r="B59" s="376"/>
      <c r="C59" s="376"/>
      <c r="D59" s="376"/>
      <c r="E59" s="376"/>
      <c r="F59" s="376"/>
    </row>
    <row r="60" spans="1:7" ht="15">
      <c r="A60" s="376" t="s">
        <v>586</v>
      </c>
      <c r="B60" s="376"/>
      <c r="C60" s="376"/>
      <c r="D60" s="376"/>
      <c r="E60" s="376"/>
      <c r="F60" s="376"/>
      <c r="G60" s="376"/>
    </row>
    <row r="61" spans="1:7" ht="15">
      <c r="A61" s="376" t="s">
        <v>587</v>
      </c>
      <c r="B61" s="376"/>
      <c r="C61" s="376"/>
      <c r="D61" s="376"/>
      <c r="E61" s="376"/>
      <c r="F61" s="376"/>
      <c r="G61" s="376"/>
    </row>
    <row r="62" spans="1:7" ht="15">
      <c r="A62" s="376" t="s">
        <v>588</v>
      </c>
      <c r="B62" s="376"/>
      <c r="C62" s="376"/>
      <c r="D62" s="376"/>
      <c r="E62" s="376"/>
      <c r="F62" s="376"/>
      <c r="G62" s="376"/>
    </row>
    <row r="63" spans="1:7" ht="15">
      <c r="A63" s="376" t="s">
        <v>589</v>
      </c>
      <c r="B63" s="376"/>
      <c r="C63" s="376"/>
      <c r="D63" s="376"/>
      <c r="E63" s="376"/>
      <c r="F63" s="376"/>
      <c r="G63" s="376"/>
    </row>
    <row r="64" spans="1:7" ht="15">
      <c r="A64" s="376" t="s">
        <v>590</v>
      </c>
      <c r="B64" s="376"/>
      <c r="C64" s="376"/>
      <c r="D64" s="376"/>
      <c r="E64" s="376"/>
      <c r="F64" s="376"/>
      <c r="G64" s="376"/>
    </row>
    <row r="66" spans="1:6" ht="15">
      <c r="A66" s="374" t="s">
        <v>553</v>
      </c>
      <c r="B66" s="376"/>
      <c r="C66" s="376"/>
      <c r="D66" s="376"/>
      <c r="E66" s="376"/>
      <c r="F66" s="376"/>
    </row>
    <row r="67" spans="1:6" ht="15">
      <c r="A67" s="374" t="s">
        <v>554</v>
      </c>
      <c r="B67" s="376"/>
      <c r="C67" s="376"/>
      <c r="D67" s="376"/>
      <c r="E67" s="376"/>
      <c r="F67" s="376"/>
    </row>
    <row r="68" spans="1:6" ht="15">
      <c r="A68" s="374" t="s">
        <v>555</v>
      </c>
      <c r="B68" s="376"/>
      <c r="C68" s="376"/>
      <c r="D68" s="376"/>
      <c r="E68" s="376"/>
      <c r="F68" s="376"/>
    </row>
    <row r="69" spans="1:6" ht="15">
      <c r="A69" s="374" t="s">
        <v>556</v>
      </c>
      <c r="B69" s="376"/>
      <c r="C69" s="376"/>
      <c r="D69" s="376"/>
      <c r="E69" s="376"/>
      <c r="F69" s="376"/>
    </row>
    <row r="70" spans="1:6" ht="15">
      <c r="A70" s="374" t="s">
        <v>557</v>
      </c>
      <c r="B70" s="376"/>
      <c r="C70" s="376"/>
      <c r="D70" s="376"/>
      <c r="E70" s="376"/>
      <c r="F70" s="376"/>
    </row>
    <row r="71" ht="15">
      <c r="A71" s="376"/>
    </row>
    <row r="72" ht="15">
      <c r="A72" s="376" t="s">
        <v>474</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5" t="s">
        <v>591</v>
      </c>
      <c r="B3" s="375"/>
      <c r="C3" s="375"/>
      <c r="D3" s="375"/>
      <c r="E3" s="375"/>
      <c r="F3" s="375"/>
      <c r="G3" s="375"/>
    </row>
    <row r="4" spans="1:7" ht="15">
      <c r="A4" s="375" t="s">
        <v>592</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679</v>
      </c>
    </row>
    <row r="8" ht="15">
      <c r="A8" s="376" t="str">
        <f>CONCATENATE("estimated ",inputPrYr!C5," 'total expenditures' exceed your ",inputPrYr!C5,"")</f>
        <v>estimated 2012 'total expenditures' exceed your 2012</v>
      </c>
    </row>
    <row r="9" ht="15">
      <c r="A9" s="379" t="s">
        <v>593</v>
      </c>
    </row>
    <row r="10" ht="15">
      <c r="A10" s="376"/>
    </row>
    <row r="11" ht="15">
      <c r="A11" s="376" t="s">
        <v>594</v>
      </c>
    </row>
    <row r="12" ht="15">
      <c r="A12" s="376" t="s">
        <v>595</v>
      </c>
    </row>
    <row r="13" ht="15">
      <c r="A13" s="376" t="s">
        <v>596</v>
      </c>
    </row>
    <row r="14" ht="15">
      <c r="A14" s="376"/>
    </row>
    <row r="15" ht="15">
      <c r="A15" s="377" t="s">
        <v>597</v>
      </c>
    </row>
    <row r="16" spans="1:7" ht="15">
      <c r="A16" s="375"/>
      <c r="B16" s="375"/>
      <c r="C16" s="375"/>
      <c r="D16" s="375"/>
      <c r="E16" s="375"/>
      <c r="F16" s="375"/>
      <c r="G16" s="375"/>
    </row>
    <row r="17" spans="1:8" ht="15">
      <c r="A17" s="380" t="s">
        <v>598</v>
      </c>
      <c r="B17" s="381"/>
      <c r="C17" s="381"/>
      <c r="D17" s="381"/>
      <c r="E17" s="381"/>
      <c r="F17" s="381"/>
      <c r="G17" s="381"/>
      <c r="H17" s="381"/>
    </row>
    <row r="18" spans="1:7" ht="15">
      <c r="A18" s="376" t="s">
        <v>599</v>
      </c>
      <c r="B18" s="382"/>
      <c r="C18" s="382"/>
      <c r="D18" s="382"/>
      <c r="E18" s="382"/>
      <c r="F18" s="382"/>
      <c r="G18" s="382"/>
    </row>
    <row r="19" ht="15">
      <c r="A19" s="376" t="s">
        <v>600</v>
      </c>
    </row>
    <row r="20" ht="15">
      <c r="A20" s="376" t="s">
        <v>601</v>
      </c>
    </row>
    <row r="22" ht="15">
      <c r="A22" s="377" t="s">
        <v>602</v>
      </c>
    </row>
    <row r="24" ht="15">
      <c r="A24" s="376" t="s">
        <v>603</v>
      </c>
    </row>
    <row r="25" ht="15">
      <c r="A25" s="376" t="s">
        <v>604</v>
      </c>
    </row>
    <row r="26" ht="15">
      <c r="A26" s="376" t="s">
        <v>605</v>
      </c>
    </row>
    <row r="28" ht="15">
      <c r="A28" s="377" t="s">
        <v>606</v>
      </c>
    </row>
    <row r="30" ht="15">
      <c r="A30" t="s">
        <v>607</v>
      </c>
    </row>
    <row r="31" ht="15">
      <c r="A31" t="s">
        <v>608</v>
      </c>
    </row>
    <row r="32" ht="15">
      <c r="A32" t="s">
        <v>609</v>
      </c>
    </row>
    <row r="33" ht="15">
      <c r="A33" s="376" t="s">
        <v>610</v>
      </c>
    </row>
    <row r="35" ht="15">
      <c r="A35" t="s">
        <v>611</v>
      </c>
    </row>
    <row r="36" ht="15">
      <c r="A36" t="s">
        <v>612</v>
      </c>
    </row>
    <row r="37" ht="15">
      <c r="A37" t="s">
        <v>613</v>
      </c>
    </row>
    <row r="38" ht="15">
      <c r="A38" t="s">
        <v>614</v>
      </c>
    </row>
    <row r="40" ht="15">
      <c r="A40" t="s">
        <v>615</v>
      </c>
    </row>
    <row r="41" ht="15">
      <c r="A41" t="s">
        <v>0</v>
      </c>
    </row>
    <row r="42" ht="15">
      <c r="A42" t="s">
        <v>1</v>
      </c>
    </row>
    <row r="43" ht="15">
      <c r="A43" t="s">
        <v>2</v>
      </c>
    </row>
    <row r="44" ht="15">
      <c r="A44" t="s">
        <v>3</v>
      </c>
    </row>
    <row r="45" ht="15">
      <c r="A45" t="s">
        <v>4</v>
      </c>
    </row>
    <row r="47" ht="15">
      <c r="A47" t="s">
        <v>5</v>
      </c>
    </row>
    <row r="48" ht="15">
      <c r="A48" t="s">
        <v>6</v>
      </c>
    </row>
    <row r="49" ht="15">
      <c r="A49" s="376" t="s">
        <v>7</v>
      </c>
    </row>
    <row r="50" ht="15">
      <c r="A50" s="376" t="s">
        <v>8</v>
      </c>
    </row>
    <row r="52" ht="15">
      <c r="A52" t="s">
        <v>474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7.xml><?xml version="1.0" encoding="utf-8"?>
<worksheet xmlns="http://schemas.openxmlformats.org/spreadsheetml/2006/main" xmlns:r="http://schemas.openxmlformats.org/officeDocument/2006/relationships">
  <dimension ref="A1:X354"/>
  <sheetViews>
    <sheetView zoomScaleSheetLayoutView="100" zoomScalePageLayoutView="0" workbookViewId="0" topLeftCell="A1">
      <selection activeCell="A1" sqref="A1:IV16384"/>
    </sheetView>
  </sheetViews>
  <sheetFormatPr defaultColWidth="8.796875" defaultRowHeight="15"/>
  <cols>
    <col min="1" max="1" width="7.59765625" style="466" customWidth="1"/>
    <col min="2" max="2" width="11.19921875" style="468" customWidth="1"/>
    <col min="3" max="3" width="7.3984375" style="468" customWidth="1"/>
    <col min="4" max="4" width="8.8984375" style="468" customWidth="1"/>
    <col min="5" max="5" width="1.59765625" style="468" customWidth="1"/>
    <col min="6" max="6" width="14.296875" style="468" customWidth="1"/>
    <col min="7" max="7" width="2.59765625" style="468" customWidth="1"/>
    <col min="8" max="8" width="9.796875" style="468" customWidth="1"/>
    <col min="9" max="9" width="2" style="468" customWidth="1"/>
    <col min="10" max="10" width="8.59765625" style="468" customWidth="1"/>
    <col min="11" max="11" width="11.69921875" style="468"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7"/>
      <c r="B1" s="467"/>
      <c r="C1" s="467"/>
      <c r="D1" s="467"/>
      <c r="E1" s="467"/>
      <c r="F1" s="467"/>
      <c r="G1" s="467"/>
      <c r="H1" s="467"/>
      <c r="I1" s="467"/>
      <c r="J1" s="467"/>
      <c r="K1" s="467"/>
      <c r="L1" s="467"/>
    </row>
    <row r="2" spans="1:12" ht="14.25">
      <c r="A2" s="467"/>
      <c r="B2" s="467"/>
      <c r="C2" s="467"/>
      <c r="D2" s="467"/>
      <c r="E2" s="467"/>
      <c r="F2" s="467"/>
      <c r="G2" s="467"/>
      <c r="H2" s="467"/>
      <c r="I2" s="467"/>
      <c r="J2" s="467"/>
      <c r="K2" s="467"/>
      <c r="L2" s="467"/>
    </row>
    <row r="3" spans="1:12" ht="14.25">
      <c r="A3" s="467"/>
      <c r="B3" s="467"/>
      <c r="C3" s="467"/>
      <c r="D3" s="467"/>
      <c r="E3" s="467"/>
      <c r="F3" s="467"/>
      <c r="G3" s="467"/>
      <c r="H3" s="467"/>
      <c r="I3" s="467"/>
      <c r="J3" s="467"/>
      <c r="K3" s="467"/>
      <c r="L3" s="467"/>
    </row>
    <row r="4" spans="1:12" ht="14.25">
      <c r="A4" s="467"/>
      <c r="L4" s="467"/>
    </row>
    <row r="5" spans="1:12" ht="15" customHeight="1">
      <c r="A5" s="467"/>
      <c r="L5" s="467"/>
    </row>
    <row r="6" spans="1:12" ht="33" customHeight="1">
      <c r="A6" s="467"/>
      <c r="B6" s="734" t="s">
        <v>52</v>
      </c>
      <c r="C6" s="746"/>
      <c r="D6" s="746"/>
      <c r="E6" s="746"/>
      <c r="F6" s="746"/>
      <c r="G6" s="746"/>
      <c r="H6" s="746"/>
      <c r="I6" s="746"/>
      <c r="J6" s="746"/>
      <c r="K6" s="746"/>
      <c r="L6" s="469"/>
    </row>
    <row r="7" spans="1:12" ht="40.5" customHeight="1">
      <c r="A7" s="467"/>
      <c r="B7" s="747" t="s">
        <v>53</v>
      </c>
      <c r="C7" s="748"/>
      <c r="D7" s="748"/>
      <c r="E7" s="748"/>
      <c r="F7" s="748"/>
      <c r="G7" s="748"/>
      <c r="H7" s="748"/>
      <c r="I7" s="748"/>
      <c r="J7" s="748"/>
      <c r="K7" s="748"/>
      <c r="L7" s="467"/>
    </row>
    <row r="8" spans="1:12" ht="14.25">
      <c r="A8" s="467"/>
      <c r="B8" s="739" t="s">
        <v>54</v>
      </c>
      <c r="C8" s="739"/>
      <c r="D8" s="739"/>
      <c r="E8" s="739"/>
      <c r="F8" s="739"/>
      <c r="G8" s="739"/>
      <c r="H8" s="739"/>
      <c r="I8" s="739"/>
      <c r="J8" s="739"/>
      <c r="K8" s="739"/>
      <c r="L8" s="467"/>
    </row>
    <row r="9" spans="1:12" ht="14.25">
      <c r="A9" s="467"/>
      <c r="L9" s="467"/>
    </row>
    <row r="10" spans="1:12" ht="14.25">
      <c r="A10" s="467"/>
      <c r="B10" s="739" t="s">
        <v>55</v>
      </c>
      <c r="C10" s="739"/>
      <c r="D10" s="739"/>
      <c r="E10" s="739"/>
      <c r="F10" s="739"/>
      <c r="G10" s="739"/>
      <c r="H10" s="739"/>
      <c r="I10" s="739"/>
      <c r="J10" s="739"/>
      <c r="K10" s="739"/>
      <c r="L10" s="467"/>
    </row>
    <row r="11" spans="1:12" ht="14.25">
      <c r="A11" s="467"/>
      <c r="B11" s="612"/>
      <c r="C11" s="612"/>
      <c r="D11" s="612"/>
      <c r="E11" s="612"/>
      <c r="F11" s="612"/>
      <c r="G11" s="612"/>
      <c r="H11" s="612"/>
      <c r="I11" s="612"/>
      <c r="J11" s="612"/>
      <c r="K11" s="612"/>
      <c r="L11" s="467"/>
    </row>
    <row r="12" spans="1:12" ht="32.25" customHeight="1">
      <c r="A12" s="467"/>
      <c r="B12" s="736" t="s">
        <v>56</v>
      </c>
      <c r="C12" s="736"/>
      <c r="D12" s="736"/>
      <c r="E12" s="736"/>
      <c r="F12" s="736"/>
      <c r="G12" s="736"/>
      <c r="H12" s="736"/>
      <c r="I12" s="736"/>
      <c r="J12" s="736"/>
      <c r="K12" s="736"/>
      <c r="L12" s="467"/>
    </row>
    <row r="13" spans="1:12" ht="14.25">
      <c r="A13" s="467"/>
      <c r="L13" s="467"/>
    </row>
    <row r="14" spans="1:12" ht="14.25">
      <c r="A14" s="467"/>
      <c r="B14" s="470" t="s">
        <v>57</v>
      </c>
      <c r="L14" s="467"/>
    </row>
    <row r="15" spans="1:12" ht="14.25">
      <c r="A15" s="467"/>
      <c r="L15" s="467"/>
    </row>
    <row r="16" spans="1:12" ht="14.25">
      <c r="A16" s="467"/>
      <c r="B16" s="468" t="s">
        <v>58</v>
      </c>
      <c r="L16" s="467"/>
    </row>
    <row r="17" spans="1:12" ht="14.25">
      <c r="A17" s="467"/>
      <c r="B17" s="468" t="s">
        <v>59</v>
      </c>
      <c r="L17" s="467"/>
    </row>
    <row r="18" spans="1:12" ht="14.25">
      <c r="A18" s="467"/>
      <c r="L18" s="467"/>
    </row>
    <row r="19" spans="1:12" ht="14.25">
      <c r="A19" s="467"/>
      <c r="B19" s="470" t="s">
        <v>60</v>
      </c>
      <c r="L19" s="467"/>
    </row>
    <row r="20" spans="1:12" ht="14.25">
      <c r="A20" s="467"/>
      <c r="B20" s="470"/>
      <c r="L20" s="467"/>
    </row>
    <row r="21" spans="1:12" ht="14.25">
      <c r="A21" s="467"/>
      <c r="B21" s="468" t="s">
        <v>61</v>
      </c>
      <c r="L21" s="467"/>
    </row>
    <row r="22" spans="1:12" ht="14.25">
      <c r="A22" s="467"/>
      <c r="L22" s="467"/>
    </row>
    <row r="23" spans="1:12" ht="14.25">
      <c r="A23" s="467"/>
      <c r="B23" s="468" t="s">
        <v>62</v>
      </c>
      <c r="E23" s="468" t="s">
        <v>63</v>
      </c>
      <c r="F23" s="737">
        <v>133685008</v>
      </c>
      <c r="G23" s="737"/>
      <c r="L23" s="467"/>
    </row>
    <row r="24" spans="1:12" ht="14.25">
      <c r="A24" s="467"/>
      <c r="L24" s="467"/>
    </row>
    <row r="25" spans="1:12" ht="14.25">
      <c r="A25" s="467"/>
      <c r="C25" s="741">
        <f>F23</f>
        <v>133685008</v>
      </c>
      <c r="D25" s="741"/>
      <c r="E25" s="468" t="s">
        <v>64</v>
      </c>
      <c r="F25" s="471">
        <v>1000</v>
      </c>
      <c r="G25" s="471" t="s">
        <v>63</v>
      </c>
      <c r="H25" s="613">
        <f>F23/F25</f>
        <v>133685.008</v>
      </c>
      <c r="L25" s="467"/>
    </row>
    <row r="26" spans="1:12" ht="15" thickBot="1">
      <c r="A26" s="467"/>
      <c r="L26" s="467"/>
    </row>
    <row r="27" spans="1:12" ht="14.25">
      <c r="A27" s="467"/>
      <c r="B27" s="472" t="s">
        <v>57</v>
      </c>
      <c r="C27" s="473"/>
      <c r="D27" s="473"/>
      <c r="E27" s="473"/>
      <c r="F27" s="473"/>
      <c r="G27" s="473"/>
      <c r="H27" s="473"/>
      <c r="I27" s="473"/>
      <c r="J27" s="473"/>
      <c r="K27" s="474"/>
      <c r="L27" s="467"/>
    </row>
    <row r="28" spans="1:12" ht="14.25">
      <c r="A28" s="467"/>
      <c r="B28" s="475">
        <f>F23</f>
        <v>133685008</v>
      </c>
      <c r="C28" s="476" t="s">
        <v>65</v>
      </c>
      <c r="D28" s="476"/>
      <c r="E28" s="476" t="s">
        <v>64</v>
      </c>
      <c r="F28" s="617">
        <v>1000</v>
      </c>
      <c r="G28" s="617" t="s">
        <v>63</v>
      </c>
      <c r="H28" s="477">
        <f>B28/F28</f>
        <v>133685.008</v>
      </c>
      <c r="I28" s="476" t="s">
        <v>66</v>
      </c>
      <c r="J28" s="476"/>
      <c r="K28" s="478"/>
      <c r="L28" s="467"/>
    </row>
    <row r="29" spans="1:12" ht="15" thickBot="1">
      <c r="A29" s="467"/>
      <c r="B29" s="479"/>
      <c r="C29" s="480"/>
      <c r="D29" s="480"/>
      <c r="E29" s="480"/>
      <c r="F29" s="480"/>
      <c r="G29" s="480"/>
      <c r="H29" s="480"/>
      <c r="I29" s="480"/>
      <c r="J29" s="480"/>
      <c r="K29" s="481"/>
      <c r="L29" s="467"/>
    </row>
    <row r="30" spans="1:12" ht="40.5" customHeight="1">
      <c r="A30" s="467"/>
      <c r="B30" s="733" t="s">
        <v>53</v>
      </c>
      <c r="C30" s="733"/>
      <c r="D30" s="733"/>
      <c r="E30" s="733"/>
      <c r="F30" s="733"/>
      <c r="G30" s="733"/>
      <c r="H30" s="733"/>
      <c r="I30" s="733"/>
      <c r="J30" s="733"/>
      <c r="K30" s="733"/>
      <c r="L30" s="467"/>
    </row>
    <row r="31" spans="1:12" ht="14.25">
      <c r="A31" s="467"/>
      <c r="B31" s="739" t="s">
        <v>67</v>
      </c>
      <c r="C31" s="739"/>
      <c r="D31" s="739"/>
      <c r="E31" s="739"/>
      <c r="F31" s="739"/>
      <c r="G31" s="739"/>
      <c r="H31" s="739"/>
      <c r="I31" s="739"/>
      <c r="J31" s="739"/>
      <c r="K31" s="739"/>
      <c r="L31" s="467"/>
    </row>
    <row r="32" spans="1:12" ht="14.25">
      <c r="A32" s="467"/>
      <c r="L32" s="467"/>
    </row>
    <row r="33" spans="1:12" ht="14.25">
      <c r="A33" s="467"/>
      <c r="B33" s="739" t="s">
        <v>68</v>
      </c>
      <c r="C33" s="739"/>
      <c r="D33" s="739"/>
      <c r="E33" s="739"/>
      <c r="F33" s="739"/>
      <c r="G33" s="739"/>
      <c r="H33" s="739"/>
      <c r="I33" s="739"/>
      <c r="J33" s="739"/>
      <c r="K33" s="739"/>
      <c r="L33" s="467"/>
    </row>
    <row r="34" spans="1:12" ht="14.25">
      <c r="A34" s="467"/>
      <c r="L34" s="467"/>
    </row>
    <row r="35" spans="1:12" ht="89.25" customHeight="1">
      <c r="A35" s="467"/>
      <c r="B35" s="736" t="s">
        <v>69</v>
      </c>
      <c r="C35" s="738"/>
      <c r="D35" s="738"/>
      <c r="E35" s="738"/>
      <c r="F35" s="738"/>
      <c r="G35" s="738"/>
      <c r="H35" s="738"/>
      <c r="I35" s="738"/>
      <c r="J35" s="738"/>
      <c r="K35" s="738"/>
      <c r="L35" s="467"/>
    </row>
    <row r="36" spans="1:12" ht="14.25">
      <c r="A36" s="467"/>
      <c r="L36" s="467"/>
    </row>
    <row r="37" spans="1:12" ht="14.25">
      <c r="A37" s="467"/>
      <c r="B37" s="470" t="s">
        <v>70</v>
      </c>
      <c r="L37" s="467"/>
    </row>
    <row r="38" spans="1:12" ht="14.25">
      <c r="A38" s="467"/>
      <c r="L38" s="467"/>
    </row>
    <row r="39" spans="1:12" ht="14.25">
      <c r="A39" s="467"/>
      <c r="B39" s="468" t="s">
        <v>71</v>
      </c>
      <c r="L39" s="467"/>
    </row>
    <row r="40" spans="1:12" ht="14.25">
      <c r="A40" s="467"/>
      <c r="L40" s="467"/>
    </row>
    <row r="41" spans="1:12" ht="14.25">
      <c r="A41" s="467"/>
      <c r="C41" s="740">
        <v>3120000</v>
      </c>
      <c r="D41" s="740"/>
      <c r="E41" s="468" t="s">
        <v>64</v>
      </c>
      <c r="F41" s="471">
        <v>1000</v>
      </c>
      <c r="G41" s="471" t="s">
        <v>63</v>
      </c>
      <c r="H41" s="482">
        <f>C41/F41</f>
        <v>3120</v>
      </c>
      <c r="L41" s="467"/>
    </row>
    <row r="42" spans="1:12" ht="14.25">
      <c r="A42" s="467"/>
      <c r="L42" s="467"/>
    </row>
    <row r="43" spans="1:12" ht="14.25">
      <c r="A43" s="467"/>
      <c r="B43" s="468" t="s">
        <v>72</v>
      </c>
      <c r="L43" s="467"/>
    </row>
    <row r="44" spans="1:12" ht="14.25">
      <c r="A44" s="467"/>
      <c r="L44" s="467"/>
    </row>
    <row r="45" spans="1:12" ht="14.25">
      <c r="A45" s="467"/>
      <c r="B45" s="468" t="s">
        <v>73</v>
      </c>
      <c r="L45" s="467"/>
    </row>
    <row r="46" spans="1:12" ht="15" thickBot="1">
      <c r="A46" s="467"/>
      <c r="L46" s="467"/>
    </row>
    <row r="47" spans="1:12" ht="14.25">
      <c r="A47" s="467"/>
      <c r="B47" s="483" t="s">
        <v>57</v>
      </c>
      <c r="C47" s="473"/>
      <c r="D47" s="473"/>
      <c r="E47" s="473"/>
      <c r="F47" s="473"/>
      <c r="G47" s="473"/>
      <c r="H47" s="473"/>
      <c r="I47" s="473"/>
      <c r="J47" s="473"/>
      <c r="K47" s="474"/>
      <c r="L47" s="467"/>
    </row>
    <row r="48" spans="1:12" ht="14.25">
      <c r="A48" s="467"/>
      <c r="B48" s="737">
        <v>133685008</v>
      </c>
      <c r="C48" s="737"/>
      <c r="D48" s="476" t="s">
        <v>74</v>
      </c>
      <c r="E48" s="476" t="s">
        <v>64</v>
      </c>
      <c r="F48" s="617">
        <v>1000</v>
      </c>
      <c r="G48" s="617" t="s">
        <v>63</v>
      </c>
      <c r="H48" s="477">
        <f>B48/F48</f>
        <v>133685.008</v>
      </c>
      <c r="I48" s="476" t="s">
        <v>75</v>
      </c>
      <c r="J48" s="476"/>
      <c r="K48" s="478"/>
      <c r="L48" s="467"/>
    </row>
    <row r="49" spans="1:12" ht="14.25">
      <c r="A49" s="467"/>
      <c r="B49" s="484"/>
      <c r="C49" s="476"/>
      <c r="D49" s="476"/>
      <c r="E49" s="476"/>
      <c r="F49" s="476"/>
      <c r="G49" s="476"/>
      <c r="H49" s="476"/>
      <c r="I49" s="476"/>
      <c r="J49" s="476"/>
      <c r="K49" s="478"/>
      <c r="L49" s="467"/>
    </row>
    <row r="50" spans="1:12" ht="14.25">
      <c r="A50" s="467"/>
      <c r="B50" s="485">
        <v>7067793</v>
      </c>
      <c r="C50" s="476" t="s">
        <v>76</v>
      </c>
      <c r="D50" s="476"/>
      <c r="E50" s="476" t="s">
        <v>64</v>
      </c>
      <c r="F50" s="477">
        <f>H48</f>
        <v>133685.008</v>
      </c>
      <c r="G50" s="742" t="s">
        <v>77</v>
      </c>
      <c r="H50" s="743"/>
      <c r="I50" s="617" t="s">
        <v>63</v>
      </c>
      <c r="J50" s="486">
        <f>B50/F50</f>
        <v>52.8690023342034</v>
      </c>
      <c r="K50" s="478"/>
      <c r="L50" s="467"/>
    </row>
    <row r="51" spans="1:15" ht="15" thickBot="1">
      <c r="A51" s="467"/>
      <c r="B51" s="479"/>
      <c r="C51" s="480"/>
      <c r="D51" s="480"/>
      <c r="E51" s="480"/>
      <c r="F51" s="480"/>
      <c r="G51" s="480"/>
      <c r="H51" s="480"/>
      <c r="I51" s="744" t="s">
        <v>78</v>
      </c>
      <c r="J51" s="744"/>
      <c r="K51" s="745"/>
      <c r="L51" s="467"/>
      <c r="O51" s="642"/>
    </row>
    <row r="52" spans="1:12" ht="40.5" customHeight="1">
      <c r="A52" s="467"/>
      <c r="B52" s="733" t="s">
        <v>53</v>
      </c>
      <c r="C52" s="733"/>
      <c r="D52" s="733"/>
      <c r="E52" s="733"/>
      <c r="F52" s="733"/>
      <c r="G52" s="733"/>
      <c r="H52" s="733"/>
      <c r="I52" s="733"/>
      <c r="J52" s="733"/>
      <c r="K52" s="733"/>
      <c r="L52" s="467"/>
    </row>
    <row r="53" spans="1:12" ht="14.25">
      <c r="A53" s="467"/>
      <c r="B53" s="739" t="s">
        <v>79</v>
      </c>
      <c r="C53" s="739"/>
      <c r="D53" s="739"/>
      <c r="E53" s="739"/>
      <c r="F53" s="739"/>
      <c r="G53" s="739"/>
      <c r="H53" s="739"/>
      <c r="I53" s="739"/>
      <c r="J53" s="739"/>
      <c r="K53" s="739"/>
      <c r="L53" s="467"/>
    </row>
    <row r="54" spans="1:12" ht="14.25">
      <c r="A54" s="467"/>
      <c r="B54" s="612"/>
      <c r="C54" s="612"/>
      <c r="D54" s="612"/>
      <c r="E54" s="612"/>
      <c r="F54" s="612"/>
      <c r="G54" s="612"/>
      <c r="H54" s="612"/>
      <c r="I54" s="612"/>
      <c r="J54" s="612"/>
      <c r="K54" s="612"/>
      <c r="L54" s="467"/>
    </row>
    <row r="55" spans="1:12" ht="14.25">
      <c r="A55" s="467"/>
      <c r="B55" s="734" t="s">
        <v>80</v>
      </c>
      <c r="C55" s="734"/>
      <c r="D55" s="734"/>
      <c r="E55" s="734"/>
      <c r="F55" s="734"/>
      <c r="G55" s="734"/>
      <c r="H55" s="734"/>
      <c r="I55" s="734"/>
      <c r="J55" s="734"/>
      <c r="K55" s="734"/>
      <c r="L55" s="467"/>
    </row>
    <row r="56" spans="1:12" ht="15" customHeight="1">
      <c r="A56" s="467"/>
      <c r="L56" s="467"/>
    </row>
    <row r="57" spans="1:24" ht="74.25" customHeight="1">
      <c r="A57" s="467"/>
      <c r="B57" s="736" t="s">
        <v>81</v>
      </c>
      <c r="C57" s="738"/>
      <c r="D57" s="738"/>
      <c r="E57" s="738"/>
      <c r="F57" s="738"/>
      <c r="G57" s="738"/>
      <c r="H57" s="738"/>
      <c r="I57" s="738"/>
      <c r="J57" s="738"/>
      <c r="K57" s="738"/>
      <c r="L57" s="467"/>
      <c r="M57" s="487"/>
      <c r="N57" s="488"/>
      <c r="O57" s="488"/>
      <c r="P57" s="488"/>
      <c r="Q57" s="488"/>
      <c r="R57" s="488"/>
      <c r="S57" s="488"/>
      <c r="T57" s="488"/>
      <c r="U57" s="488"/>
      <c r="V57" s="488"/>
      <c r="W57" s="488"/>
      <c r="X57" s="488"/>
    </row>
    <row r="58" spans="1:24" ht="15" customHeight="1">
      <c r="A58" s="467"/>
      <c r="B58" s="736"/>
      <c r="C58" s="738"/>
      <c r="D58" s="738"/>
      <c r="E58" s="738"/>
      <c r="F58" s="738"/>
      <c r="G58" s="738"/>
      <c r="H58" s="738"/>
      <c r="I58" s="738"/>
      <c r="J58" s="738"/>
      <c r="K58" s="738"/>
      <c r="L58" s="467"/>
      <c r="M58" s="487"/>
      <c r="N58" s="488"/>
      <c r="O58" s="488"/>
      <c r="P58" s="488"/>
      <c r="Q58" s="488"/>
      <c r="R58" s="488"/>
      <c r="S58" s="488"/>
      <c r="T58" s="488"/>
      <c r="U58" s="488"/>
      <c r="V58" s="488"/>
      <c r="W58" s="488"/>
      <c r="X58" s="488"/>
    </row>
    <row r="59" spans="1:24" ht="14.25">
      <c r="A59" s="467"/>
      <c r="B59" s="470" t="s">
        <v>70</v>
      </c>
      <c r="L59" s="467"/>
      <c r="M59" s="488"/>
      <c r="N59" s="488"/>
      <c r="O59" s="488"/>
      <c r="P59" s="488"/>
      <c r="Q59" s="488"/>
      <c r="R59" s="488"/>
      <c r="S59" s="488"/>
      <c r="T59" s="488"/>
      <c r="U59" s="488"/>
      <c r="V59" s="488"/>
      <c r="W59" s="488"/>
      <c r="X59" s="488"/>
    </row>
    <row r="60" spans="1:24" ht="14.25">
      <c r="A60" s="467"/>
      <c r="L60" s="467"/>
      <c r="M60" s="488"/>
      <c r="N60" s="488"/>
      <c r="O60" s="488"/>
      <c r="P60" s="488"/>
      <c r="Q60" s="488"/>
      <c r="R60" s="488"/>
      <c r="S60" s="488"/>
      <c r="T60" s="488"/>
      <c r="U60" s="488"/>
      <c r="V60" s="488"/>
      <c r="W60" s="488"/>
      <c r="X60" s="488"/>
    </row>
    <row r="61" spans="1:24" ht="14.25">
      <c r="A61" s="467"/>
      <c r="B61" s="468" t="s">
        <v>82</v>
      </c>
      <c r="L61" s="467"/>
      <c r="M61" s="488"/>
      <c r="N61" s="488"/>
      <c r="O61" s="488"/>
      <c r="P61" s="488"/>
      <c r="Q61" s="488"/>
      <c r="R61" s="488"/>
      <c r="S61" s="488"/>
      <c r="T61" s="488"/>
      <c r="U61" s="488"/>
      <c r="V61" s="488"/>
      <c r="W61" s="488"/>
      <c r="X61" s="488"/>
    </row>
    <row r="62" spans="1:24" ht="14.25">
      <c r="A62" s="467"/>
      <c r="B62" s="468" t="s">
        <v>83</v>
      </c>
      <c r="L62" s="467"/>
      <c r="M62" s="488"/>
      <c r="N62" s="488"/>
      <c r="O62" s="488"/>
      <c r="P62" s="488"/>
      <c r="Q62" s="488"/>
      <c r="R62" s="488"/>
      <c r="S62" s="488"/>
      <c r="T62" s="488"/>
      <c r="U62" s="488"/>
      <c r="V62" s="488"/>
      <c r="W62" s="488"/>
      <c r="X62" s="488"/>
    </row>
    <row r="63" spans="1:24" ht="14.25">
      <c r="A63" s="467"/>
      <c r="B63" s="468" t="s">
        <v>84</v>
      </c>
      <c r="L63" s="467"/>
      <c r="M63" s="488"/>
      <c r="N63" s="488"/>
      <c r="O63" s="488"/>
      <c r="P63" s="488"/>
      <c r="Q63" s="488"/>
      <c r="R63" s="488"/>
      <c r="S63" s="488"/>
      <c r="T63" s="488"/>
      <c r="U63" s="488"/>
      <c r="V63" s="488"/>
      <c r="W63" s="488"/>
      <c r="X63" s="488"/>
    </row>
    <row r="64" spans="1:24" ht="14.25">
      <c r="A64" s="467"/>
      <c r="L64" s="467"/>
      <c r="M64" s="488"/>
      <c r="N64" s="488"/>
      <c r="O64" s="488"/>
      <c r="P64" s="488"/>
      <c r="Q64" s="488"/>
      <c r="R64" s="488"/>
      <c r="S64" s="488"/>
      <c r="T64" s="488"/>
      <c r="U64" s="488"/>
      <c r="V64" s="488"/>
      <c r="W64" s="488"/>
      <c r="X64" s="488"/>
    </row>
    <row r="65" spans="1:24" ht="14.25">
      <c r="A65" s="467"/>
      <c r="B65" s="468" t="s">
        <v>85</v>
      </c>
      <c r="L65" s="467"/>
      <c r="M65" s="488"/>
      <c r="N65" s="488"/>
      <c r="O65" s="488"/>
      <c r="P65" s="488"/>
      <c r="Q65" s="488"/>
      <c r="R65" s="488"/>
      <c r="S65" s="488"/>
      <c r="T65" s="488"/>
      <c r="U65" s="488"/>
      <c r="V65" s="488"/>
      <c r="W65" s="488"/>
      <c r="X65" s="488"/>
    </row>
    <row r="66" spans="1:24" ht="14.25">
      <c r="A66" s="467"/>
      <c r="B66" s="468" t="s">
        <v>86</v>
      </c>
      <c r="L66" s="467"/>
      <c r="M66" s="488"/>
      <c r="N66" s="488"/>
      <c r="O66" s="488"/>
      <c r="P66" s="488"/>
      <c r="Q66" s="488"/>
      <c r="R66" s="488"/>
      <c r="S66" s="488"/>
      <c r="T66" s="488"/>
      <c r="U66" s="488"/>
      <c r="V66" s="488"/>
      <c r="W66" s="488"/>
      <c r="X66" s="488"/>
    </row>
    <row r="67" spans="1:24" ht="14.25">
      <c r="A67" s="467"/>
      <c r="L67" s="467"/>
      <c r="M67" s="488"/>
      <c r="N67" s="488"/>
      <c r="O67" s="488"/>
      <c r="P67" s="488"/>
      <c r="Q67" s="488"/>
      <c r="R67" s="488"/>
      <c r="S67" s="488"/>
      <c r="T67" s="488"/>
      <c r="U67" s="488"/>
      <c r="V67" s="488"/>
      <c r="W67" s="488"/>
      <c r="X67" s="488"/>
    </row>
    <row r="68" spans="1:24" ht="14.25">
      <c r="A68" s="467"/>
      <c r="B68" s="468" t="s">
        <v>87</v>
      </c>
      <c r="L68" s="467"/>
      <c r="M68" s="489"/>
      <c r="N68" s="490"/>
      <c r="O68" s="490"/>
      <c r="P68" s="490"/>
      <c r="Q68" s="490"/>
      <c r="R68" s="490"/>
      <c r="S68" s="490"/>
      <c r="T68" s="490"/>
      <c r="U68" s="490"/>
      <c r="V68" s="490"/>
      <c r="W68" s="490"/>
      <c r="X68" s="488"/>
    </row>
    <row r="69" spans="1:24" ht="14.25">
      <c r="A69" s="467"/>
      <c r="B69" s="468" t="s">
        <v>88</v>
      </c>
      <c r="L69" s="467"/>
      <c r="M69" s="488"/>
      <c r="N69" s="488"/>
      <c r="O69" s="488"/>
      <c r="P69" s="488"/>
      <c r="Q69" s="488"/>
      <c r="R69" s="488"/>
      <c r="S69" s="488"/>
      <c r="T69" s="488"/>
      <c r="U69" s="488"/>
      <c r="V69" s="488"/>
      <c r="W69" s="488"/>
      <c r="X69" s="488"/>
    </row>
    <row r="70" spans="1:24" ht="14.25">
      <c r="A70" s="467"/>
      <c r="B70" s="468" t="s">
        <v>89</v>
      </c>
      <c r="L70" s="467"/>
      <c r="M70" s="488"/>
      <c r="N70" s="488"/>
      <c r="O70" s="488"/>
      <c r="P70" s="488"/>
      <c r="Q70" s="488"/>
      <c r="R70" s="488"/>
      <c r="S70" s="488"/>
      <c r="T70" s="488"/>
      <c r="U70" s="488"/>
      <c r="V70" s="488"/>
      <c r="W70" s="488"/>
      <c r="X70" s="488"/>
    </row>
    <row r="71" spans="1:12" ht="15" thickBot="1">
      <c r="A71" s="467"/>
      <c r="B71" s="476"/>
      <c r="C71" s="476"/>
      <c r="D71" s="476"/>
      <c r="E71" s="476"/>
      <c r="F71" s="476"/>
      <c r="G71" s="476"/>
      <c r="H71" s="476"/>
      <c r="I71" s="476"/>
      <c r="J71" s="476"/>
      <c r="K71" s="476"/>
      <c r="L71" s="467"/>
    </row>
    <row r="72" spans="1:12" ht="14.25">
      <c r="A72" s="467"/>
      <c r="B72" s="472" t="s">
        <v>57</v>
      </c>
      <c r="C72" s="473"/>
      <c r="D72" s="473"/>
      <c r="E72" s="473"/>
      <c r="F72" s="473"/>
      <c r="G72" s="473"/>
      <c r="H72" s="473"/>
      <c r="I72" s="473"/>
      <c r="J72" s="473"/>
      <c r="K72" s="474"/>
      <c r="L72" s="491"/>
    </row>
    <row r="73" spans="1:12" ht="14.25">
      <c r="A73" s="467"/>
      <c r="B73" s="484"/>
      <c r="C73" s="476" t="s">
        <v>65</v>
      </c>
      <c r="D73" s="476"/>
      <c r="E73" s="476"/>
      <c r="F73" s="476"/>
      <c r="G73" s="476"/>
      <c r="H73" s="476"/>
      <c r="I73" s="476"/>
      <c r="J73" s="476"/>
      <c r="K73" s="478"/>
      <c r="L73" s="491"/>
    </row>
    <row r="74" spans="1:12" ht="14.25">
      <c r="A74" s="467"/>
      <c r="B74" s="484" t="s">
        <v>90</v>
      </c>
      <c r="C74" s="737">
        <v>133685008</v>
      </c>
      <c r="D74" s="737"/>
      <c r="E74" s="617" t="s">
        <v>64</v>
      </c>
      <c r="F74" s="617">
        <v>1000</v>
      </c>
      <c r="G74" s="617" t="s">
        <v>63</v>
      </c>
      <c r="H74" s="618">
        <f>C74/F74</f>
        <v>133685.008</v>
      </c>
      <c r="I74" s="476" t="s">
        <v>91</v>
      </c>
      <c r="J74" s="476"/>
      <c r="K74" s="478"/>
      <c r="L74" s="491"/>
    </row>
    <row r="75" spans="1:12" ht="14.25">
      <c r="A75" s="467"/>
      <c r="B75" s="484"/>
      <c r="C75" s="476"/>
      <c r="D75" s="476"/>
      <c r="E75" s="617"/>
      <c r="F75" s="476"/>
      <c r="G75" s="476"/>
      <c r="H75" s="476"/>
      <c r="I75" s="476"/>
      <c r="J75" s="476"/>
      <c r="K75" s="478"/>
      <c r="L75" s="491"/>
    </row>
    <row r="76" spans="1:12" ht="14.25">
      <c r="A76" s="467"/>
      <c r="B76" s="484"/>
      <c r="C76" s="476" t="s">
        <v>712</v>
      </c>
      <c r="D76" s="476"/>
      <c r="E76" s="617"/>
      <c r="F76" s="476" t="s">
        <v>91</v>
      </c>
      <c r="G76" s="476"/>
      <c r="H76" s="476"/>
      <c r="I76" s="476"/>
      <c r="J76" s="476"/>
      <c r="K76" s="478"/>
      <c r="L76" s="491"/>
    </row>
    <row r="77" spans="1:12" ht="14.25">
      <c r="A77" s="467"/>
      <c r="B77" s="484" t="s">
        <v>715</v>
      </c>
      <c r="C77" s="737">
        <v>5000</v>
      </c>
      <c r="D77" s="737"/>
      <c r="E77" s="617" t="s">
        <v>64</v>
      </c>
      <c r="F77" s="618">
        <f>H74</f>
        <v>133685.008</v>
      </c>
      <c r="G77" s="617" t="s">
        <v>63</v>
      </c>
      <c r="H77" s="486">
        <f>C77/F77</f>
        <v>0.03740135169083432</v>
      </c>
      <c r="I77" s="476" t="s">
        <v>713</v>
      </c>
      <c r="J77" s="476"/>
      <c r="K77" s="478"/>
      <c r="L77" s="491"/>
    </row>
    <row r="78" spans="1:12" ht="14.25">
      <c r="A78" s="467"/>
      <c r="B78" s="484"/>
      <c r="C78" s="476"/>
      <c r="D78" s="476"/>
      <c r="E78" s="617"/>
      <c r="F78" s="476"/>
      <c r="G78" s="476"/>
      <c r="H78" s="476"/>
      <c r="I78" s="476"/>
      <c r="J78" s="476"/>
      <c r="K78" s="478"/>
      <c r="L78" s="491"/>
    </row>
    <row r="79" spans="1:12" ht="14.25">
      <c r="A79" s="467"/>
      <c r="B79" s="492"/>
      <c r="C79" s="493" t="s">
        <v>714</v>
      </c>
      <c r="D79" s="493"/>
      <c r="E79" s="619"/>
      <c r="F79" s="493"/>
      <c r="G79" s="493"/>
      <c r="H79" s="493"/>
      <c r="I79" s="493"/>
      <c r="J79" s="493"/>
      <c r="K79" s="494"/>
      <c r="L79" s="491"/>
    </row>
    <row r="80" spans="1:12" ht="14.25">
      <c r="A80" s="467"/>
      <c r="B80" s="484" t="s">
        <v>349</v>
      </c>
      <c r="C80" s="737">
        <v>100000</v>
      </c>
      <c r="D80" s="737"/>
      <c r="E80" s="617" t="s">
        <v>870</v>
      </c>
      <c r="F80" s="617">
        <v>0.115</v>
      </c>
      <c r="G80" s="617" t="s">
        <v>63</v>
      </c>
      <c r="H80" s="618">
        <f>C80*F80</f>
        <v>11500</v>
      </c>
      <c r="I80" s="476" t="s">
        <v>716</v>
      </c>
      <c r="J80" s="476"/>
      <c r="K80" s="478"/>
      <c r="L80" s="491"/>
    </row>
    <row r="81" spans="1:12" ht="14.25">
      <c r="A81" s="467"/>
      <c r="B81" s="484"/>
      <c r="C81" s="476"/>
      <c r="D81" s="476"/>
      <c r="E81" s="617"/>
      <c r="F81" s="476"/>
      <c r="G81" s="476"/>
      <c r="H81" s="476"/>
      <c r="I81" s="476"/>
      <c r="J81" s="476"/>
      <c r="K81" s="478"/>
      <c r="L81" s="491"/>
    </row>
    <row r="82" spans="1:12" ht="14.25">
      <c r="A82" s="467"/>
      <c r="B82" s="492"/>
      <c r="C82" s="493" t="s">
        <v>717</v>
      </c>
      <c r="D82" s="493"/>
      <c r="E82" s="619"/>
      <c r="F82" s="493" t="s">
        <v>713</v>
      </c>
      <c r="G82" s="493"/>
      <c r="H82" s="493"/>
      <c r="I82" s="493"/>
      <c r="J82" s="493" t="s">
        <v>718</v>
      </c>
      <c r="K82" s="494"/>
      <c r="L82" s="491"/>
    </row>
    <row r="83" spans="1:12" ht="14.25">
      <c r="A83" s="467"/>
      <c r="B83" s="484" t="s">
        <v>350</v>
      </c>
      <c r="C83" s="752">
        <f>H80</f>
        <v>11500</v>
      </c>
      <c r="D83" s="752"/>
      <c r="E83" s="617" t="s">
        <v>870</v>
      </c>
      <c r="F83" s="486">
        <f>H77</f>
        <v>0.03740135169083432</v>
      </c>
      <c r="G83" s="617" t="s">
        <v>64</v>
      </c>
      <c r="H83" s="617">
        <v>1000</v>
      </c>
      <c r="I83" s="617" t="s">
        <v>63</v>
      </c>
      <c r="J83" s="495">
        <f>C83*F83/H83</f>
        <v>0.43011554444459466</v>
      </c>
      <c r="K83" s="478"/>
      <c r="L83" s="491"/>
    </row>
    <row r="84" spans="1:12" ht="15" thickBot="1">
      <c r="A84" s="467"/>
      <c r="B84" s="479"/>
      <c r="C84" s="496"/>
      <c r="D84" s="496"/>
      <c r="E84" s="497"/>
      <c r="F84" s="498"/>
      <c r="G84" s="497"/>
      <c r="H84" s="497"/>
      <c r="I84" s="497"/>
      <c r="J84" s="499"/>
      <c r="K84" s="481"/>
      <c r="L84" s="491"/>
    </row>
    <row r="85" spans="1:12" ht="40.5" customHeight="1">
      <c r="A85" s="467"/>
      <c r="B85" s="733" t="s">
        <v>53</v>
      </c>
      <c r="C85" s="733"/>
      <c r="D85" s="733"/>
      <c r="E85" s="733"/>
      <c r="F85" s="733"/>
      <c r="G85" s="733"/>
      <c r="H85" s="733"/>
      <c r="I85" s="733"/>
      <c r="J85" s="733"/>
      <c r="K85" s="733"/>
      <c r="L85" s="467"/>
    </row>
    <row r="86" spans="1:12" ht="14.25">
      <c r="A86" s="467"/>
      <c r="B86" s="734" t="s">
        <v>719</v>
      </c>
      <c r="C86" s="734"/>
      <c r="D86" s="734"/>
      <c r="E86" s="734"/>
      <c r="F86" s="734"/>
      <c r="G86" s="734"/>
      <c r="H86" s="734"/>
      <c r="I86" s="734"/>
      <c r="J86" s="734"/>
      <c r="K86" s="734"/>
      <c r="L86" s="467"/>
    </row>
    <row r="87" spans="1:12" ht="14.25">
      <c r="A87" s="467"/>
      <c r="B87" s="500"/>
      <c r="C87" s="500"/>
      <c r="D87" s="500"/>
      <c r="E87" s="500"/>
      <c r="F87" s="500"/>
      <c r="G87" s="500"/>
      <c r="H87" s="500"/>
      <c r="I87" s="500"/>
      <c r="J87" s="500"/>
      <c r="K87" s="500"/>
      <c r="L87" s="467"/>
    </row>
    <row r="88" spans="1:12" ht="14.25">
      <c r="A88" s="467"/>
      <c r="B88" s="734" t="s">
        <v>720</v>
      </c>
      <c r="C88" s="734"/>
      <c r="D88" s="734"/>
      <c r="E88" s="734"/>
      <c r="F88" s="734"/>
      <c r="G88" s="734"/>
      <c r="H88" s="734"/>
      <c r="I88" s="734"/>
      <c r="J88" s="734"/>
      <c r="K88" s="734"/>
      <c r="L88" s="467"/>
    </row>
    <row r="89" spans="1:12" ht="14.25">
      <c r="A89" s="467"/>
      <c r="B89" s="611"/>
      <c r="C89" s="611"/>
      <c r="D89" s="611"/>
      <c r="E89" s="611"/>
      <c r="F89" s="611"/>
      <c r="G89" s="611"/>
      <c r="H89" s="611"/>
      <c r="I89" s="611"/>
      <c r="J89" s="611"/>
      <c r="K89" s="611"/>
      <c r="L89" s="467"/>
    </row>
    <row r="90" spans="1:12" ht="45" customHeight="1">
      <c r="A90" s="467"/>
      <c r="B90" s="736" t="s">
        <v>721</v>
      </c>
      <c r="C90" s="736"/>
      <c r="D90" s="736"/>
      <c r="E90" s="736"/>
      <c r="F90" s="736"/>
      <c r="G90" s="736"/>
      <c r="H90" s="736"/>
      <c r="I90" s="736"/>
      <c r="J90" s="736"/>
      <c r="K90" s="736"/>
      <c r="L90" s="467"/>
    </row>
    <row r="91" spans="1:12" ht="15" customHeight="1" thickBot="1">
      <c r="A91" s="467"/>
      <c r="L91" s="467"/>
    </row>
    <row r="92" spans="1:12" ht="15" customHeight="1">
      <c r="A92" s="467"/>
      <c r="B92" s="501" t="s">
        <v>57</v>
      </c>
      <c r="C92" s="502"/>
      <c r="D92" s="502"/>
      <c r="E92" s="502"/>
      <c r="F92" s="502"/>
      <c r="G92" s="502"/>
      <c r="H92" s="502"/>
      <c r="I92" s="502"/>
      <c r="J92" s="502"/>
      <c r="K92" s="503"/>
      <c r="L92" s="467"/>
    </row>
    <row r="93" spans="1:12" ht="15" customHeight="1">
      <c r="A93" s="467"/>
      <c r="B93" s="504"/>
      <c r="C93" s="615" t="s">
        <v>65</v>
      </c>
      <c r="D93" s="615"/>
      <c r="E93" s="615"/>
      <c r="F93" s="615"/>
      <c r="G93" s="615"/>
      <c r="H93" s="615"/>
      <c r="I93" s="615"/>
      <c r="J93" s="615"/>
      <c r="K93" s="505"/>
      <c r="L93" s="467"/>
    </row>
    <row r="94" spans="1:12" ht="15" customHeight="1">
      <c r="A94" s="467"/>
      <c r="B94" s="504" t="s">
        <v>90</v>
      </c>
      <c r="C94" s="737">
        <v>133685008</v>
      </c>
      <c r="D94" s="737"/>
      <c r="E94" s="617" t="s">
        <v>64</v>
      </c>
      <c r="F94" s="617">
        <v>1000</v>
      </c>
      <c r="G94" s="617" t="s">
        <v>63</v>
      </c>
      <c r="H94" s="618">
        <f>C94/F94</f>
        <v>133685.008</v>
      </c>
      <c r="I94" s="615" t="s">
        <v>91</v>
      </c>
      <c r="J94" s="615"/>
      <c r="K94" s="505"/>
      <c r="L94" s="467"/>
    </row>
    <row r="95" spans="1:12" ht="15" customHeight="1">
      <c r="A95" s="467"/>
      <c r="B95" s="504"/>
      <c r="C95" s="615"/>
      <c r="D95" s="615"/>
      <c r="E95" s="617"/>
      <c r="F95" s="615"/>
      <c r="G95" s="615"/>
      <c r="H95" s="615"/>
      <c r="I95" s="615"/>
      <c r="J95" s="615"/>
      <c r="K95" s="505"/>
      <c r="L95" s="467"/>
    </row>
    <row r="96" spans="1:12" ht="15" customHeight="1">
      <c r="A96" s="467"/>
      <c r="B96" s="504"/>
      <c r="C96" s="615" t="s">
        <v>712</v>
      </c>
      <c r="D96" s="615"/>
      <c r="E96" s="617"/>
      <c r="F96" s="615" t="s">
        <v>91</v>
      </c>
      <c r="G96" s="615"/>
      <c r="H96" s="615"/>
      <c r="I96" s="615"/>
      <c r="J96" s="615"/>
      <c r="K96" s="505"/>
      <c r="L96" s="467"/>
    </row>
    <row r="97" spans="1:12" ht="15" customHeight="1">
      <c r="A97" s="467"/>
      <c r="B97" s="504" t="s">
        <v>715</v>
      </c>
      <c r="C97" s="737">
        <v>50000</v>
      </c>
      <c r="D97" s="737"/>
      <c r="E97" s="617" t="s">
        <v>64</v>
      </c>
      <c r="F97" s="618">
        <f>H94</f>
        <v>133685.008</v>
      </c>
      <c r="G97" s="617" t="s">
        <v>63</v>
      </c>
      <c r="H97" s="486">
        <f>C97/F97</f>
        <v>0.3740135169083432</v>
      </c>
      <c r="I97" s="615" t="s">
        <v>713</v>
      </c>
      <c r="J97" s="615"/>
      <c r="K97" s="505"/>
      <c r="L97" s="467"/>
    </row>
    <row r="98" spans="1:12" ht="15" customHeight="1">
      <c r="A98" s="467"/>
      <c r="B98" s="504"/>
      <c r="C98" s="615"/>
      <c r="D98" s="615"/>
      <c r="E98" s="617"/>
      <c r="F98" s="615"/>
      <c r="G98" s="615"/>
      <c r="H98" s="615"/>
      <c r="I98" s="615"/>
      <c r="J98" s="615"/>
      <c r="K98" s="505"/>
      <c r="L98" s="467"/>
    </row>
    <row r="99" spans="1:12" ht="15" customHeight="1">
      <c r="A99" s="467"/>
      <c r="B99" s="506"/>
      <c r="C99" s="507" t="s">
        <v>722</v>
      </c>
      <c r="D99" s="507"/>
      <c r="E99" s="619"/>
      <c r="F99" s="507"/>
      <c r="G99" s="507"/>
      <c r="H99" s="507"/>
      <c r="I99" s="507"/>
      <c r="J99" s="507"/>
      <c r="K99" s="508"/>
      <c r="L99" s="467"/>
    </row>
    <row r="100" spans="1:12" ht="15" customHeight="1">
      <c r="A100" s="467"/>
      <c r="B100" s="504" t="s">
        <v>349</v>
      </c>
      <c r="C100" s="737">
        <v>2500000</v>
      </c>
      <c r="D100" s="737"/>
      <c r="E100" s="617" t="s">
        <v>870</v>
      </c>
      <c r="F100" s="509">
        <v>0.3</v>
      </c>
      <c r="G100" s="617" t="s">
        <v>63</v>
      </c>
      <c r="H100" s="618">
        <f>C100*F100</f>
        <v>750000</v>
      </c>
      <c r="I100" s="615" t="s">
        <v>716</v>
      </c>
      <c r="J100" s="615"/>
      <c r="K100" s="505"/>
      <c r="L100" s="467"/>
    </row>
    <row r="101" spans="1:12" ht="15" customHeight="1">
      <c r="A101" s="467"/>
      <c r="B101" s="504"/>
      <c r="C101" s="615"/>
      <c r="D101" s="615"/>
      <c r="E101" s="617"/>
      <c r="F101" s="615"/>
      <c r="G101" s="615"/>
      <c r="H101" s="615"/>
      <c r="I101" s="615"/>
      <c r="J101" s="615"/>
      <c r="K101" s="505"/>
      <c r="L101" s="467"/>
    </row>
    <row r="102" spans="1:12" ht="15" customHeight="1">
      <c r="A102" s="467"/>
      <c r="B102" s="506"/>
      <c r="C102" s="507" t="s">
        <v>717</v>
      </c>
      <c r="D102" s="507"/>
      <c r="E102" s="619"/>
      <c r="F102" s="507" t="s">
        <v>713</v>
      </c>
      <c r="G102" s="507"/>
      <c r="H102" s="507"/>
      <c r="I102" s="507"/>
      <c r="J102" s="507" t="s">
        <v>718</v>
      </c>
      <c r="K102" s="508"/>
      <c r="L102" s="467"/>
    </row>
    <row r="103" spans="1:12" ht="15" customHeight="1">
      <c r="A103" s="467"/>
      <c r="B103" s="504" t="s">
        <v>350</v>
      </c>
      <c r="C103" s="752">
        <f>H100</f>
        <v>750000</v>
      </c>
      <c r="D103" s="752"/>
      <c r="E103" s="617" t="s">
        <v>870</v>
      </c>
      <c r="F103" s="486">
        <f>H97</f>
        <v>0.3740135169083432</v>
      </c>
      <c r="G103" s="617" t="s">
        <v>64</v>
      </c>
      <c r="H103" s="617">
        <v>1000</v>
      </c>
      <c r="I103" s="617" t="s">
        <v>63</v>
      </c>
      <c r="J103" s="495">
        <f>C103*F103/H103</f>
        <v>280.51013768125745</v>
      </c>
      <c r="K103" s="505"/>
      <c r="L103" s="467"/>
    </row>
    <row r="104" spans="1:12" ht="15" customHeight="1" thickBot="1">
      <c r="A104" s="467"/>
      <c r="B104" s="510"/>
      <c r="C104" s="496"/>
      <c r="D104" s="496"/>
      <c r="E104" s="497"/>
      <c r="F104" s="498"/>
      <c r="G104" s="497"/>
      <c r="H104" s="497"/>
      <c r="I104" s="497"/>
      <c r="J104" s="499"/>
      <c r="K104" s="616"/>
      <c r="L104" s="467"/>
    </row>
    <row r="105" spans="1:12" ht="40.5" customHeight="1">
      <c r="A105" s="467"/>
      <c r="B105" s="733" t="s">
        <v>53</v>
      </c>
      <c r="C105" s="749"/>
      <c r="D105" s="749"/>
      <c r="E105" s="749"/>
      <c r="F105" s="749"/>
      <c r="G105" s="749"/>
      <c r="H105" s="749"/>
      <c r="I105" s="749"/>
      <c r="J105" s="749"/>
      <c r="K105" s="749"/>
      <c r="L105" s="467"/>
    </row>
    <row r="106" spans="1:12" ht="15" customHeight="1">
      <c r="A106" s="467"/>
      <c r="B106" s="750" t="s">
        <v>723</v>
      </c>
      <c r="C106" s="746"/>
      <c r="D106" s="746"/>
      <c r="E106" s="746"/>
      <c r="F106" s="746"/>
      <c r="G106" s="746"/>
      <c r="H106" s="746"/>
      <c r="I106" s="746"/>
      <c r="J106" s="746"/>
      <c r="K106" s="746"/>
      <c r="L106" s="467"/>
    </row>
    <row r="107" spans="1:12" ht="15" customHeight="1">
      <c r="A107" s="467"/>
      <c r="B107" s="615"/>
      <c r="C107" s="511"/>
      <c r="D107" s="511"/>
      <c r="E107" s="617"/>
      <c r="F107" s="486"/>
      <c r="G107" s="617"/>
      <c r="H107" s="617"/>
      <c r="I107" s="617"/>
      <c r="J107" s="495"/>
      <c r="K107" s="615"/>
      <c r="L107" s="467"/>
    </row>
    <row r="108" spans="1:12" ht="15" customHeight="1">
      <c r="A108" s="467"/>
      <c r="B108" s="750" t="s">
        <v>724</v>
      </c>
      <c r="C108" s="751"/>
      <c r="D108" s="751"/>
      <c r="E108" s="751"/>
      <c r="F108" s="751"/>
      <c r="G108" s="751"/>
      <c r="H108" s="751"/>
      <c r="I108" s="751"/>
      <c r="J108" s="751"/>
      <c r="K108" s="751"/>
      <c r="L108" s="467"/>
    </row>
    <row r="109" spans="1:12" ht="15" customHeight="1">
      <c r="A109" s="467"/>
      <c r="B109" s="615"/>
      <c r="C109" s="511"/>
      <c r="D109" s="511"/>
      <c r="E109" s="617"/>
      <c r="F109" s="486"/>
      <c r="G109" s="617"/>
      <c r="H109" s="617"/>
      <c r="I109" s="617"/>
      <c r="J109" s="495"/>
      <c r="K109" s="615"/>
      <c r="L109" s="467"/>
    </row>
    <row r="110" spans="1:12" ht="59.25" customHeight="1">
      <c r="A110" s="467"/>
      <c r="B110" s="754" t="s">
        <v>725</v>
      </c>
      <c r="C110" s="738"/>
      <c r="D110" s="738"/>
      <c r="E110" s="738"/>
      <c r="F110" s="738"/>
      <c r="G110" s="738"/>
      <c r="H110" s="738"/>
      <c r="I110" s="738"/>
      <c r="J110" s="738"/>
      <c r="K110" s="738"/>
      <c r="L110" s="467"/>
    </row>
    <row r="111" spans="1:12" ht="15" thickBot="1">
      <c r="A111" s="467"/>
      <c r="B111" s="612"/>
      <c r="C111" s="612"/>
      <c r="D111" s="612"/>
      <c r="E111" s="612"/>
      <c r="F111" s="612"/>
      <c r="G111" s="612"/>
      <c r="H111" s="612"/>
      <c r="I111" s="612"/>
      <c r="J111" s="612"/>
      <c r="K111" s="612"/>
      <c r="L111" s="512"/>
    </row>
    <row r="112" spans="1:12" ht="14.25">
      <c r="A112" s="467"/>
      <c r="B112" s="472" t="s">
        <v>57</v>
      </c>
      <c r="C112" s="473"/>
      <c r="D112" s="473"/>
      <c r="E112" s="473"/>
      <c r="F112" s="473"/>
      <c r="G112" s="473"/>
      <c r="H112" s="473"/>
      <c r="I112" s="473"/>
      <c r="J112" s="473"/>
      <c r="K112" s="474"/>
      <c r="L112" s="467"/>
    </row>
    <row r="113" spans="1:12" ht="14.25">
      <c r="A113" s="467"/>
      <c r="B113" s="484"/>
      <c r="C113" s="476" t="s">
        <v>65</v>
      </c>
      <c r="D113" s="476"/>
      <c r="E113" s="476"/>
      <c r="F113" s="476"/>
      <c r="G113" s="476"/>
      <c r="H113" s="476"/>
      <c r="I113" s="476"/>
      <c r="J113" s="476"/>
      <c r="K113" s="478"/>
      <c r="L113" s="467"/>
    </row>
    <row r="114" spans="1:12" ht="14.25">
      <c r="A114" s="467"/>
      <c r="B114" s="484" t="s">
        <v>90</v>
      </c>
      <c r="C114" s="737">
        <v>133685008</v>
      </c>
      <c r="D114" s="737"/>
      <c r="E114" s="617" t="s">
        <v>64</v>
      </c>
      <c r="F114" s="617">
        <v>1000</v>
      </c>
      <c r="G114" s="617" t="s">
        <v>63</v>
      </c>
      <c r="H114" s="618">
        <f>C114/F114</f>
        <v>133685.008</v>
      </c>
      <c r="I114" s="476" t="s">
        <v>91</v>
      </c>
      <c r="J114" s="476"/>
      <c r="K114" s="478"/>
      <c r="L114" s="467"/>
    </row>
    <row r="115" spans="1:12" ht="14.25">
      <c r="A115" s="467"/>
      <c r="B115" s="484"/>
      <c r="C115" s="476"/>
      <c r="D115" s="476"/>
      <c r="E115" s="617"/>
      <c r="F115" s="476"/>
      <c r="G115" s="476"/>
      <c r="H115" s="476"/>
      <c r="I115" s="476"/>
      <c r="J115" s="476"/>
      <c r="K115" s="478"/>
      <c r="L115" s="467"/>
    </row>
    <row r="116" spans="1:12" ht="14.25">
      <c r="A116" s="467"/>
      <c r="B116" s="484"/>
      <c r="C116" s="476" t="s">
        <v>712</v>
      </c>
      <c r="D116" s="476"/>
      <c r="E116" s="617"/>
      <c r="F116" s="476" t="s">
        <v>91</v>
      </c>
      <c r="G116" s="476"/>
      <c r="H116" s="476"/>
      <c r="I116" s="476"/>
      <c r="J116" s="476"/>
      <c r="K116" s="478"/>
      <c r="L116" s="467"/>
    </row>
    <row r="117" spans="1:12" ht="14.25">
      <c r="A117" s="467"/>
      <c r="B117" s="484" t="s">
        <v>715</v>
      </c>
      <c r="C117" s="737">
        <v>50000</v>
      </c>
      <c r="D117" s="737"/>
      <c r="E117" s="617" t="s">
        <v>64</v>
      </c>
      <c r="F117" s="618">
        <f>H114</f>
        <v>133685.008</v>
      </c>
      <c r="G117" s="617" t="s">
        <v>63</v>
      </c>
      <c r="H117" s="486">
        <f>C117/F117</f>
        <v>0.3740135169083432</v>
      </c>
      <c r="I117" s="476" t="s">
        <v>713</v>
      </c>
      <c r="J117" s="476"/>
      <c r="K117" s="478"/>
      <c r="L117" s="467"/>
    </row>
    <row r="118" spans="1:12" ht="14.25">
      <c r="A118" s="467"/>
      <c r="B118" s="484"/>
      <c r="C118" s="476"/>
      <c r="D118" s="476"/>
      <c r="E118" s="617"/>
      <c r="F118" s="476"/>
      <c r="G118" s="476"/>
      <c r="H118" s="476"/>
      <c r="I118" s="476"/>
      <c r="J118" s="476"/>
      <c r="K118" s="478"/>
      <c r="L118" s="467"/>
    </row>
    <row r="119" spans="1:12" ht="14.25">
      <c r="A119" s="467"/>
      <c r="B119" s="492"/>
      <c r="C119" s="493" t="s">
        <v>722</v>
      </c>
      <c r="D119" s="493"/>
      <c r="E119" s="619"/>
      <c r="F119" s="493"/>
      <c r="G119" s="493"/>
      <c r="H119" s="493"/>
      <c r="I119" s="493"/>
      <c r="J119" s="493"/>
      <c r="K119" s="494"/>
      <c r="L119" s="467"/>
    </row>
    <row r="120" spans="1:12" ht="14.25">
      <c r="A120" s="467"/>
      <c r="B120" s="484" t="s">
        <v>349</v>
      </c>
      <c r="C120" s="737">
        <v>2500000</v>
      </c>
      <c r="D120" s="737"/>
      <c r="E120" s="617" t="s">
        <v>870</v>
      </c>
      <c r="F120" s="509">
        <v>0.25</v>
      </c>
      <c r="G120" s="617" t="s">
        <v>63</v>
      </c>
      <c r="H120" s="618">
        <f>C120*F120</f>
        <v>625000</v>
      </c>
      <c r="I120" s="476" t="s">
        <v>716</v>
      </c>
      <c r="J120" s="476"/>
      <c r="K120" s="478"/>
      <c r="L120" s="467"/>
    </row>
    <row r="121" spans="1:12" ht="14.25">
      <c r="A121" s="467"/>
      <c r="B121" s="484"/>
      <c r="C121" s="476"/>
      <c r="D121" s="476"/>
      <c r="E121" s="617"/>
      <c r="F121" s="476"/>
      <c r="G121" s="476"/>
      <c r="H121" s="476"/>
      <c r="I121" s="476"/>
      <c r="J121" s="476"/>
      <c r="K121" s="478"/>
      <c r="L121" s="467"/>
    </row>
    <row r="122" spans="1:12" ht="14.25">
      <c r="A122" s="467"/>
      <c r="B122" s="492"/>
      <c r="C122" s="493" t="s">
        <v>717</v>
      </c>
      <c r="D122" s="493"/>
      <c r="E122" s="619"/>
      <c r="F122" s="493" t="s">
        <v>713</v>
      </c>
      <c r="G122" s="493"/>
      <c r="H122" s="493"/>
      <c r="I122" s="493"/>
      <c r="J122" s="493" t="s">
        <v>718</v>
      </c>
      <c r="K122" s="494"/>
      <c r="L122" s="467"/>
    </row>
    <row r="123" spans="1:12" ht="14.25">
      <c r="A123" s="467"/>
      <c r="B123" s="484" t="s">
        <v>350</v>
      </c>
      <c r="C123" s="752">
        <f>H120</f>
        <v>625000</v>
      </c>
      <c r="D123" s="752"/>
      <c r="E123" s="617" t="s">
        <v>870</v>
      </c>
      <c r="F123" s="486">
        <f>H117</f>
        <v>0.3740135169083432</v>
      </c>
      <c r="G123" s="617" t="s">
        <v>64</v>
      </c>
      <c r="H123" s="617">
        <v>1000</v>
      </c>
      <c r="I123" s="617" t="s">
        <v>63</v>
      </c>
      <c r="J123" s="495">
        <f>C123*F123/H123</f>
        <v>233.7584480677145</v>
      </c>
      <c r="K123" s="478"/>
      <c r="L123" s="467"/>
    </row>
    <row r="124" spans="1:12" ht="15" thickBot="1">
      <c r="A124" s="467"/>
      <c r="B124" s="479"/>
      <c r="C124" s="496"/>
      <c r="D124" s="496"/>
      <c r="E124" s="497"/>
      <c r="F124" s="498"/>
      <c r="G124" s="497"/>
      <c r="H124" s="497"/>
      <c r="I124" s="497"/>
      <c r="J124" s="499"/>
      <c r="K124" s="481"/>
      <c r="L124" s="467"/>
    </row>
    <row r="125" spans="1:12" ht="40.5" customHeight="1">
      <c r="A125" s="467"/>
      <c r="B125" s="733" t="s">
        <v>53</v>
      </c>
      <c r="C125" s="733"/>
      <c r="D125" s="733"/>
      <c r="E125" s="733"/>
      <c r="F125" s="733"/>
      <c r="G125" s="733"/>
      <c r="H125" s="733"/>
      <c r="I125" s="733"/>
      <c r="J125" s="733"/>
      <c r="K125" s="733"/>
      <c r="L125" s="512"/>
    </row>
    <row r="126" spans="1:12" ht="14.25">
      <c r="A126" s="467"/>
      <c r="B126" s="734" t="s">
        <v>726</v>
      </c>
      <c r="C126" s="734"/>
      <c r="D126" s="734"/>
      <c r="E126" s="734"/>
      <c r="F126" s="734"/>
      <c r="G126" s="734"/>
      <c r="H126" s="734"/>
      <c r="I126" s="734"/>
      <c r="J126" s="734"/>
      <c r="K126" s="734"/>
      <c r="L126" s="512"/>
    </row>
    <row r="127" spans="1:12" ht="14.25">
      <c r="A127" s="467"/>
      <c r="B127" s="612"/>
      <c r="C127" s="612"/>
      <c r="D127" s="612"/>
      <c r="E127" s="612"/>
      <c r="F127" s="612"/>
      <c r="G127" s="612"/>
      <c r="H127" s="612"/>
      <c r="I127" s="612"/>
      <c r="J127" s="612"/>
      <c r="K127" s="612"/>
      <c r="L127" s="512"/>
    </row>
    <row r="128" spans="1:12" ht="14.25">
      <c r="A128" s="467"/>
      <c r="B128" s="734" t="s">
        <v>727</v>
      </c>
      <c r="C128" s="734"/>
      <c r="D128" s="734"/>
      <c r="E128" s="734"/>
      <c r="F128" s="734"/>
      <c r="G128" s="734"/>
      <c r="H128" s="734"/>
      <c r="I128" s="734"/>
      <c r="J128" s="734"/>
      <c r="K128" s="734"/>
      <c r="L128" s="512"/>
    </row>
    <row r="129" spans="1:12" ht="14.25">
      <c r="A129" s="467"/>
      <c r="B129" s="611"/>
      <c r="C129" s="611"/>
      <c r="D129" s="611"/>
      <c r="E129" s="611"/>
      <c r="F129" s="611"/>
      <c r="G129" s="611"/>
      <c r="H129" s="611"/>
      <c r="I129" s="611"/>
      <c r="J129" s="611"/>
      <c r="K129" s="611"/>
      <c r="L129" s="512"/>
    </row>
    <row r="130" spans="1:12" ht="74.25" customHeight="1">
      <c r="A130" s="467"/>
      <c r="B130" s="736" t="s">
        <v>351</v>
      </c>
      <c r="C130" s="736"/>
      <c r="D130" s="736"/>
      <c r="E130" s="736"/>
      <c r="F130" s="736"/>
      <c r="G130" s="736"/>
      <c r="H130" s="736"/>
      <c r="I130" s="736"/>
      <c r="J130" s="736"/>
      <c r="K130" s="736"/>
      <c r="L130" s="512"/>
    </row>
    <row r="131" spans="1:12" ht="15" thickBot="1">
      <c r="A131" s="467"/>
      <c r="L131" s="467"/>
    </row>
    <row r="132" spans="1:12" ht="14.25">
      <c r="A132" s="467"/>
      <c r="B132" s="472" t="s">
        <v>57</v>
      </c>
      <c r="C132" s="473"/>
      <c r="D132" s="473"/>
      <c r="E132" s="473"/>
      <c r="F132" s="473"/>
      <c r="G132" s="473"/>
      <c r="H132" s="473"/>
      <c r="I132" s="473"/>
      <c r="J132" s="473"/>
      <c r="K132" s="474"/>
      <c r="L132" s="467"/>
    </row>
    <row r="133" spans="1:12" ht="14.25">
      <c r="A133" s="467"/>
      <c r="B133" s="484"/>
      <c r="C133" s="735" t="s">
        <v>728</v>
      </c>
      <c r="D133" s="735"/>
      <c r="E133" s="476"/>
      <c r="F133" s="617" t="s">
        <v>729</v>
      </c>
      <c r="G133" s="476"/>
      <c r="H133" s="735" t="s">
        <v>716</v>
      </c>
      <c r="I133" s="735"/>
      <c r="J133" s="476"/>
      <c r="K133" s="478"/>
      <c r="L133" s="467"/>
    </row>
    <row r="134" spans="1:12" ht="14.25">
      <c r="A134" s="467"/>
      <c r="B134" s="484" t="s">
        <v>90</v>
      </c>
      <c r="C134" s="737">
        <v>100000</v>
      </c>
      <c r="D134" s="737"/>
      <c r="E134" s="617" t="s">
        <v>870</v>
      </c>
      <c r="F134" s="617">
        <v>0.115</v>
      </c>
      <c r="G134" s="617" t="s">
        <v>63</v>
      </c>
      <c r="H134" s="726">
        <f>C134*F134</f>
        <v>11500</v>
      </c>
      <c r="I134" s="726"/>
      <c r="J134" s="476"/>
      <c r="K134" s="478"/>
      <c r="L134" s="467"/>
    </row>
    <row r="135" spans="1:12" ht="14.25">
      <c r="A135" s="467"/>
      <c r="B135" s="484"/>
      <c r="C135" s="476"/>
      <c r="D135" s="476"/>
      <c r="E135" s="476"/>
      <c r="F135" s="476"/>
      <c r="G135" s="476"/>
      <c r="H135" s="476"/>
      <c r="I135" s="476"/>
      <c r="J135" s="476"/>
      <c r="K135" s="478"/>
      <c r="L135" s="467"/>
    </row>
    <row r="136" spans="1:12" ht="14.25">
      <c r="A136" s="467"/>
      <c r="B136" s="492"/>
      <c r="C136" s="753" t="s">
        <v>716</v>
      </c>
      <c r="D136" s="753"/>
      <c r="E136" s="493"/>
      <c r="F136" s="619" t="s">
        <v>730</v>
      </c>
      <c r="G136" s="619"/>
      <c r="H136" s="493"/>
      <c r="I136" s="493"/>
      <c r="J136" s="493" t="s">
        <v>731</v>
      </c>
      <c r="K136" s="494"/>
      <c r="L136" s="467"/>
    </row>
    <row r="137" spans="1:12" ht="14.25">
      <c r="A137" s="467"/>
      <c r="B137" s="484" t="s">
        <v>715</v>
      </c>
      <c r="C137" s="726">
        <f>H134</f>
        <v>11500</v>
      </c>
      <c r="D137" s="726"/>
      <c r="E137" s="617" t="s">
        <v>870</v>
      </c>
      <c r="F137" s="513">
        <v>52.869</v>
      </c>
      <c r="G137" s="617" t="s">
        <v>64</v>
      </c>
      <c r="H137" s="617">
        <v>1000</v>
      </c>
      <c r="I137" s="617" t="s">
        <v>63</v>
      </c>
      <c r="J137" s="514">
        <f>C137*F137/H137</f>
        <v>607.9935</v>
      </c>
      <c r="K137" s="478"/>
      <c r="L137" s="467"/>
    </row>
    <row r="138" spans="1:12" ht="15" thickBot="1">
      <c r="A138" s="467"/>
      <c r="B138" s="479"/>
      <c r="C138" s="643"/>
      <c r="D138" s="643"/>
      <c r="E138" s="497"/>
      <c r="F138" s="644"/>
      <c r="G138" s="497"/>
      <c r="H138" s="497"/>
      <c r="I138" s="497"/>
      <c r="J138" s="645"/>
      <c r="K138" s="481"/>
      <c r="L138" s="467"/>
    </row>
    <row r="139" spans="1:12" ht="40.5" customHeight="1">
      <c r="A139" s="467"/>
      <c r="B139" s="630" t="s">
        <v>53</v>
      </c>
      <c r="C139" s="631"/>
      <c r="D139" s="631"/>
      <c r="E139" s="632"/>
      <c r="F139" s="633"/>
      <c r="G139" s="632"/>
      <c r="H139" s="632"/>
      <c r="I139" s="632"/>
      <c r="J139" s="634"/>
      <c r="K139" s="635"/>
      <c r="L139" s="467"/>
    </row>
    <row r="140" spans="1:12" ht="14.25">
      <c r="A140" s="467"/>
      <c r="B140" s="636" t="s">
        <v>352</v>
      </c>
      <c r="C140" s="637"/>
      <c r="D140" s="637"/>
      <c r="E140" s="638"/>
      <c r="F140" s="639"/>
      <c r="G140" s="638"/>
      <c r="H140" s="638"/>
      <c r="I140" s="638"/>
      <c r="J140" s="640"/>
      <c r="K140" s="641"/>
      <c r="L140" s="467"/>
    </row>
    <row r="141" spans="1:12" ht="14.25">
      <c r="A141" s="467"/>
      <c r="B141" s="484"/>
      <c r="C141" s="618"/>
      <c r="D141" s="618"/>
      <c r="E141" s="617"/>
      <c r="F141" s="646"/>
      <c r="G141" s="617"/>
      <c r="H141" s="617"/>
      <c r="I141" s="617"/>
      <c r="J141" s="514"/>
      <c r="K141" s="478"/>
      <c r="L141" s="467"/>
    </row>
    <row r="142" spans="1:12" ht="14.25">
      <c r="A142" s="467"/>
      <c r="B142" s="636" t="s">
        <v>353</v>
      </c>
      <c r="C142" s="637"/>
      <c r="D142" s="637"/>
      <c r="E142" s="638"/>
      <c r="F142" s="639"/>
      <c r="G142" s="638"/>
      <c r="H142" s="638"/>
      <c r="I142" s="638"/>
      <c r="J142" s="640"/>
      <c r="K142" s="641"/>
      <c r="L142" s="467"/>
    </row>
    <row r="143" spans="1:12" ht="14.25">
      <c r="A143" s="467"/>
      <c r="B143" s="484"/>
      <c r="C143" s="618"/>
      <c r="D143" s="618"/>
      <c r="E143" s="617"/>
      <c r="F143" s="646"/>
      <c r="G143" s="617"/>
      <c r="H143" s="617"/>
      <c r="I143" s="617"/>
      <c r="J143" s="514"/>
      <c r="K143" s="478"/>
      <c r="L143" s="467"/>
    </row>
    <row r="144" spans="1:12" ht="76.5" customHeight="1">
      <c r="A144" s="467"/>
      <c r="B144" s="728" t="s">
        <v>354</v>
      </c>
      <c r="C144" s="729"/>
      <c r="D144" s="729"/>
      <c r="E144" s="729"/>
      <c r="F144" s="729"/>
      <c r="G144" s="729"/>
      <c r="H144" s="729"/>
      <c r="I144" s="729"/>
      <c r="J144" s="729"/>
      <c r="K144" s="730"/>
      <c r="L144" s="467"/>
    </row>
    <row r="145" spans="1:12" ht="15" thickBot="1">
      <c r="A145" s="467"/>
      <c r="B145" s="484"/>
      <c r="C145" s="618"/>
      <c r="D145" s="618"/>
      <c r="E145" s="617"/>
      <c r="F145" s="646"/>
      <c r="G145" s="617"/>
      <c r="H145" s="617"/>
      <c r="I145" s="617"/>
      <c r="J145" s="514"/>
      <c r="K145" s="478"/>
      <c r="L145" s="467"/>
    </row>
    <row r="146" spans="1:12" ht="14.25">
      <c r="A146" s="467"/>
      <c r="B146" s="472" t="s">
        <v>57</v>
      </c>
      <c r="C146" s="647"/>
      <c r="D146" s="647"/>
      <c r="E146" s="648"/>
      <c r="F146" s="649"/>
      <c r="G146" s="648"/>
      <c r="H146" s="648"/>
      <c r="I146" s="648"/>
      <c r="J146" s="650"/>
      <c r="K146" s="474"/>
      <c r="L146" s="467"/>
    </row>
    <row r="147" spans="1:12" ht="14.25">
      <c r="A147" s="467"/>
      <c r="B147" s="484"/>
      <c r="C147" s="726" t="s">
        <v>355</v>
      </c>
      <c r="D147" s="726"/>
      <c r="E147" s="617"/>
      <c r="F147" s="646" t="s">
        <v>356</v>
      </c>
      <c r="G147" s="617"/>
      <c r="H147" s="617"/>
      <c r="I147" s="617"/>
      <c r="J147" s="731" t="s">
        <v>357</v>
      </c>
      <c r="K147" s="732"/>
      <c r="L147" s="467"/>
    </row>
    <row r="148" spans="1:12" ht="14.25">
      <c r="A148" s="467"/>
      <c r="B148" s="484"/>
      <c r="C148" s="725">
        <v>52.869</v>
      </c>
      <c r="D148" s="725"/>
      <c r="E148" s="617" t="s">
        <v>870</v>
      </c>
      <c r="F148" s="614">
        <v>133685008</v>
      </c>
      <c r="G148" s="651" t="s">
        <v>64</v>
      </c>
      <c r="H148" s="617">
        <v>1000</v>
      </c>
      <c r="I148" s="617" t="s">
        <v>63</v>
      </c>
      <c r="J148" s="726">
        <f>C148*(F148/1000)</f>
        <v>7067792.687952</v>
      </c>
      <c r="K148" s="727"/>
      <c r="L148" s="467"/>
    </row>
    <row r="149" spans="1:12" ht="15" thickBot="1">
      <c r="A149" s="467"/>
      <c r="B149" s="479"/>
      <c r="C149" s="643"/>
      <c r="D149" s="643"/>
      <c r="E149" s="497"/>
      <c r="F149" s="644"/>
      <c r="G149" s="497"/>
      <c r="H149" s="497"/>
      <c r="I149" s="497"/>
      <c r="J149" s="645"/>
      <c r="K149" s="481"/>
      <c r="L149" s="467"/>
    </row>
    <row r="150" spans="1:12" ht="15" thickBot="1">
      <c r="A150" s="467"/>
      <c r="B150" s="479"/>
      <c r="C150" s="480"/>
      <c r="D150" s="480"/>
      <c r="E150" s="480"/>
      <c r="F150" s="480"/>
      <c r="G150" s="480"/>
      <c r="H150" s="480"/>
      <c r="I150" s="480"/>
      <c r="J150" s="480"/>
      <c r="K150" s="481"/>
      <c r="L150" s="467"/>
    </row>
    <row r="151" spans="1:12" ht="14.25">
      <c r="A151" s="467"/>
      <c r="B151" s="467"/>
      <c r="C151" s="467"/>
      <c r="D151" s="467"/>
      <c r="E151" s="467"/>
      <c r="F151" s="467"/>
      <c r="G151" s="467"/>
      <c r="H151" s="467"/>
      <c r="I151" s="467"/>
      <c r="J151" s="467"/>
      <c r="K151" s="467"/>
      <c r="L151" s="467"/>
    </row>
    <row r="152" spans="1:12" ht="14.25">
      <c r="A152" s="467"/>
      <c r="B152" s="467"/>
      <c r="C152" s="467"/>
      <c r="D152" s="467"/>
      <c r="E152" s="467"/>
      <c r="F152" s="467"/>
      <c r="G152" s="467"/>
      <c r="H152" s="467"/>
      <c r="I152" s="467"/>
      <c r="J152" s="467"/>
      <c r="K152" s="467"/>
      <c r="L152" s="467"/>
    </row>
    <row r="153" spans="1:12" ht="14.25">
      <c r="A153" s="467"/>
      <c r="B153" s="467"/>
      <c r="C153" s="467"/>
      <c r="D153" s="467"/>
      <c r="E153" s="467"/>
      <c r="F153" s="467"/>
      <c r="G153" s="467"/>
      <c r="H153" s="467"/>
      <c r="I153" s="467"/>
      <c r="J153" s="467"/>
      <c r="K153" s="467"/>
      <c r="L153" s="467"/>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sheet="1" objects="1" scenarios="1"/>
  <mergeCells count="55">
    <mergeCell ref="B88:K88"/>
    <mergeCell ref="C123:D123"/>
    <mergeCell ref="C136:D136"/>
    <mergeCell ref="B90:K90"/>
    <mergeCell ref="C94:D94"/>
    <mergeCell ref="C97:D97"/>
    <mergeCell ref="C100:D100"/>
    <mergeCell ref="C103:D103"/>
    <mergeCell ref="B110:K110"/>
    <mergeCell ref="C114:D114"/>
    <mergeCell ref="C120:D120"/>
    <mergeCell ref="B105:K105"/>
    <mergeCell ref="B106:K106"/>
    <mergeCell ref="B108:K108"/>
    <mergeCell ref="C117:D117"/>
    <mergeCell ref="B6:K6"/>
    <mergeCell ref="B7:K7"/>
    <mergeCell ref="B8:K8"/>
    <mergeCell ref="B10:K10"/>
    <mergeCell ref="C25:D25"/>
    <mergeCell ref="F23:G23"/>
    <mergeCell ref="B12:K12"/>
    <mergeCell ref="C134:D134"/>
    <mergeCell ref="H134:I134"/>
    <mergeCell ref="B30:K30"/>
    <mergeCell ref="B31:K31"/>
    <mergeCell ref="B48:C48"/>
    <mergeCell ref="G50:H50"/>
    <mergeCell ref="I51:K51"/>
    <mergeCell ref="B33:K33"/>
    <mergeCell ref="B35:K35"/>
    <mergeCell ref="C41:D41"/>
    <mergeCell ref="C74:D74"/>
    <mergeCell ref="B52:K52"/>
    <mergeCell ref="B53:K53"/>
    <mergeCell ref="B55:K55"/>
    <mergeCell ref="B57:K57"/>
    <mergeCell ref="B85:K85"/>
    <mergeCell ref="B86:K86"/>
    <mergeCell ref="C77:D77"/>
    <mergeCell ref="B58:K58"/>
    <mergeCell ref="C80:D80"/>
    <mergeCell ref="C83:D83"/>
    <mergeCell ref="B125:K125"/>
    <mergeCell ref="B126:K126"/>
    <mergeCell ref="B128:K128"/>
    <mergeCell ref="C133:D133"/>
    <mergeCell ref="H133:I133"/>
    <mergeCell ref="B130:K130"/>
    <mergeCell ref="C148:D148"/>
    <mergeCell ref="J148:K148"/>
    <mergeCell ref="C137:D137"/>
    <mergeCell ref="B144:K144"/>
    <mergeCell ref="C147:D147"/>
    <mergeCell ref="J147:K147"/>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8.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6" t="s">
        <v>732</v>
      </c>
    </row>
    <row r="3" ht="31.5">
      <c r="A3" s="517" t="s">
        <v>733</v>
      </c>
    </row>
    <row r="4" ht="15.75">
      <c r="A4" s="518" t="s">
        <v>734</v>
      </c>
    </row>
    <row r="7" ht="31.5">
      <c r="A7" s="517" t="s">
        <v>735</v>
      </c>
    </row>
    <row r="8" ht="15.75">
      <c r="A8" s="518" t="s">
        <v>736</v>
      </c>
    </row>
    <row r="11" ht="15.75">
      <c r="A11" s="1" t="s">
        <v>737</v>
      </c>
    </row>
    <row r="12" ht="15.75">
      <c r="A12" s="518" t="s">
        <v>738</v>
      </c>
    </row>
    <row r="15" ht="15.75">
      <c r="A15" s="1" t="s">
        <v>739</v>
      </c>
    </row>
    <row r="16" ht="15.75">
      <c r="A16" s="518" t="s">
        <v>740</v>
      </c>
    </row>
    <row r="19" ht="15.75">
      <c r="A19" s="1" t="s">
        <v>741</v>
      </c>
    </row>
    <row r="20" ht="15.75">
      <c r="A20" s="518" t="s">
        <v>742</v>
      </c>
    </row>
    <row r="23" ht="15.75">
      <c r="A23" s="1" t="s">
        <v>743</v>
      </c>
    </row>
    <row r="24" ht="15.75">
      <c r="A24" s="518" t="s">
        <v>744</v>
      </c>
    </row>
    <row r="27" ht="15.75">
      <c r="A27" s="1" t="s">
        <v>745</v>
      </c>
    </row>
    <row r="28" ht="15.75">
      <c r="A28" s="518" t="s">
        <v>746</v>
      </c>
    </row>
    <row r="31" ht="15.75">
      <c r="A31" s="1" t="s">
        <v>747</v>
      </c>
    </row>
    <row r="32" ht="15.75">
      <c r="A32" s="518" t="s">
        <v>748</v>
      </c>
    </row>
    <row r="35" ht="15.75">
      <c r="A35" s="1" t="s">
        <v>749</v>
      </c>
    </row>
    <row r="36" ht="15.75">
      <c r="A36" s="518" t="s">
        <v>750</v>
      </c>
    </row>
    <row r="39" ht="15.75">
      <c r="A39" s="1" t="s">
        <v>751</v>
      </c>
    </row>
    <row r="40" ht="15.75">
      <c r="A40" s="518" t="s">
        <v>752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9.xml><?xml version="1.0" encoding="utf-8"?>
<worksheet xmlns="http://schemas.openxmlformats.org/spreadsheetml/2006/main" xmlns:r="http://schemas.openxmlformats.org/officeDocument/2006/relationships">
  <dimension ref="A1:A148"/>
  <sheetViews>
    <sheetView zoomScalePageLayoutView="0" workbookViewId="0" topLeftCell="A1">
      <selection activeCell="C11" sqref="C11"/>
    </sheetView>
  </sheetViews>
  <sheetFormatPr defaultColWidth="8.796875" defaultRowHeight="15"/>
  <cols>
    <col min="1" max="1" width="80.09765625" style="33" customWidth="1"/>
    <col min="2" max="16384" width="8.8984375" style="33" customWidth="1"/>
  </cols>
  <sheetData>
    <row r="1" ht="15.75">
      <c r="A1" s="557" t="s">
        <v>393</v>
      </c>
    </row>
    <row r="2" ht="15.75">
      <c r="A2" s="537" t="s">
        <v>394</v>
      </c>
    </row>
    <row r="4" ht="15.75">
      <c r="A4" s="557" t="s">
        <v>365</v>
      </c>
    </row>
    <row r="5" ht="15.75">
      <c r="A5" s="33" t="s">
        <v>366</v>
      </c>
    </row>
    <row r="7" ht="15.75">
      <c r="A7" s="557" t="s">
        <v>334</v>
      </c>
    </row>
    <row r="8" ht="15.75">
      <c r="A8" s="537" t="s">
        <v>325</v>
      </c>
    </row>
    <row r="9" ht="15.75">
      <c r="A9" s="537" t="s">
        <v>326</v>
      </c>
    </row>
    <row r="10" ht="31.5">
      <c r="A10" s="522" t="s">
        <v>327</v>
      </c>
    </row>
    <row r="11" ht="15.75">
      <c r="A11" s="537" t="s">
        <v>367</v>
      </c>
    </row>
    <row r="12" ht="15.75">
      <c r="A12" s="537" t="s">
        <v>368</v>
      </c>
    </row>
    <row r="13" ht="15.75">
      <c r="A13" s="537" t="s">
        <v>369</v>
      </c>
    </row>
    <row r="14" ht="15.75">
      <c r="A14" s="537" t="s">
        <v>370</v>
      </c>
    </row>
    <row r="15" ht="15.75">
      <c r="A15" s="537" t="s">
        <v>371</v>
      </c>
    </row>
    <row r="16" ht="15.75">
      <c r="A16" s="537" t="s">
        <v>372</v>
      </c>
    </row>
    <row r="17" ht="15.75">
      <c r="A17" s="537" t="s">
        <v>373</v>
      </c>
    </row>
    <row r="18" ht="15.75">
      <c r="A18" s="537" t="s">
        <v>374</v>
      </c>
    </row>
    <row r="19" ht="15.75">
      <c r="A19" s="537" t="s">
        <v>375</v>
      </c>
    </row>
    <row r="20" ht="15.75">
      <c r="A20" s="537" t="s">
        <v>376</v>
      </c>
    </row>
    <row r="21" ht="15.75">
      <c r="A21" s="537" t="s">
        <v>377</v>
      </c>
    </row>
    <row r="22" ht="15.75">
      <c r="A22" s="537" t="s">
        <v>378</v>
      </c>
    </row>
    <row r="23" ht="15.75">
      <c r="A23" s="537" t="s">
        <v>379</v>
      </c>
    </row>
    <row r="24" ht="15.75">
      <c r="A24" s="537" t="s">
        <v>380</v>
      </c>
    </row>
    <row r="25" ht="15.75">
      <c r="A25" s="537" t="s">
        <v>381</v>
      </c>
    </row>
    <row r="26" ht="15.75">
      <c r="A26" s="537" t="s">
        <v>382</v>
      </c>
    </row>
    <row r="27" ht="15.75">
      <c r="A27" s="537" t="s">
        <v>383</v>
      </c>
    </row>
    <row r="28" ht="15.75">
      <c r="A28" s="537" t="s">
        <v>384</v>
      </c>
    </row>
    <row r="29" ht="15.75">
      <c r="A29" s="537" t="s">
        <v>385</v>
      </c>
    </row>
    <row r="30" ht="15.75">
      <c r="A30" s="537" t="s">
        <v>386</v>
      </c>
    </row>
    <row r="31" ht="15.75">
      <c r="A31" s="537" t="s">
        <v>387</v>
      </c>
    </row>
    <row r="32" ht="15.75">
      <c r="A32" s="537" t="s">
        <v>388</v>
      </c>
    </row>
    <row r="33" ht="15.75">
      <c r="A33" s="537" t="s">
        <v>389</v>
      </c>
    </row>
    <row r="34" ht="15.75">
      <c r="A34" s="537" t="s">
        <v>390</v>
      </c>
    </row>
    <row r="35" ht="15.75">
      <c r="A35" s="537" t="s">
        <v>391</v>
      </c>
    </row>
    <row r="36" ht="15.75">
      <c r="A36" s="537" t="s">
        <v>392</v>
      </c>
    </row>
    <row r="38" ht="15.75">
      <c r="A38" s="384" t="s">
        <v>40</v>
      </c>
    </row>
    <row r="39" ht="15.75">
      <c r="A39" s="33" t="s">
        <v>41</v>
      </c>
    </row>
    <row r="40" ht="15.75">
      <c r="A40" s="33" t="s">
        <v>42</v>
      </c>
    </row>
    <row r="41" ht="15.75">
      <c r="A41" s="33" t="s">
        <v>43</v>
      </c>
    </row>
    <row r="43" ht="15.75">
      <c r="A43" s="384" t="s">
        <v>30</v>
      </c>
    </row>
    <row r="44" ht="15.75">
      <c r="A44" s="33" t="s">
        <v>39</v>
      </c>
    </row>
    <row r="46" ht="15.75">
      <c r="A46" s="384" t="s">
        <v>674</v>
      </c>
    </row>
    <row r="47" ht="15.75">
      <c r="A47" s="383" t="s">
        <v>675</v>
      </c>
    </row>
    <row r="48" ht="15.75">
      <c r="A48" s="383" t="s">
        <v>676</v>
      </c>
    </row>
    <row r="49" ht="15.75">
      <c r="A49" s="383" t="s">
        <v>677</v>
      </c>
    </row>
    <row r="50" ht="15.75">
      <c r="A50" s="33" t="s">
        <v>28</v>
      </c>
    </row>
    <row r="52" ht="15.75">
      <c r="A52" s="356" t="s">
        <v>306</v>
      </c>
    </row>
    <row r="53" ht="15.75">
      <c r="A53" s="359" t="s">
        <v>654</v>
      </c>
    </row>
    <row r="54" ht="15.75">
      <c r="A54" s="33" t="s">
        <v>655</v>
      </c>
    </row>
    <row r="55" ht="15.75">
      <c r="A55" s="33" t="s">
        <v>656</v>
      </c>
    </row>
    <row r="56" ht="21.75" customHeight="1">
      <c r="A56" s="36" t="s">
        <v>657</v>
      </c>
    </row>
    <row r="57" ht="15.75">
      <c r="A57" s="33" t="s">
        <v>658</v>
      </c>
    </row>
    <row r="58" ht="15.75">
      <c r="A58" s="33" t="s">
        <v>659</v>
      </c>
    </row>
    <row r="59" ht="15.75">
      <c r="A59" s="33" t="s">
        <v>660</v>
      </c>
    </row>
    <row r="60" ht="15.75">
      <c r="A60" s="33" t="s">
        <v>661</v>
      </c>
    </row>
    <row r="61" ht="15.75">
      <c r="A61" s="33" t="s">
        <v>662</v>
      </c>
    </row>
    <row r="62" ht="15.75">
      <c r="A62" s="33" t="s">
        <v>663</v>
      </c>
    </row>
    <row r="63" ht="15.75">
      <c r="A63" s="33" t="s">
        <v>664</v>
      </c>
    </row>
    <row r="65" ht="15.75">
      <c r="A65" s="356" t="s">
        <v>301</v>
      </c>
    </row>
    <row r="66" ht="15.75">
      <c r="A66" s="33" t="s">
        <v>302</v>
      </c>
    </row>
    <row r="68" ht="15.75">
      <c r="A68" s="356" t="s">
        <v>299</v>
      </c>
    </row>
    <row r="69" ht="15.75">
      <c r="A69" s="33" t="s">
        <v>300</v>
      </c>
    </row>
    <row r="71" ht="15.75">
      <c r="A71" s="356" t="s">
        <v>296</v>
      </c>
    </row>
    <row r="72" ht="15.75">
      <c r="A72" s="33" t="s">
        <v>297</v>
      </c>
    </row>
    <row r="73" ht="15.75">
      <c r="A73" s="33" t="s">
        <v>298</v>
      </c>
    </row>
    <row r="75" ht="15.75">
      <c r="A75" s="356" t="s">
        <v>839</v>
      </c>
    </row>
    <row r="76" ht="15.75">
      <c r="A76" s="33" t="s">
        <v>824</v>
      </c>
    </row>
    <row r="77" ht="15.75">
      <c r="A77" s="33" t="s">
        <v>825</v>
      </c>
    </row>
    <row r="78" ht="15.75">
      <c r="A78" s="33" t="s">
        <v>826</v>
      </c>
    </row>
    <row r="79" ht="15.75">
      <c r="A79" s="33" t="s">
        <v>833</v>
      </c>
    </row>
    <row r="80" ht="15.75">
      <c r="A80" s="33" t="s">
        <v>827</v>
      </c>
    </row>
    <row r="81" ht="15.75">
      <c r="A81" s="33" t="s">
        <v>828</v>
      </c>
    </row>
    <row r="82" ht="31.5">
      <c r="A82" s="36" t="s">
        <v>834</v>
      </c>
    </row>
    <row r="83" ht="31.5">
      <c r="A83" s="36" t="s">
        <v>829</v>
      </c>
    </row>
    <row r="84" ht="15.75">
      <c r="A84" s="36" t="s">
        <v>830</v>
      </c>
    </row>
    <row r="85" ht="15.75">
      <c r="A85" s="36" t="s">
        <v>831</v>
      </c>
    </row>
    <row r="86" ht="31.5">
      <c r="A86" s="36" t="s">
        <v>289</v>
      </c>
    </row>
    <row r="87" ht="15.75">
      <c r="A87" s="33" t="s">
        <v>290</v>
      </c>
    </row>
    <row r="88" ht="31.5">
      <c r="A88" s="36" t="s">
        <v>832</v>
      </c>
    </row>
    <row r="89" ht="15.75">
      <c r="A89" s="33" t="s">
        <v>836</v>
      </c>
    </row>
    <row r="90" ht="15.75">
      <c r="A90" s="33" t="s">
        <v>837</v>
      </c>
    </row>
    <row r="91" ht="15.75">
      <c r="A91" s="33" t="s">
        <v>838</v>
      </c>
    </row>
    <row r="92" ht="31.5">
      <c r="A92" s="36" t="s">
        <v>288</v>
      </c>
    </row>
    <row r="93" ht="15.75">
      <c r="A93" s="33" t="s">
        <v>287</v>
      </c>
    </row>
    <row r="94" ht="31.5">
      <c r="A94" s="36" t="s">
        <v>286</v>
      </c>
    </row>
    <row r="95" ht="15.75">
      <c r="A95" s="33" t="s">
        <v>291</v>
      </c>
    </row>
    <row r="97" ht="15.75">
      <c r="A97" s="356" t="s">
        <v>843</v>
      </c>
    </row>
    <row r="98" ht="15.75">
      <c r="A98" s="33" t="s">
        <v>844</v>
      </c>
    </row>
    <row r="99" ht="15.75">
      <c r="A99" s="33" t="s">
        <v>845</v>
      </c>
    </row>
    <row r="100" ht="15.75">
      <c r="A100" s="33" t="s">
        <v>846</v>
      </c>
    </row>
    <row r="101" ht="15.75">
      <c r="A101" s="33" t="s">
        <v>835</v>
      </c>
    </row>
    <row r="104" ht="15.75">
      <c r="A104" s="356" t="s">
        <v>820</v>
      </c>
    </row>
    <row r="105" ht="15.75">
      <c r="A105" s="33" t="s">
        <v>821</v>
      </c>
    </row>
    <row r="107" ht="15.75">
      <c r="A107" s="356" t="s">
        <v>813</v>
      </c>
    </row>
    <row r="108" ht="15.75">
      <c r="A108" s="33" t="s">
        <v>814</v>
      </c>
    </row>
    <row r="109" ht="15.75">
      <c r="A109" s="33" t="s">
        <v>815</v>
      </c>
    </row>
    <row r="110" ht="31.5">
      <c r="A110" s="36" t="s">
        <v>816</v>
      </c>
    </row>
    <row r="111" ht="15.75">
      <c r="A111" s="33" t="s">
        <v>817</v>
      </c>
    </row>
    <row r="112" ht="15.75">
      <c r="A112" s="33" t="s">
        <v>818</v>
      </c>
    </row>
    <row r="113" ht="15.75">
      <c r="A113" s="33" t="s">
        <v>819</v>
      </c>
    </row>
    <row r="115" ht="18" customHeight="1">
      <c r="A115" s="356" t="s">
        <v>256</v>
      </c>
    </row>
    <row r="116" ht="48.75" customHeight="1">
      <c r="A116" s="36" t="s">
        <v>292</v>
      </c>
    </row>
    <row r="117" ht="15.75">
      <c r="A117" s="33" t="s">
        <v>257</v>
      </c>
    </row>
    <row r="118" ht="15.75">
      <c r="A118" s="33" t="s">
        <v>258</v>
      </c>
    </row>
    <row r="119" ht="15.75">
      <c r="A119" s="33" t="s">
        <v>293</v>
      </c>
    </row>
    <row r="120" ht="15.75">
      <c r="A120" s="33" t="s">
        <v>259</v>
      </c>
    </row>
    <row r="121" ht="15.75">
      <c r="A121" s="33" t="s">
        <v>260</v>
      </c>
    </row>
    <row r="122" ht="15.75">
      <c r="A122" s="33" t="s">
        <v>778</v>
      </c>
    </row>
    <row r="123" ht="15.75">
      <c r="A123" s="33" t="s">
        <v>261</v>
      </c>
    </row>
    <row r="124" ht="15.75">
      <c r="A124" s="33" t="s">
        <v>262</v>
      </c>
    </row>
    <row r="125" ht="31.5">
      <c r="A125" s="36" t="s">
        <v>263</v>
      </c>
    </row>
    <row r="126" ht="31.5">
      <c r="A126" s="36" t="s">
        <v>790</v>
      </c>
    </row>
    <row r="127" ht="15.75">
      <c r="A127" s="33" t="s">
        <v>264</v>
      </c>
    </row>
    <row r="128" ht="15.75">
      <c r="A128" s="33" t="s">
        <v>265</v>
      </c>
    </row>
    <row r="129" ht="15.75">
      <c r="A129" s="33" t="s">
        <v>294</v>
      </c>
    </row>
    <row r="130" ht="15.75">
      <c r="A130" s="33" t="s">
        <v>266</v>
      </c>
    </row>
    <row r="131" ht="15.75">
      <c r="A131" s="33" t="s">
        <v>772</v>
      </c>
    </row>
    <row r="132" ht="31.5">
      <c r="A132" s="36" t="s">
        <v>773</v>
      </c>
    </row>
    <row r="133" ht="15.75">
      <c r="A133" s="33" t="s">
        <v>276</v>
      </c>
    </row>
    <row r="134" ht="15.75">
      <c r="A134" s="33" t="s">
        <v>277</v>
      </c>
    </row>
    <row r="135" ht="31.5">
      <c r="A135" s="36" t="s">
        <v>278</v>
      </c>
    </row>
    <row r="136" ht="15.75">
      <c r="A136" s="33" t="s">
        <v>800</v>
      </c>
    </row>
    <row r="137" ht="15.75">
      <c r="A137" s="33" t="s">
        <v>801</v>
      </c>
    </row>
    <row r="138" ht="15.75">
      <c r="A138" s="33" t="s">
        <v>802</v>
      </c>
    </row>
    <row r="139" ht="15.75">
      <c r="A139" s="33" t="s">
        <v>803</v>
      </c>
    </row>
    <row r="140" ht="15.75">
      <c r="A140" s="33" t="s">
        <v>804</v>
      </c>
    </row>
    <row r="141" ht="15.75">
      <c r="A141" s="33" t="s">
        <v>805</v>
      </c>
    </row>
    <row r="142" ht="15.75">
      <c r="A142" s="33" t="s">
        <v>806</v>
      </c>
    </row>
    <row r="143" ht="15.75">
      <c r="A143" s="33" t="s">
        <v>807</v>
      </c>
    </row>
    <row r="144" ht="15.75">
      <c r="A144" s="33" t="s">
        <v>808</v>
      </c>
    </row>
    <row r="145" ht="15.75">
      <c r="A145" s="33" t="s">
        <v>810</v>
      </c>
    </row>
    <row r="146" ht="15.75">
      <c r="A146" s="33" t="s">
        <v>811</v>
      </c>
    </row>
    <row r="147" ht="15.75">
      <c r="A147" s="33" t="s">
        <v>812</v>
      </c>
    </row>
    <row r="148" ht="15.75">
      <c r="A148" s="33" t="s">
        <v>809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tabSelected="1" zoomScalePageLayoutView="0" workbookViewId="0" topLeftCell="A1">
      <selection activeCell="E1" sqref="E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105</v>
      </c>
      <c r="D1" s="48"/>
      <c r="E1" s="48"/>
      <c r="F1" s="139"/>
      <c r="H1" s="33">
        <f>inputPrYr!C5</f>
        <v>2012</v>
      </c>
    </row>
    <row r="2" spans="1:6" ht="15.75">
      <c r="A2" s="687" t="str">
        <f>CONCATENATE("To the Clerk of ",(inputPrYr!D3),", State of Kansas")</f>
        <v>To the Clerk of Butler County, State of Kansas</v>
      </c>
      <c r="B2" s="677"/>
      <c r="C2" s="677"/>
      <c r="D2" s="677"/>
      <c r="E2" s="677"/>
      <c r="F2" s="677"/>
    </row>
    <row r="3" spans="1:6" ht="15.75">
      <c r="A3" s="141" t="s">
        <v>44</v>
      </c>
      <c r="B3" s="57"/>
      <c r="C3" s="57"/>
      <c r="D3" s="57"/>
      <c r="E3" s="57"/>
      <c r="F3" s="57"/>
    </row>
    <row r="4" spans="1:6" ht="15.75">
      <c r="A4" s="685" t="str">
        <f>(inputPrYr!D2)</f>
        <v>Elbing City</v>
      </c>
      <c r="B4" s="686"/>
      <c r="C4" s="686"/>
      <c r="D4" s="686"/>
      <c r="E4" s="686"/>
      <c r="F4" s="686"/>
    </row>
    <row r="5" spans="1:6" ht="15.75">
      <c r="A5" s="141" t="s">
        <v>856</v>
      </c>
      <c r="B5" s="57"/>
      <c r="C5" s="57"/>
      <c r="D5" s="57"/>
      <c r="E5" s="57"/>
      <c r="F5" s="57"/>
    </row>
    <row r="6" spans="1:6" ht="15.75">
      <c r="A6" s="141" t="s">
        <v>857</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858</v>
      </c>
      <c r="E10" s="147" t="str">
        <f>CONCATENATE("Amount of ",H1-1,"")</f>
        <v>Amount of 2011</v>
      </c>
      <c r="F10" s="147" t="s">
        <v>859</v>
      </c>
    </row>
    <row r="11" spans="1:6" ht="15.75">
      <c r="A11" s="53"/>
      <c r="B11" s="48"/>
      <c r="C11" s="147" t="s">
        <v>860</v>
      </c>
      <c r="D11" s="463" t="s">
        <v>785</v>
      </c>
      <c r="E11" s="149" t="s">
        <v>224</v>
      </c>
      <c r="F11" s="148" t="s">
        <v>861</v>
      </c>
    </row>
    <row r="12" spans="1:6" ht="15.75">
      <c r="A12" s="150" t="s">
        <v>862</v>
      </c>
      <c r="B12" s="72"/>
      <c r="C12" s="151" t="s">
        <v>863</v>
      </c>
      <c r="D12" s="464" t="s">
        <v>51</v>
      </c>
      <c r="E12" s="152" t="s">
        <v>225</v>
      </c>
      <c r="F12" s="151" t="s">
        <v>864</v>
      </c>
    </row>
    <row r="13" spans="1:6" ht="15.75">
      <c r="A13" s="153" t="str">
        <f>CONCATENATE("Computation to Determine Limit for ",H1,"")</f>
        <v>Computation to Determine Limit for 2012</v>
      </c>
      <c r="B13" s="94"/>
      <c r="C13" s="154">
        <v>2</v>
      </c>
      <c r="D13" s="155"/>
      <c r="E13" s="155"/>
      <c r="F13" s="155"/>
    </row>
    <row r="14" spans="1:6" ht="15.75">
      <c r="A14" s="153" t="s">
        <v>782</v>
      </c>
      <c r="B14" s="72"/>
      <c r="C14" s="151">
        <v>3</v>
      </c>
      <c r="D14" s="148"/>
      <c r="E14" s="148"/>
      <c r="F14" s="148"/>
    </row>
    <row r="15" spans="1:6" ht="15.75">
      <c r="A15" s="153" t="s">
        <v>170</v>
      </c>
      <c r="B15" s="72"/>
      <c r="C15" s="151">
        <v>4</v>
      </c>
      <c r="D15" s="148"/>
      <c r="E15" s="148"/>
      <c r="F15" s="148"/>
    </row>
    <row r="16" spans="1:6" ht="15.75">
      <c r="A16" s="153" t="s">
        <v>865</v>
      </c>
      <c r="B16" s="94"/>
      <c r="C16" s="154">
        <v>5</v>
      </c>
      <c r="D16" s="156"/>
      <c r="E16" s="156"/>
      <c r="F16" s="156"/>
    </row>
    <row r="17" spans="1:6" ht="15.75">
      <c r="A17" s="153" t="s">
        <v>866</v>
      </c>
      <c r="B17" s="94"/>
      <c r="C17" s="154">
        <v>6</v>
      </c>
      <c r="D17" s="156"/>
      <c r="E17" s="156"/>
      <c r="F17" s="156"/>
    </row>
    <row r="18" spans="1:6" ht="15.75">
      <c r="A18" s="157" t="s">
        <v>867</v>
      </c>
      <c r="B18" s="158" t="s">
        <v>868</v>
      </c>
      <c r="C18" s="159"/>
      <c r="D18" s="160"/>
      <c r="E18" s="160"/>
      <c r="F18" s="160"/>
    </row>
    <row r="19" spans="1:6" ht="15.75">
      <c r="A19" s="65" t="s">
        <v>851</v>
      </c>
      <c r="B19" s="161" t="str">
        <f>IF(inputPrYr!C17&gt;0,(inputPrYr!C17),"  ")</f>
        <v>12-101a</v>
      </c>
      <c r="C19" s="154">
        <v>7</v>
      </c>
      <c r="D19" s="248">
        <f>IF(general!$E$111&lt;&gt;0,general!$E$111,"  ")</f>
        <v>54600</v>
      </c>
      <c r="E19" s="629">
        <v>18853</v>
      </c>
      <c r="F19" s="558">
        <f>IF($F$54=0,"",ROUND(E19/$F$54*1000,3))</f>
      </c>
    </row>
    <row r="20" spans="1:6" ht="15.75">
      <c r="A20" s="65" t="s">
        <v>822</v>
      </c>
      <c r="B20" s="161" t="str">
        <f>IF(inputPrYr!C18&gt;0,(inputPrYr!C18),"  ")</f>
        <v>10-113</v>
      </c>
      <c r="C20" s="154">
        <f>IF('DebtSvs-levy page 8'!C77&gt;0,'DebtSvs-levy page 8'!C77,"  ")</f>
        <v>8</v>
      </c>
      <c r="D20" s="248">
        <f>IF('DebtSvs-levy page 8'!E32&lt;&gt;0,'DebtSvs-levy page 8'!E32,"  ")</f>
        <v>9920</v>
      </c>
      <c r="E20" s="629">
        <v>7826</v>
      </c>
      <c r="F20" s="558">
        <f aca="true" t="shared" si="0" ref="F20:F31">IF($F$54=0,"",ROUND(E20/$F$54*1000,3))</f>
      </c>
    </row>
    <row r="21" spans="1:9" ht="15.75">
      <c r="A21" s="88" t="str">
        <f>IF(inputPrYr!$B20&gt;"  ",(inputPrYr!$B20),"  ")</f>
        <v>  </v>
      </c>
      <c r="B21" s="161" t="str">
        <f>IF(inputPrYr!C20&gt;0,(inputPrYr!C20),"  ")</f>
        <v>  </v>
      </c>
      <c r="C21" s="154">
        <f>IF('DebtSvs-levy page 8'!C77&gt;0,'DebtSvs-levy page 8'!C77,"  ")</f>
        <v>8</v>
      </c>
      <c r="D21" s="248" t="str">
        <f>IF('DebtSvs-levy page 8'!E69&lt;&gt;0,'DebtSvs-levy page 8'!E69,"  ")</f>
        <v>  </v>
      </c>
      <c r="E21" s="629">
        <f>IF('levy page13'!$E$76&lt;&gt;0,'levy page13'!$E$76,0)</f>
        <v>0</v>
      </c>
      <c r="F21" s="558">
        <f t="shared" si="0"/>
      </c>
      <c r="H21" s="603"/>
      <c r="I21" s="603"/>
    </row>
    <row r="22" spans="1:9" ht="15.75">
      <c r="A22" s="88" t="str">
        <f>IF(inputPrYr!$B21&gt;"  ",(inputPrYr!$B21),"  ")</f>
        <v>  </v>
      </c>
      <c r="B22" s="161" t="str">
        <f>IF(inputPrYr!C21&gt;0,(inputPrYr!C21),"  ")</f>
        <v>  </v>
      </c>
      <c r="C22" s="154" t="str">
        <f>IF('levy page9'!C77&gt;0,'levy page9'!C77,"  ")</f>
        <v>  </v>
      </c>
      <c r="D22" s="248" t="str">
        <f>IF('levy page9'!$E$32&gt;0,'levy page9'!$E$32,"  ")</f>
        <v>  </v>
      </c>
      <c r="E22" s="629">
        <f>IF('levy page13'!$E$76&lt;&gt;0,'levy page13'!$E$76,0)</f>
        <v>0</v>
      </c>
      <c r="F22" s="558">
        <f t="shared" si="0"/>
      </c>
      <c r="H22" s="603"/>
      <c r="I22" s="603"/>
    </row>
    <row r="23" spans="1:9" ht="15.75">
      <c r="A23" s="88" t="str">
        <f>IF(inputPrYr!$B22&gt;"  ",(inputPrYr!$B22),"  ")</f>
        <v>  </v>
      </c>
      <c r="B23" s="161" t="str">
        <f>IF(inputPrYr!C22&gt;0,(inputPrYr!C22),"  ")</f>
        <v>  </v>
      </c>
      <c r="C23" s="154" t="str">
        <f>IF('levy page9'!C77&gt;0,'levy page9'!C77,"  ")</f>
        <v>  </v>
      </c>
      <c r="D23" s="248" t="str">
        <f>IF('levy page9'!$E$69&gt;0,'levy page9'!$E$69,"  ")</f>
        <v>  </v>
      </c>
      <c r="E23" s="629">
        <f>IF('levy page13'!$E$76&lt;&gt;0,'levy page13'!$E$76,0)</f>
        <v>0</v>
      </c>
      <c r="F23" s="558">
        <f t="shared" si="0"/>
      </c>
      <c r="H23" s="603"/>
      <c r="I23" s="603"/>
    </row>
    <row r="24" spans="1:9" ht="15.75">
      <c r="A24" s="88" t="str">
        <f>IF(inputPrYr!$B23&gt;"  ",(inputPrYr!$B23),"  ")</f>
        <v>  </v>
      </c>
      <c r="B24" s="161" t="str">
        <f>IF(inputPrYr!C23&gt;0,(inputPrYr!C23),"  ")</f>
        <v>  </v>
      </c>
      <c r="C24" s="154" t="str">
        <f>IF('levy page10'!C78&gt;0,'levy page10'!C78,"  ")</f>
        <v>  </v>
      </c>
      <c r="D24" s="248" t="str">
        <f>IF('levy page10'!$E$32&gt;0,'levy page10'!$E$32,"  ")</f>
        <v>  </v>
      </c>
      <c r="E24" s="629">
        <f>IF('levy page13'!$E$76&lt;&gt;0,'levy page13'!$E$76,0)</f>
        <v>0</v>
      </c>
      <c r="F24" s="558">
        <f t="shared" si="0"/>
      </c>
      <c r="H24" s="603"/>
      <c r="I24" s="603"/>
    </row>
    <row r="25" spans="1:9" ht="15.75">
      <c r="A25" s="88" t="str">
        <f>IF(inputPrYr!$B24&gt;"  ",(inputPrYr!$B24),"  ")</f>
        <v>  </v>
      </c>
      <c r="B25" s="161" t="str">
        <f>IF(inputPrYr!C24&gt;0,(inputPrYr!C24),"  ")</f>
        <v>  </v>
      </c>
      <c r="C25" s="154" t="str">
        <f>IF('levy page10'!C78&gt;0,'levy page10'!C78,"  ")</f>
        <v>  </v>
      </c>
      <c r="D25" s="248" t="str">
        <f>IF('levy page10'!$E$69&gt;0,'levy page10'!$E$69,"  ")</f>
        <v>  </v>
      </c>
      <c r="E25" s="629">
        <f>IF('levy page13'!$E$76&lt;&gt;0,'levy page13'!$E$76,0)</f>
        <v>0</v>
      </c>
      <c r="F25" s="558">
        <f t="shared" si="0"/>
      </c>
      <c r="H25" s="603"/>
      <c r="I25" s="603"/>
    </row>
    <row r="26" spans="1:9" ht="15.75">
      <c r="A26" s="88" t="str">
        <f>IF(inputPrYr!$B25&gt;"  ",(inputPrYr!$B25),"  ")</f>
        <v>  </v>
      </c>
      <c r="B26" s="161" t="str">
        <f>IF(inputPrYr!C25&gt;0,(inputPrYr!C25),"  ")</f>
        <v>  </v>
      </c>
      <c r="C26" s="154" t="str">
        <f>IF('levy page11'!C78&gt;0,'levy page11'!C78,"  ")</f>
        <v>  </v>
      </c>
      <c r="D26" s="248" t="str">
        <f>IF('levy page11'!$E$32&gt;0,'levy page11'!$E$32,"  ")</f>
        <v>  </v>
      </c>
      <c r="E26" s="629">
        <f>IF('levy page13'!$E$76&lt;&gt;0,'levy page13'!$E$76,0)</f>
        <v>0</v>
      </c>
      <c r="F26" s="558">
        <f t="shared" si="0"/>
      </c>
      <c r="H26" s="603"/>
      <c r="I26" s="603"/>
    </row>
    <row r="27" spans="1:9" ht="15.75">
      <c r="A27" s="88" t="str">
        <f>IF(inputPrYr!$B26&gt;"  ",(inputPrYr!$B26),"  ")</f>
        <v>  </v>
      </c>
      <c r="B27" s="161" t="str">
        <f>IF(inputPrYr!C26&gt;0,(inputPrYr!C26),"  ")</f>
        <v>  </v>
      </c>
      <c r="C27" s="154" t="str">
        <f>IF('levy page11'!C78&gt;0,'levy page11'!C78,"  ")</f>
        <v>  </v>
      </c>
      <c r="D27" s="248" t="str">
        <f>IF('levy page11'!$E$69&gt;0,'levy page11'!$E$69,"  ")</f>
        <v>  </v>
      </c>
      <c r="E27" s="629">
        <f>IF('levy page13'!$E$76&lt;&gt;0,'levy page13'!$E$76,0)</f>
        <v>0</v>
      </c>
      <c r="F27" s="558">
        <f t="shared" si="0"/>
      </c>
      <c r="H27" s="603"/>
      <c r="I27" s="603"/>
    </row>
    <row r="28" spans="1:9" ht="15.75">
      <c r="A28" s="88" t="str">
        <f>IF(inputPrYr!$B27&gt;"  ",(inputPrYr!$B27),"  ")</f>
        <v>  </v>
      </c>
      <c r="B28" s="161" t="str">
        <f>IF(inputPrYr!C27&gt;0,(inputPrYr!C27),"  ")</f>
        <v>  </v>
      </c>
      <c r="C28" s="154" t="str">
        <f>IF('levy page12'!C78&gt;0,'levy page12'!C78,"  ")</f>
        <v>  </v>
      </c>
      <c r="D28" s="248" t="str">
        <f>IF('levy page12'!$E$32&gt;0,'levy page12'!$E$32,"  ")</f>
        <v>  </v>
      </c>
      <c r="E28" s="629">
        <f>IF('levy page13'!$E$76&lt;&gt;0,'levy page13'!$E$76,0)</f>
        <v>0</v>
      </c>
      <c r="F28" s="558">
        <f t="shared" si="0"/>
      </c>
      <c r="H28" s="603"/>
      <c r="I28" s="603"/>
    </row>
    <row r="29" spans="1:9" ht="15.75">
      <c r="A29" s="88" t="str">
        <f>IF(inputPrYr!$B28&gt;"  ",(inputPrYr!$B28),"  ")</f>
        <v>  </v>
      </c>
      <c r="B29" s="161" t="str">
        <f>IF(inputPrYr!C28&gt;0,(inputPrYr!C28),"  ")</f>
        <v>  </v>
      </c>
      <c r="C29" s="154" t="str">
        <f>IF('levy page12'!C78&gt;0,'levy page12'!C78,"  ")</f>
        <v>  </v>
      </c>
      <c r="D29" s="248" t="str">
        <f>IF('levy page12'!$E$69&gt;0,'levy page12'!$E$69,"  ")</f>
        <v>  </v>
      </c>
      <c r="E29" s="629">
        <f>IF('levy page13'!$E$76&lt;&gt;0,'levy page13'!$E$76,0)</f>
        <v>0</v>
      </c>
      <c r="F29" s="558">
        <f t="shared" si="0"/>
      </c>
      <c r="H29" s="603"/>
      <c r="I29" s="603"/>
    </row>
    <row r="30" spans="1:9" ht="15.75">
      <c r="A30" s="88" t="str">
        <f>IF(inputPrYr!$B29&gt;"  ",(inputPrYr!$B29),"  ")</f>
        <v>  </v>
      </c>
      <c r="B30" s="161" t="str">
        <f>IF(inputPrYr!C29&gt;0,(inputPrYr!C29),"  ")</f>
        <v>  </v>
      </c>
      <c r="C30" s="154" t="str">
        <f>IF('levy page13'!C78&gt;0,'levy page13'!C78,"  ")</f>
        <v>  </v>
      </c>
      <c r="D30" s="248" t="str">
        <f>IF('levy page13'!$E$32&gt;0,'levy page13'!$E$32,"  ")</f>
        <v>  </v>
      </c>
      <c r="E30" s="629">
        <f>IF('levy page13'!$E$76&lt;&gt;0,'levy page13'!$E$76,0)</f>
        <v>0</v>
      </c>
      <c r="F30" s="558">
        <f t="shared" si="0"/>
      </c>
      <c r="H30" s="603"/>
      <c r="I30" s="603"/>
    </row>
    <row r="31" spans="1:8" ht="15.75">
      <c r="A31" s="88" t="str">
        <f>IF(inputPrYr!$B30&gt;"  ",(inputPrYr!$B30),"  ")</f>
        <v>  </v>
      </c>
      <c r="B31" s="600"/>
      <c r="C31" s="154" t="str">
        <f>IF('levy page13'!C78&gt;0,'levy page13'!C78,"  ")</f>
        <v>  </v>
      </c>
      <c r="D31" s="248" t="str">
        <f>IF('levy page13'!$E$69&gt;0,'levy page13'!$E$69,"  ")</f>
        <v>  </v>
      </c>
      <c r="E31" s="629">
        <f>IF('levy page13'!$E$76&lt;&gt;0,'levy page13'!$E$76,0)</f>
        <v>0</v>
      </c>
      <c r="F31" s="558">
        <f t="shared" si="0"/>
      </c>
      <c r="H31" s="601"/>
    </row>
    <row r="32" spans="1:6" ht="15.75">
      <c r="A32" s="162" t="str">
        <f>IF(inputPrYr!$B34&gt;"  ",(inputPrYr!$B34),"  ")</f>
        <v>Special Highway</v>
      </c>
      <c r="B32" s="163"/>
      <c r="C32" s="164">
        <f>IF('Sp Hiway'!C67&gt;0,'Sp Hiway'!C67,"  ")</f>
        <v>9</v>
      </c>
      <c r="D32" s="248">
        <f>IF('Sp Hiway'!$E$30&gt;0,'Sp Hiway'!$E$30,"  ")</f>
        <v>20000</v>
      </c>
      <c r="E32" s="248"/>
      <c r="F32" s="159"/>
    </row>
    <row r="33" spans="1:6" ht="15.75">
      <c r="A33" s="162" t="str">
        <f>IF(inputPrYr!$B35&gt;"  ",(inputPrYr!$B35),"  ")</f>
        <v>Water Utility</v>
      </c>
      <c r="B33" s="163"/>
      <c r="C33" s="164">
        <f>IF('Sp Hiway'!C67&gt;0,'Sp Hiway'!C67,"  ")</f>
        <v>9</v>
      </c>
      <c r="D33" s="248">
        <f>IF('Sp Hiway'!$E$61&gt;0,'Sp Hiway'!$E$61,"  ")</f>
        <v>46600</v>
      </c>
      <c r="E33" s="248"/>
      <c r="F33" s="159"/>
    </row>
    <row r="34" spans="1:6" ht="15.75">
      <c r="A34" s="162" t="str">
        <f>IF(inputPrYr!$B36&gt;"  ",(inputPrYr!$B36),"  ")</f>
        <v>Water Reserve Fd</v>
      </c>
      <c r="B34" s="165"/>
      <c r="C34" s="164">
        <f>IF('no levy page15'!C65&gt;0,'no levy page15'!C65,"  ")</f>
        <v>10</v>
      </c>
      <c r="D34" s="248" t="str">
        <f>IF('no levy page15'!$E$28&gt;0,'no levy page15'!$E$28,"  ")</f>
        <v>  </v>
      </c>
      <c r="E34" s="248"/>
      <c r="F34" s="159"/>
    </row>
    <row r="35" spans="1:6" ht="15.75">
      <c r="A35" s="162" t="str">
        <f>IF(inputPrYr!$B37&gt;"  ",(inputPrYr!$B37),"  ")</f>
        <v>Sewer Utility</v>
      </c>
      <c r="B35" s="163"/>
      <c r="C35" s="164">
        <f>IF('no levy page15'!C65&gt;0,'no levy page15'!C65,"  ")</f>
        <v>10</v>
      </c>
      <c r="D35" s="248">
        <f>IF('no levy page15'!$E$59&gt;0,'no levy page15'!$E$59,"  ")</f>
        <v>38171</v>
      </c>
      <c r="E35" s="248"/>
      <c r="F35" s="159"/>
    </row>
    <row r="36" spans="1:6" ht="15.75">
      <c r="A36" s="162" t="str">
        <f>IF(inputPrYr!$B38&gt;"  ",(inputPrYr!$B38),"  ")</f>
        <v>Sewer Replace Acct. Reserve</v>
      </c>
      <c r="B36" s="165"/>
      <c r="C36" s="164">
        <f>IF('no levy page16'!C65&gt;0,'no levy page16'!C65,"  ")</f>
        <v>11</v>
      </c>
      <c r="D36" s="248" t="str">
        <f>IF('no levy page16'!$E$28&gt;0,'no levy page16'!$E$28,"  ")</f>
        <v>  </v>
      </c>
      <c r="E36" s="248"/>
      <c r="F36" s="159"/>
    </row>
    <row r="37" spans="1:6" ht="15.75">
      <c r="A37" s="162" t="str">
        <f>IF(inputPrYr!$B39&gt;"  ",(inputPrYr!$B39),"  ")</f>
        <v>Sewer Reserve Account</v>
      </c>
      <c r="B37" s="166"/>
      <c r="C37" s="164">
        <f>IF('no levy page16'!C65&gt;0,'no levy page16'!C65,"  ")</f>
        <v>11</v>
      </c>
      <c r="D37" s="248" t="str">
        <f>IF('no levy page16'!$E$59&gt;0,'no levy page16'!$E$59,"  ")</f>
        <v>  </v>
      </c>
      <c r="E37" s="248"/>
      <c r="F37" s="159"/>
    </row>
    <row r="38" spans="1:6" ht="15.75">
      <c r="A38" s="162" t="str">
        <f>IF(inputPrYr!$B40&gt;"  ",(inputPrYr!$B40),"  ")</f>
        <v>  </v>
      </c>
      <c r="B38" s="166"/>
      <c r="C38" s="164" t="str">
        <f>IF('no levy page17'!C65&gt;0,'no levy page17'!C65,"  ")</f>
        <v>  </v>
      </c>
      <c r="D38" s="248" t="str">
        <f>IF('no levy page17'!$E$28&gt;0,'no levy page17'!$E$28,"  ")</f>
        <v>  </v>
      </c>
      <c r="E38" s="248"/>
      <c r="F38" s="159"/>
    </row>
    <row r="39" spans="1:6" ht="15.75">
      <c r="A39" s="162" t="str">
        <f>IF(inputPrYr!$B41&gt;"  ",(inputPrYr!$B41),"  ")</f>
        <v>  </v>
      </c>
      <c r="B39" s="166"/>
      <c r="C39" s="164" t="str">
        <f>IF('no levy page17'!C65&gt;0,'no levy page17'!C65,"  ")</f>
        <v>  </v>
      </c>
      <c r="D39" s="248" t="str">
        <f>IF('no levy page17'!$E$59&gt;0,'no levy page17'!$E$59,"  ")</f>
        <v>  </v>
      </c>
      <c r="E39" s="248"/>
      <c r="F39" s="159"/>
    </row>
    <row r="40" spans="1:6" ht="15.75">
      <c r="A40" s="162" t="str">
        <f>IF(inputPrYr!$B42&gt;"  ",(inputPrYr!$B42),"  ")</f>
        <v>  </v>
      </c>
      <c r="B40" s="163"/>
      <c r="C40" s="164" t="str">
        <f>IF('no levy page18'!C65&gt;0,'no levy page18'!C65,"  ")</f>
        <v>  </v>
      </c>
      <c r="D40" s="248" t="str">
        <f>IF('no levy page18'!$E$28&gt;0,'no levy page18'!$E$28,"  ")</f>
        <v>  </v>
      </c>
      <c r="E40" s="248"/>
      <c r="F40" s="159"/>
    </row>
    <row r="41" spans="1:6" ht="15.75">
      <c r="A41" s="162" t="str">
        <f>IF(inputPrYr!$B43&gt;"  ",(inputPrYr!$B43),"  ")</f>
        <v>  </v>
      </c>
      <c r="B41" s="163"/>
      <c r="C41" s="164" t="str">
        <f>IF('no levy page18'!C65&gt;0,'no levy page18'!C65,"  ")</f>
        <v>  </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  </v>
      </c>
      <c r="B48" s="166"/>
      <c r="C48" s="164" t="str">
        <f>IF(NonBudA!F33&gt;0,NonBudA!F33,"  ")</f>
        <v>  </v>
      </c>
      <c r="D48" s="248"/>
      <c r="E48" s="248"/>
      <c r="F48" s="159"/>
    </row>
    <row r="49" spans="1:6" ht="15.75">
      <c r="A49" s="162" t="str">
        <f>IF(inputPrYr!$B63&gt;"  ",(NonBudB!$A3),"  ")</f>
        <v>  </v>
      </c>
      <c r="B49" s="166"/>
      <c r="C49" s="164" t="str">
        <f>IF(NonBudB!F33&gt;0,NonBudB!F33,"  ")</f>
        <v>  </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6"/>
      <c r="E51" s="566"/>
      <c r="F51" s="567"/>
    </row>
    <row r="52" spans="1:6" ht="15.75">
      <c r="A52" s="429" t="s">
        <v>348</v>
      </c>
      <c r="B52" s="94"/>
      <c r="C52" s="266" t="s">
        <v>870</v>
      </c>
      <c r="D52" s="564">
        <f>SUM(D19:D51)</f>
        <v>169291</v>
      </c>
      <c r="E52" s="564">
        <f>SUM(E19:E51)</f>
        <v>26679</v>
      </c>
      <c r="F52" s="565">
        <f>IF(SUM(F19:F51)=0,"",SUM(F19:F51))</f>
      </c>
    </row>
    <row r="53" spans="1:6" ht="15.75">
      <c r="A53" s="167" t="s">
        <v>282</v>
      </c>
      <c r="B53" s="168"/>
      <c r="C53" s="169"/>
      <c r="D53" s="170"/>
      <c r="E53" s="171" t="str">
        <f>IF(E52&gt;computation!J40,"Yes","No")</f>
        <v>No</v>
      </c>
      <c r="F53" s="461" t="s">
        <v>174</v>
      </c>
    </row>
    <row r="54" spans="1:6" ht="15.75">
      <c r="A54" s="153" t="s">
        <v>281</v>
      </c>
      <c r="B54" s="94"/>
      <c r="C54" s="154">
        <f>summ!D70</f>
        <v>12</v>
      </c>
      <c r="D54" s="48"/>
      <c r="E54" s="48"/>
      <c r="F54" s="568"/>
    </row>
    <row r="55" spans="1:6" ht="15.75">
      <c r="A55" s="153" t="s">
        <v>788</v>
      </c>
      <c r="B55" s="94"/>
      <c r="C55" s="154">
        <f>IF(nhood!C39&gt;0,nhood!C39,"")</f>
      </c>
      <c r="D55" s="48"/>
      <c r="E55" s="48"/>
      <c r="F55" s="690" t="str">
        <f>CONCATENATE("Nov 1, ",H1-1," Total Assessed Valuation")</f>
        <v>Nov 1, 2011 Total Assessed Valuation</v>
      </c>
    </row>
    <row r="56" spans="1:6" ht="15.75">
      <c r="A56" s="77"/>
      <c r="B56" s="77"/>
      <c r="C56" s="77"/>
      <c r="D56" s="77"/>
      <c r="E56" s="77"/>
      <c r="F56" s="691"/>
    </row>
    <row r="57" spans="1:6" ht="15.75">
      <c r="A57" s="76" t="s">
        <v>871</v>
      </c>
      <c r="B57" s="77"/>
      <c r="C57" s="48"/>
      <c r="D57" s="298"/>
      <c r="E57" s="77"/>
      <c r="F57" s="77"/>
    </row>
    <row r="58" spans="1:6" ht="15.75">
      <c r="A58" s="361" t="s">
        <v>395</v>
      </c>
      <c r="B58" s="77"/>
      <c r="C58" s="48"/>
      <c r="D58" s="298"/>
      <c r="E58" s="77"/>
      <c r="F58" s="77"/>
    </row>
    <row r="59" spans="1:6" ht="15.75">
      <c r="A59" s="362"/>
      <c r="B59" s="48"/>
      <c r="C59" s="401"/>
      <c r="D59" s="400"/>
      <c r="E59" s="114"/>
      <c r="F59" s="114"/>
    </row>
    <row r="60" spans="1:6" ht="15.75">
      <c r="A60" s="76" t="s">
        <v>190</v>
      </c>
      <c r="B60" s="77"/>
      <c r="C60" s="48"/>
      <c r="D60" s="298"/>
      <c r="E60" s="298"/>
      <c r="F60" s="298"/>
    </row>
    <row r="61" spans="1:6" ht="15.75">
      <c r="A61" s="361" t="s">
        <v>396</v>
      </c>
      <c r="B61" s="172"/>
      <c r="C61" s="114"/>
      <c r="D61" s="114"/>
      <c r="E61" s="462"/>
      <c r="F61" s="462"/>
    </row>
    <row r="62" spans="1:6" ht="15.75">
      <c r="A62" s="362" t="s">
        <v>397</v>
      </c>
      <c r="B62" s="172"/>
      <c r="C62" s="72"/>
      <c r="D62" s="72"/>
      <c r="E62" s="173"/>
      <c r="F62" s="173"/>
    </row>
    <row r="63" spans="1:6" ht="15.75">
      <c r="A63" s="362"/>
      <c r="B63" s="174"/>
      <c r="C63" s="77"/>
      <c r="D63" s="77"/>
      <c r="E63" s="99"/>
      <c r="F63" s="99"/>
    </row>
    <row r="64" spans="1:6" ht="15.75">
      <c r="A64" s="607" t="s">
        <v>777</v>
      </c>
      <c r="B64" s="175">
        <f>H1-1</f>
        <v>2011</v>
      </c>
      <c r="C64" s="72"/>
      <c r="D64" s="72"/>
      <c r="E64" s="173"/>
      <c r="F64" s="173"/>
    </row>
    <row r="65" spans="1:6" ht="15.75">
      <c r="A65" s="298"/>
      <c r="B65" s="175"/>
      <c r="C65" s="77"/>
      <c r="D65" s="77"/>
      <c r="E65" s="141"/>
      <c r="F65" s="48"/>
    </row>
    <row r="66" spans="1:6" ht="15.75">
      <c r="A66" s="608"/>
      <c r="B66" s="48"/>
      <c r="C66" s="72"/>
      <c r="D66" s="72"/>
      <c r="E66" s="72"/>
      <c r="F66" s="72"/>
    </row>
    <row r="67" spans="1:6" ht="15.75">
      <c r="A67" s="140" t="s">
        <v>873</v>
      </c>
      <c r="B67" s="48"/>
      <c r="C67" s="688" t="s">
        <v>872</v>
      </c>
      <c r="D67" s="689"/>
      <c r="E67" s="689"/>
      <c r="F67" s="689"/>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sheet="1"/>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7">
      <selection activeCell="G9" sqref="G9"/>
    </sheetView>
  </sheetViews>
  <sheetFormatPr defaultColWidth="8.796875" defaultRowHeight="15"/>
  <sheetData/>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J48" sqref="J4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Elbing City</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93" t="str">
        <f>CONCATENATE("Computation to Determine Limit for ",J1,"")</f>
        <v>Computation to Determine Limit for 2012</v>
      </c>
      <c r="B3" s="661"/>
      <c r="C3" s="661"/>
      <c r="D3" s="661"/>
      <c r="E3" s="661"/>
      <c r="F3" s="661"/>
      <c r="G3" s="661"/>
      <c r="H3" s="661"/>
      <c r="I3" s="661"/>
      <c r="J3" s="661"/>
    </row>
    <row r="4" spans="1:10" ht="15.75">
      <c r="A4" s="177"/>
      <c r="B4" s="177"/>
      <c r="C4" s="177"/>
      <c r="D4" s="177"/>
      <c r="E4" s="661"/>
      <c r="F4" s="661"/>
      <c r="G4" s="661"/>
      <c r="H4" s="179"/>
      <c r="I4" s="177"/>
      <c r="J4" s="180" t="s">
        <v>118</v>
      </c>
    </row>
    <row r="5" spans="1:10" ht="15.75">
      <c r="A5" s="181" t="s">
        <v>119</v>
      </c>
      <c r="B5" s="177" t="str">
        <f>CONCATENATE("Total Tax Levy Amount in ",J1-1," Budget")</f>
        <v>Total Tax Levy Amount in 2011 Budget</v>
      </c>
      <c r="C5" s="177"/>
      <c r="D5" s="177"/>
      <c r="E5" s="182"/>
      <c r="F5" s="182"/>
      <c r="G5" s="182"/>
      <c r="H5" s="183" t="s">
        <v>120</v>
      </c>
      <c r="I5" s="182" t="s">
        <v>121</v>
      </c>
      <c r="J5" s="184">
        <f>inputPrYr!E31</f>
        <v>26517</v>
      </c>
    </row>
    <row r="6" spans="1:10" ht="15.75">
      <c r="A6" s="181" t="s">
        <v>122</v>
      </c>
      <c r="B6" s="177" t="str">
        <f>CONCATENATE("Debt Service Levy in ",J1-1," Budget")</f>
        <v>Debt Service Levy in 2011 Budget</v>
      </c>
      <c r="C6" s="177"/>
      <c r="D6" s="177"/>
      <c r="E6" s="182"/>
      <c r="F6" s="182"/>
      <c r="G6" s="182"/>
      <c r="H6" s="183" t="s">
        <v>123</v>
      </c>
      <c r="I6" s="182" t="s">
        <v>121</v>
      </c>
      <c r="J6" s="185">
        <f>inputPrYr!E18</f>
        <v>7706</v>
      </c>
    </row>
    <row r="7" spans="1:10" ht="15.75">
      <c r="A7" s="181" t="s">
        <v>150</v>
      </c>
      <c r="B7" s="186" t="s">
        <v>147</v>
      </c>
      <c r="C7" s="177"/>
      <c r="D7" s="177"/>
      <c r="E7" s="182"/>
      <c r="F7" s="182"/>
      <c r="G7" s="182"/>
      <c r="H7" s="182"/>
      <c r="I7" s="182" t="s">
        <v>121</v>
      </c>
      <c r="J7" s="187">
        <f>J5-J6</f>
        <v>18811</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124</v>
      </c>
      <c r="B11" s="186" t="str">
        <f>CONCATENATE("New Improvements for ",J1-1,":")</f>
        <v>New Improvements for 2011:</v>
      </c>
      <c r="C11" s="177"/>
      <c r="D11" s="177"/>
      <c r="E11" s="183"/>
      <c r="F11" s="183" t="s">
        <v>120</v>
      </c>
      <c r="G11" s="188">
        <f>inputOth!E8</f>
        <v>0</v>
      </c>
      <c r="H11" s="189"/>
      <c r="I11" s="182"/>
      <c r="J11" s="182"/>
    </row>
    <row r="12" spans="1:10" ht="15.75">
      <c r="A12" s="181"/>
      <c r="B12" s="190"/>
      <c r="C12" s="177"/>
      <c r="D12" s="177"/>
      <c r="E12" s="183"/>
      <c r="F12" s="183"/>
      <c r="G12" s="189"/>
      <c r="H12" s="189"/>
      <c r="I12" s="182"/>
      <c r="J12" s="182"/>
    </row>
    <row r="13" spans="1:10" ht="15.75">
      <c r="A13" s="181" t="s">
        <v>125</v>
      </c>
      <c r="B13" s="186" t="str">
        <f>CONCATENATE("Increase in Personal Property for ",J1-1,":")</f>
        <v>Increase in Personal Property for 2011:</v>
      </c>
      <c r="C13" s="177"/>
      <c r="D13" s="177"/>
      <c r="E13" s="183"/>
      <c r="F13" s="183"/>
      <c r="G13" s="189"/>
      <c r="H13" s="189"/>
      <c r="I13" s="182"/>
      <c r="J13" s="182"/>
    </row>
    <row r="14" spans="1:10" ht="15.75">
      <c r="A14" s="191"/>
      <c r="B14" s="177" t="s">
        <v>126</v>
      </c>
      <c r="C14" s="177" t="str">
        <f>CONCATENATE("Personal Property ",J1-1,"")</f>
        <v>Personal Property 2011</v>
      </c>
      <c r="D14" s="190" t="s">
        <v>120</v>
      </c>
      <c r="E14" s="188">
        <f>inputOth!E9</f>
        <v>63865</v>
      </c>
      <c r="F14" s="183"/>
      <c r="G14" s="182"/>
      <c r="H14" s="182"/>
      <c r="I14" s="189"/>
      <c r="J14" s="182"/>
    </row>
    <row r="15" spans="1:10" ht="15.75">
      <c r="A15" s="190"/>
      <c r="B15" s="177" t="s">
        <v>127</v>
      </c>
      <c r="C15" s="177" t="str">
        <f>CONCATENATE("Personal Property ",J1-2,"")</f>
        <v>Personal Property 2010</v>
      </c>
      <c r="D15" s="190" t="s">
        <v>123</v>
      </c>
      <c r="E15" s="192">
        <f>inputOth!E15</f>
        <v>74033</v>
      </c>
      <c r="F15" s="183"/>
      <c r="G15" s="189"/>
      <c r="H15" s="189"/>
      <c r="I15" s="182"/>
      <c r="J15" s="182"/>
    </row>
    <row r="16" spans="1:10" ht="15.75">
      <c r="A16" s="190"/>
      <c r="B16" s="177" t="s">
        <v>128</v>
      </c>
      <c r="C16" s="177" t="s">
        <v>149</v>
      </c>
      <c r="D16" s="177"/>
      <c r="E16" s="182"/>
      <c r="F16" s="182" t="s">
        <v>120</v>
      </c>
      <c r="G16" s="184">
        <f>IF(E14&gt;E15,E14-E15,0)</f>
        <v>0</v>
      </c>
      <c r="H16" s="189"/>
      <c r="I16" s="182"/>
      <c r="J16" s="182"/>
    </row>
    <row r="17" spans="1:10" ht="15.75">
      <c r="A17" s="190"/>
      <c r="B17" s="190"/>
      <c r="C17" s="177"/>
      <c r="D17" s="177"/>
      <c r="E17" s="182"/>
      <c r="F17" s="182"/>
      <c r="G17" s="189" t="s">
        <v>141</v>
      </c>
      <c r="H17" s="189"/>
      <c r="I17" s="182"/>
      <c r="J17" s="182"/>
    </row>
    <row r="18" spans="1:10" ht="15.75">
      <c r="A18" s="190" t="s">
        <v>129</v>
      </c>
      <c r="B18" s="186" t="str">
        <f>CONCATENATE("Valuation of annexed territory for ",J1-1,"")</f>
        <v>Valuation of annexed territory for 2011</v>
      </c>
      <c r="C18" s="177"/>
      <c r="D18" s="177"/>
      <c r="E18" s="189"/>
      <c r="F18" s="182"/>
      <c r="G18" s="182"/>
      <c r="H18" s="182"/>
      <c r="I18" s="182"/>
      <c r="J18" s="182"/>
    </row>
    <row r="19" spans="1:10" ht="15.75">
      <c r="A19" s="190"/>
      <c r="B19" s="177" t="s">
        <v>130</v>
      </c>
      <c r="C19" s="177" t="s">
        <v>151</v>
      </c>
      <c r="D19" s="190" t="s">
        <v>120</v>
      </c>
      <c r="E19" s="188">
        <f>inputOth!E11</f>
        <v>0</v>
      </c>
      <c r="F19" s="182"/>
      <c r="G19" s="182"/>
      <c r="H19" s="182"/>
      <c r="I19" s="182"/>
      <c r="J19" s="182"/>
    </row>
    <row r="20" spans="1:10" ht="15.75">
      <c r="A20" s="190"/>
      <c r="B20" s="177" t="s">
        <v>131</v>
      </c>
      <c r="C20" s="177" t="s">
        <v>152</v>
      </c>
      <c r="D20" s="190" t="s">
        <v>120</v>
      </c>
      <c r="E20" s="188">
        <f>inputOth!E12</f>
        <v>0</v>
      </c>
      <c r="F20" s="182"/>
      <c r="G20" s="189"/>
      <c r="H20" s="189"/>
      <c r="I20" s="182"/>
      <c r="J20" s="182"/>
    </row>
    <row r="21" spans="1:10" ht="15.75">
      <c r="A21" s="190"/>
      <c r="B21" s="177" t="s">
        <v>132</v>
      </c>
      <c r="C21" s="177" t="s">
        <v>148</v>
      </c>
      <c r="D21" s="190" t="s">
        <v>123</v>
      </c>
      <c r="E21" s="188">
        <f>inputOth!E13</f>
        <v>0</v>
      </c>
      <c r="F21" s="182"/>
      <c r="G21" s="189"/>
      <c r="H21" s="189"/>
      <c r="I21" s="182"/>
      <c r="J21" s="182"/>
    </row>
    <row r="22" spans="1:10" ht="15.75">
      <c r="A22" s="190"/>
      <c r="B22" s="177" t="s">
        <v>133</v>
      </c>
      <c r="C22" s="177" t="s">
        <v>153</v>
      </c>
      <c r="D22" s="190"/>
      <c r="E22" s="189"/>
      <c r="F22" s="182" t="s">
        <v>120</v>
      </c>
      <c r="G22" s="184">
        <f>E19+E20-E21</f>
        <v>0</v>
      </c>
      <c r="H22" s="189"/>
      <c r="I22" s="182"/>
      <c r="J22" s="182"/>
    </row>
    <row r="23" spans="1:10" ht="15.75">
      <c r="A23" s="190"/>
      <c r="B23" s="190"/>
      <c r="C23" s="177"/>
      <c r="D23" s="190"/>
      <c r="E23" s="189"/>
      <c r="F23" s="182"/>
      <c r="G23" s="189"/>
      <c r="H23" s="189"/>
      <c r="I23" s="182"/>
      <c r="J23" s="182"/>
    </row>
    <row r="24" spans="1:10" ht="15.75">
      <c r="A24" s="190" t="s">
        <v>134</v>
      </c>
      <c r="B24" s="186" t="str">
        <f>CONCATENATE("Valuation of Property that has Changed in Use during ",J1-1,"")</f>
        <v>Valuation of Property that has Changed in Use during 2011</v>
      </c>
      <c r="C24" s="177"/>
      <c r="D24" s="177"/>
      <c r="E24" s="182"/>
      <c r="F24" s="182"/>
      <c r="G24" s="98">
        <f>inputOth!E14</f>
        <v>2679</v>
      </c>
      <c r="H24" s="182"/>
      <c r="I24" s="182"/>
      <c r="J24" s="182"/>
    </row>
    <row r="25" spans="1:10" ht="15.75">
      <c r="A25" s="177" t="s">
        <v>858</v>
      </c>
      <c r="B25" s="177"/>
      <c r="C25" s="177"/>
      <c r="D25" s="190"/>
      <c r="E25" s="189"/>
      <c r="F25" s="182"/>
      <c r="G25" s="193"/>
      <c r="H25" s="189"/>
      <c r="I25" s="182"/>
      <c r="J25" s="182"/>
    </row>
    <row r="26" spans="1:10" ht="15.75">
      <c r="A26" s="190" t="s">
        <v>135</v>
      </c>
      <c r="B26" s="186" t="s">
        <v>154</v>
      </c>
      <c r="C26" s="177"/>
      <c r="D26" s="177"/>
      <c r="E26" s="182"/>
      <c r="F26" s="182"/>
      <c r="G26" s="184">
        <f>G11+G16+G22+G24</f>
        <v>2679</v>
      </c>
      <c r="H26" s="189"/>
      <c r="I26" s="182"/>
      <c r="J26" s="182"/>
    </row>
    <row r="27" spans="1:10" ht="15.75">
      <c r="A27" s="190"/>
      <c r="B27" s="190"/>
      <c r="C27" s="186"/>
      <c r="D27" s="177"/>
      <c r="E27" s="182"/>
      <c r="F27" s="182"/>
      <c r="G27" s="189"/>
      <c r="H27" s="189"/>
      <c r="I27" s="182"/>
      <c r="J27" s="182"/>
    </row>
    <row r="28" spans="1:10" ht="15.75">
      <c r="A28" s="190" t="s">
        <v>136</v>
      </c>
      <c r="B28" s="177" t="str">
        <f>CONCATENATE("Total Estimated Valuation July 1,",J1-1,"")</f>
        <v>Total Estimated Valuation July 1,2011</v>
      </c>
      <c r="C28" s="177"/>
      <c r="D28" s="177"/>
      <c r="E28" s="184">
        <f>inputOth!E7</f>
        <v>1202453</v>
      </c>
      <c r="F28" s="182"/>
      <c r="G28" s="182"/>
      <c r="H28" s="182"/>
      <c r="I28" s="183"/>
      <c r="J28" s="182"/>
    </row>
    <row r="29" spans="1:10" ht="15.75">
      <c r="A29" s="190"/>
      <c r="B29" s="190"/>
      <c r="C29" s="177"/>
      <c r="D29" s="177"/>
      <c r="E29" s="189"/>
      <c r="F29" s="182"/>
      <c r="G29" s="182"/>
      <c r="H29" s="182"/>
      <c r="I29" s="183"/>
      <c r="J29" s="182"/>
    </row>
    <row r="30" spans="1:10" ht="15.75">
      <c r="A30" s="190" t="s">
        <v>137</v>
      </c>
      <c r="B30" s="186" t="s">
        <v>155</v>
      </c>
      <c r="C30" s="177"/>
      <c r="D30" s="177"/>
      <c r="E30" s="182"/>
      <c r="F30" s="182"/>
      <c r="G30" s="184">
        <f>E28-G26</f>
        <v>1199774</v>
      </c>
      <c r="H30" s="189"/>
      <c r="I30" s="183"/>
      <c r="J30" s="182"/>
    </row>
    <row r="31" spans="1:10" ht="15.75">
      <c r="A31" s="190"/>
      <c r="B31" s="190"/>
      <c r="C31" s="186"/>
      <c r="D31" s="177"/>
      <c r="E31" s="177"/>
      <c r="F31" s="177"/>
      <c r="G31" s="194"/>
      <c r="H31" s="195"/>
      <c r="I31" s="190"/>
      <c r="J31" s="177"/>
    </row>
    <row r="32" spans="1:10" ht="15.75">
      <c r="A32" s="190" t="s">
        <v>138</v>
      </c>
      <c r="B32" s="177" t="s">
        <v>156</v>
      </c>
      <c r="C32" s="177"/>
      <c r="D32" s="177"/>
      <c r="E32" s="177"/>
      <c r="F32" s="177"/>
      <c r="G32" s="196">
        <f>IF(G30&gt;0,G26/G30,0)</f>
        <v>0.0022329205333671176</v>
      </c>
      <c r="H32" s="195"/>
      <c r="I32" s="177"/>
      <c r="J32" s="177"/>
    </row>
    <row r="33" spans="1:10" ht="15.75">
      <c r="A33" s="190"/>
      <c r="B33" s="190"/>
      <c r="C33" s="177"/>
      <c r="D33" s="177"/>
      <c r="E33" s="177"/>
      <c r="F33" s="177"/>
      <c r="G33" s="195"/>
      <c r="H33" s="195"/>
      <c r="I33" s="177"/>
      <c r="J33" s="177"/>
    </row>
    <row r="34" spans="1:10" ht="15.75">
      <c r="A34" s="190" t="s">
        <v>139</v>
      </c>
      <c r="B34" s="177" t="s">
        <v>157</v>
      </c>
      <c r="C34" s="177"/>
      <c r="D34" s="177"/>
      <c r="E34" s="177"/>
      <c r="F34" s="177"/>
      <c r="G34" s="195"/>
      <c r="H34" s="197" t="s">
        <v>120</v>
      </c>
      <c r="I34" s="177" t="s">
        <v>121</v>
      </c>
      <c r="J34" s="184">
        <f>ROUND(G32*J7,0)</f>
        <v>42</v>
      </c>
    </row>
    <row r="35" spans="1:10" ht="15.75">
      <c r="A35" s="190"/>
      <c r="B35" s="190"/>
      <c r="C35" s="177"/>
      <c r="D35" s="177"/>
      <c r="E35" s="177"/>
      <c r="F35" s="177"/>
      <c r="G35" s="195"/>
      <c r="H35" s="197"/>
      <c r="I35" s="177"/>
      <c r="J35" s="189"/>
    </row>
    <row r="36" spans="1:10" ht="16.5" thickBot="1">
      <c r="A36" s="190" t="s">
        <v>140</v>
      </c>
      <c r="B36" s="186" t="s">
        <v>163</v>
      </c>
      <c r="C36" s="177"/>
      <c r="D36" s="177"/>
      <c r="E36" s="177"/>
      <c r="F36" s="177"/>
      <c r="G36" s="177"/>
      <c r="H36" s="177"/>
      <c r="I36" s="177" t="s">
        <v>121</v>
      </c>
      <c r="J36" s="198">
        <f>J7+J34</f>
        <v>18853</v>
      </c>
    </row>
    <row r="37" spans="1:10" ht="16.5" thickTop="1">
      <c r="A37" s="177"/>
      <c r="B37" s="177"/>
      <c r="C37" s="177"/>
      <c r="D37" s="177"/>
      <c r="E37" s="177"/>
      <c r="F37" s="177"/>
      <c r="G37" s="177"/>
      <c r="H37" s="177"/>
      <c r="I37" s="177"/>
      <c r="J37" s="177"/>
    </row>
    <row r="38" spans="1:10" ht="15.75">
      <c r="A38" s="190" t="s">
        <v>161</v>
      </c>
      <c r="B38" s="186" t="str">
        <f>CONCATENATE("Debt Service in this ",J1," Budget")</f>
        <v>Debt Service in this 2012 Budget</v>
      </c>
      <c r="C38" s="177"/>
      <c r="D38" s="177"/>
      <c r="E38" s="177"/>
      <c r="F38" s="177"/>
      <c r="G38" s="177"/>
      <c r="H38" s="177"/>
      <c r="I38" s="177"/>
      <c r="J38" s="199">
        <f>'DebtSvs-levy page 8'!E39</f>
        <v>7826</v>
      </c>
    </row>
    <row r="39" spans="1:10" ht="15.75">
      <c r="A39" s="190"/>
      <c r="B39" s="186"/>
      <c r="C39" s="177"/>
      <c r="D39" s="177"/>
      <c r="E39" s="177"/>
      <c r="F39" s="177"/>
      <c r="G39" s="177"/>
      <c r="H39" s="177"/>
      <c r="I39" s="177"/>
      <c r="J39" s="195"/>
    </row>
    <row r="40" spans="1:10" ht="16.5" thickBot="1">
      <c r="A40" s="190" t="s">
        <v>162</v>
      </c>
      <c r="B40" s="186" t="s">
        <v>164</v>
      </c>
      <c r="C40" s="177"/>
      <c r="D40" s="177"/>
      <c r="E40" s="177"/>
      <c r="F40" s="177"/>
      <c r="G40" s="177"/>
      <c r="H40" s="177"/>
      <c r="I40" s="177"/>
      <c r="J40" s="198">
        <f>J36+J38</f>
        <v>26679</v>
      </c>
    </row>
    <row r="41" spans="1:10" ht="16.5" thickTop="1">
      <c r="A41" s="177"/>
      <c r="B41" s="177"/>
      <c r="C41" s="177"/>
      <c r="D41" s="177"/>
      <c r="E41" s="177"/>
      <c r="F41" s="177"/>
      <c r="G41" s="177"/>
      <c r="H41" s="177"/>
      <c r="I41" s="177"/>
      <c r="J41" s="177"/>
    </row>
    <row r="42" spans="1:10" s="200" customFormat="1" ht="18.75">
      <c r="A42" s="692" t="str">
        <f>CONCATENATE("If the ",J1," budget includes tax levies exceeding the total on line 15, you must")</f>
        <v>If the 2012 budget includes tax levies exceeding the total on line 15, you must</v>
      </c>
      <c r="B42" s="692"/>
      <c r="C42" s="692"/>
      <c r="D42" s="692"/>
      <c r="E42" s="692"/>
      <c r="F42" s="692"/>
      <c r="G42" s="692"/>
      <c r="H42" s="692"/>
      <c r="I42" s="692"/>
      <c r="J42" s="692"/>
    </row>
    <row r="43" spans="1:10" s="200" customFormat="1" ht="18.75">
      <c r="A43" s="692" t="s">
        <v>241</v>
      </c>
      <c r="B43" s="692"/>
      <c r="C43" s="692"/>
      <c r="D43" s="692"/>
      <c r="E43" s="692"/>
      <c r="F43" s="692"/>
      <c r="G43" s="692"/>
      <c r="H43" s="692"/>
      <c r="I43" s="692"/>
      <c r="J43" s="692"/>
    </row>
    <row r="44" spans="1:10" s="200" customFormat="1" ht="18.75">
      <c r="A44" s="692" t="s">
        <v>242</v>
      </c>
      <c r="B44" s="692"/>
      <c r="C44" s="692"/>
      <c r="D44" s="692"/>
      <c r="E44" s="692"/>
      <c r="F44" s="692"/>
      <c r="G44" s="692"/>
      <c r="H44" s="692"/>
      <c r="I44" s="692"/>
      <c r="J44" s="692"/>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9" sqref="C1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Elbing City</v>
      </c>
      <c r="B1" s="201"/>
      <c r="C1" s="48"/>
      <c r="D1" s="48"/>
      <c r="E1" s="48"/>
      <c r="F1" s="48">
        <f>inputPrYr!C5</f>
        <v>2012</v>
      </c>
    </row>
    <row r="2" spans="1:6" ht="15.75">
      <c r="A2" s="48"/>
      <c r="B2" s="48"/>
      <c r="C2" s="48"/>
      <c r="D2" s="48"/>
      <c r="E2" s="48"/>
      <c r="F2" s="48"/>
    </row>
    <row r="3" spans="1:6" ht="15.75">
      <c r="A3" s="662" t="s">
        <v>783</v>
      </c>
      <c r="B3" s="662"/>
      <c r="C3" s="662"/>
      <c r="D3" s="662"/>
      <c r="E3" s="662"/>
      <c r="F3" s="48"/>
    </row>
    <row r="4" spans="1:6" ht="15.75">
      <c r="A4" s="48"/>
      <c r="B4" s="202"/>
      <c r="C4" s="202"/>
      <c r="D4" s="202"/>
      <c r="E4" s="48"/>
      <c r="F4" s="48"/>
    </row>
    <row r="5" spans="1:6" ht="21" customHeight="1">
      <c r="A5" s="203" t="s">
        <v>240</v>
      </c>
      <c r="B5" s="204" t="s">
        <v>239</v>
      </c>
      <c r="C5" s="663" t="str">
        <f>CONCATENATE("Allocation for Year ",F1,"")</f>
        <v>Allocation for Year 2012</v>
      </c>
      <c r="D5" s="664"/>
      <c r="E5" s="664"/>
      <c r="F5" s="665"/>
    </row>
    <row r="6" spans="1:6" ht="15.75">
      <c r="A6" s="205" t="str">
        <f>CONCATENATE("for ",F1-1,"")</f>
        <v>for 2011</v>
      </c>
      <c r="B6" s="205" t="str">
        <f>CONCATENATE("for ",F1-2,"")</f>
        <v>for 2010</v>
      </c>
      <c r="C6" s="151" t="s">
        <v>114</v>
      </c>
      <c r="D6" s="151" t="s">
        <v>115</v>
      </c>
      <c r="E6" s="151" t="s">
        <v>113</v>
      </c>
      <c r="F6" s="159" t="s">
        <v>210</v>
      </c>
    </row>
    <row r="7" spans="1:6" ht="15.75">
      <c r="A7" s="88" t="str">
        <f>(inputPrYr!B17)</f>
        <v>General</v>
      </c>
      <c r="B7" s="154">
        <f>(inputPrYr!E17)</f>
        <v>18811</v>
      </c>
      <c r="C7" s="154">
        <f>IF(inputPrYr!E17=0,0,C22-SUM(C8:C19))</f>
        <v>2826</v>
      </c>
      <c r="D7" s="154">
        <f>IF(inputPrYr!E17=0,0,D23-SUM(D8:D19))</f>
        <v>31</v>
      </c>
      <c r="E7" s="154">
        <f>IF(inputPrYr!E17=0,0,E24-SUM(E8:E19))</f>
        <v>15</v>
      </c>
      <c r="F7" s="154">
        <f>IF(inputPrYr!E17=0,0,F25-SUM(F8:F18))</f>
        <v>0</v>
      </c>
    </row>
    <row r="8" spans="1:6" ht="15.75">
      <c r="A8" s="88" t="str">
        <f>IF(inputPrYr!$B18&gt;"  ",(inputPrYr!$B18),"  ")</f>
        <v>Debt Service</v>
      </c>
      <c r="B8" s="154">
        <f>IF(inputPrYr!$E18&gt;0,(inputPrYr!$E18),"  ")</f>
        <v>7706</v>
      </c>
      <c r="C8" s="154">
        <f>IF(inputPrYr!E18&gt;0,ROUND(B8*$C$26,0),"  ")</f>
        <v>1158</v>
      </c>
      <c r="D8" s="154">
        <f>IF(inputPrYr!E18&gt;0,ROUND(+B8*D$27,0)," ")</f>
        <v>12</v>
      </c>
      <c r="E8" s="154">
        <f>IF(inputPrYr!E18&gt;0,ROUND(B8*E$28,0)," ")</f>
        <v>6</v>
      </c>
      <c r="F8" s="154">
        <f>IF(inputPrYr!E18&gt;0,ROUND(B8*F$29,0)," ")</f>
        <v>0</v>
      </c>
    </row>
    <row r="9" spans="1:6" ht="15.75">
      <c r="A9" s="88" t="str">
        <f>IF(inputPrYr!$B20&gt;"  ",(inputPrYr!$B20),"  ")</f>
        <v>  </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75">
      <c r="A10" s="88" t="str">
        <f>IF(inputPrYr!$B21&gt;"  ",(inputPrYr!$B21),"  ")</f>
        <v>  </v>
      </c>
      <c r="B10" s="154" t="str">
        <f>IF(inputPrYr!$E21&gt;0,(inputPrYr!$E21),"  ")</f>
        <v>  </v>
      </c>
      <c r="C10" s="154" t="str">
        <f>IF(inputPrYr!E21&gt;0,ROUND(B10*$C$26,0),"  ")</f>
        <v>  </v>
      </c>
      <c r="D10" s="154" t="str">
        <f>IF(inputPrYr!E21&gt;0,ROUND(+B10*D$27,0)," ")</f>
        <v> </v>
      </c>
      <c r="E10" s="154" t="str">
        <f>IF(inputPrYr!E21&gt;0,ROUND(+B10*E$28,0)," ")</f>
        <v> </v>
      </c>
      <c r="F10" s="154" t="str">
        <f>IF(inputPrYr!E21&gt;0,ROUND(+B10*F$29,0)," ")</f>
        <v> </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876</v>
      </c>
      <c r="B20" s="206">
        <f>SUM(B7:B19)</f>
        <v>26517</v>
      </c>
      <c r="C20" s="206">
        <f>SUM(C7:C19)</f>
        <v>3984</v>
      </c>
      <c r="D20" s="206">
        <f>SUM(D7:D19)</f>
        <v>43</v>
      </c>
      <c r="E20" s="206">
        <f>SUM(E7:E19)</f>
        <v>21</v>
      </c>
      <c r="F20" s="207">
        <f>SUM(F7:F19)</f>
        <v>0</v>
      </c>
    </row>
    <row r="21" spans="1:6" ht="16.5" thickTop="1">
      <c r="A21" s="48"/>
      <c r="B21" s="78"/>
      <c r="C21" s="78"/>
      <c r="D21" s="78"/>
      <c r="E21" s="78"/>
      <c r="F21" s="48"/>
    </row>
    <row r="22" spans="1:6" ht="15.75">
      <c r="A22" s="53" t="s">
        <v>877</v>
      </c>
      <c r="B22" s="208"/>
      <c r="C22" s="209">
        <f>(inputOth!E39)</f>
        <v>3984</v>
      </c>
      <c r="D22" s="208"/>
      <c r="E22" s="48"/>
      <c r="F22" s="48"/>
    </row>
    <row r="23" spans="1:6" ht="15.75">
      <c r="A23" s="53" t="s">
        <v>878</v>
      </c>
      <c r="B23" s="48"/>
      <c r="C23" s="48"/>
      <c r="D23" s="209">
        <f>(inputOth!E40)</f>
        <v>43</v>
      </c>
      <c r="E23" s="48"/>
      <c r="F23" s="48"/>
    </row>
    <row r="24" spans="1:6" ht="15.75">
      <c r="A24" s="53" t="s">
        <v>116</v>
      </c>
      <c r="B24" s="48"/>
      <c r="C24" s="48"/>
      <c r="D24" s="48"/>
      <c r="E24" s="209">
        <f>inputOth!E41</f>
        <v>21</v>
      </c>
      <c r="F24" s="48"/>
    </row>
    <row r="25" spans="1:6" ht="15.75">
      <c r="A25" s="53" t="s">
        <v>779</v>
      </c>
      <c r="B25" s="48"/>
      <c r="C25" s="48"/>
      <c r="D25" s="48"/>
      <c r="E25" s="78"/>
      <c r="F25" s="188">
        <f>inputOth!E44</f>
        <v>0</v>
      </c>
    </row>
    <row r="26" spans="1:6" ht="15.75">
      <c r="A26" s="53" t="s">
        <v>879</v>
      </c>
      <c r="B26" s="48"/>
      <c r="C26" s="210">
        <f>IF(B20=0,0,C22/B20)</f>
        <v>0.15024324018554136</v>
      </c>
      <c r="D26" s="48"/>
      <c r="E26" s="48"/>
      <c r="F26" s="48"/>
    </row>
    <row r="27" spans="1:6" ht="15.75">
      <c r="A27" s="48"/>
      <c r="B27" s="53" t="s">
        <v>880</v>
      </c>
      <c r="C27" s="48"/>
      <c r="D27" s="210">
        <f>IF(B20=0,0,D23/B20)</f>
        <v>0.0016216012369423389</v>
      </c>
      <c r="E27" s="48"/>
      <c r="F27" s="48"/>
    </row>
    <row r="28" spans="1:6" ht="15.75">
      <c r="A28" s="48"/>
      <c r="B28" s="48"/>
      <c r="C28" s="53" t="s">
        <v>117</v>
      </c>
      <c r="D28" s="48"/>
      <c r="E28" s="210">
        <f>IF(B20=0,0,E24/B20)</f>
        <v>0.0007919447901346306</v>
      </c>
      <c r="F28" s="48"/>
    </row>
    <row r="29" spans="1:6" ht="15.75">
      <c r="A29" s="48"/>
      <c r="B29" s="48"/>
      <c r="C29" s="48"/>
      <c r="D29" s="48" t="s">
        <v>780</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12" sqref="F1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Elbing City</v>
      </c>
      <c r="B1" s="178"/>
      <c r="C1" s="177"/>
      <c r="D1" s="177"/>
      <c r="E1" s="177"/>
      <c r="F1" s="177">
        <f>inputPrYr!$C$5</f>
        <v>2012</v>
      </c>
    </row>
    <row r="2" spans="1:6" ht="15.75">
      <c r="A2" s="177"/>
      <c r="B2" s="177"/>
      <c r="C2" s="177"/>
      <c r="D2" s="177"/>
      <c r="E2" s="177"/>
      <c r="F2" s="177"/>
    </row>
    <row r="3" spans="1:6" ht="15.75">
      <c r="A3" s="666" t="s">
        <v>170</v>
      </c>
      <c r="B3" s="666"/>
      <c r="C3" s="666"/>
      <c r="D3" s="666"/>
      <c r="E3" s="666"/>
      <c r="F3" s="666"/>
    </row>
    <row r="4" spans="1:6" ht="15.75">
      <c r="A4" s="211"/>
      <c r="B4" s="211"/>
      <c r="C4" s="211"/>
      <c r="D4" s="211"/>
      <c r="E4" s="211"/>
      <c r="F4" s="211"/>
    </row>
    <row r="5" spans="1:6" ht="15.75">
      <c r="A5" s="212" t="s">
        <v>35</v>
      </c>
      <c r="B5" s="212" t="s">
        <v>36</v>
      </c>
      <c r="C5" s="212" t="s">
        <v>904</v>
      </c>
      <c r="D5" s="212" t="s">
        <v>187</v>
      </c>
      <c r="E5" s="212" t="s">
        <v>188</v>
      </c>
      <c r="F5" s="212" t="s">
        <v>231</v>
      </c>
    </row>
    <row r="6" spans="1:6" ht="15.75">
      <c r="A6" s="213" t="s">
        <v>37</v>
      </c>
      <c r="B6" s="213" t="s">
        <v>38</v>
      </c>
      <c r="C6" s="213" t="s">
        <v>232</v>
      </c>
      <c r="D6" s="213" t="s">
        <v>232</v>
      </c>
      <c r="E6" s="213" t="s">
        <v>232</v>
      </c>
      <c r="F6" s="213" t="s">
        <v>233</v>
      </c>
    </row>
    <row r="7" spans="1:6" ht="15" customHeight="1">
      <c r="A7" s="214" t="s">
        <v>234</v>
      </c>
      <c r="B7" s="214" t="s">
        <v>235</v>
      </c>
      <c r="C7" s="215">
        <f>F1-2</f>
        <v>2010</v>
      </c>
      <c r="D7" s="215">
        <f>F1-1</f>
        <v>2011</v>
      </c>
      <c r="E7" s="215">
        <f>F1</f>
        <v>2012</v>
      </c>
      <c r="F7" s="214" t="s">
        <v>236</v>
      </c>
    </row>
    <row r="8" spans="1:6" ht="14.25" customHeight="1">
      <c r="A8" s="216"/>
      <c r="B8" s="216"/>
      <c r="C8" s="217"/>
      <c r="D8" s="217"/>
      <c r="E8" s="217"/>
      <c r="F8" s="218"/>
    </row>
    <row r="9" spans="1:6" ht="15" customHeight="1">
      <c r="A9" s="219" t="s">
        <v>400</v>
      </c>
      <c r="B9" s="219" t="s">
        <v>446</v>
      </c>
      <c r="C9" s="220">
        <v>5000</v>
      </c>
      <c r="D9" s="220">
        <v>5000</v>
      </c>
      <c r="E9" s="220">
        <v>5000</v>
      </c>
      <c r="F9" s="218" t="s">
        <v>447</v>
      </c>
    </row>
    <row r="10" spans="1:6" ht="15" customHeight="1">
      <c r="A10" s="219" t="s">
        <v>402</v>
      </c>
      <c r="B10" s="219" t="s">
        <v>448</v>
      </c>
      <c r="C10" s="220">
        <v>1350</v>
      </c>
      <c r="D10" s="220">
        <v>1350</v>
      </c>
      <c r="E10" s="220">
        <v>1350</v>
      </c>
      <c r="F10" s="218" t="s">
        <v>447</v>
      </c>
    </row>
    <row r="11" spans="1:6" ht="15" customHeight="1">
      <c r="A11" s="219"/>
      <c r="B11" s="219"/>
      <c r="C11" s="220"/>
      <c r="D11" s="220"/>
      <c r="E11" s="220"/>
      <c r="F11" s="218"/>
    </row>
    <row r="12" spans="1:6" ht="15" customHeight="1">
      <c r="A12" s="219"/>
      <c r="B12" s="219"/>
      <c r="C12" s="220"/>
      <c r="D12" s="220"/>
      <c r="E12" s="220"/>
      <c r="F12" s="218"/>
    </row>
    <row r="13" spans="1:6" ht="15" customHeight="1">
      <c r="A13" s="219"/>
      <c r="B13" s="219"/>
      <c r="C13" s="220"/>
      <c r="D13" s="220"/>
      <c r="E13" s="220"/>
      <c r="F13" s="218"/>
    </row>
    <row r="14" spans="1:6" ht="15" customHeight="1">
      <c r="A14" s="219"/>
      <c r="B14" s="219"/>
      <c r="C14" s="220"/>
      <c r="D14" s="220"/>
      <c r="E14" s="220"/>
      <c r="F14" s="218"/>
    </row>
    <row r="15" spans="1:6" ht="15" customHeight="1">
      <c r="A15" s="219"/>
      <c r="B15" s="219"/>
      <c r="C15" s="220"/>
      <c r="D15" s="220"/>
      <c r="E15" s="220"/>
      <c r="F15" s="218"/>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869</v>
      </c>
      <c r="C26" s="222">
        <f>SUM(C8:C25)</f>
        <v>6350</v>
      </c>
      <c r="D26" s="222">
        <f>SUM(D8:D25)</f>
        <v>6350</v>
      </c>
      <c r="E26" s="222">
        <f>SUM(E8:E25)</f>
        <v>6350</v>
      </c>
      <c r="F26" s="223"/>
    </row>
    <row r="27" spans="1:6" ht="15" customHeight="1">
      <c r="A27" s="99"/>
      <c r="B27" s="224" t="s">
        <v>237</v>
      </c>
      <c r="C27" s="159"/>
      <c r="D27" s="225"/>
      <c r="E27" s="225"/>
      <c r="F27" s="223"/>
    </row>
    <row r="28" spans="1:6" ht="15" customHeight="1">
      <c r="A28" s="99"/>
      <c r="B28" s="221" t="s">
        <v>238</v>
      </c>
      <c r="C28" s="222">
        <f>C26</f>
        <v>6350</v>
      </c>
      <c r="D28" s="222">
        <f>SUM(D26-D27)</f>
        <v>6350</v>
      </c>
      <c r="E28" s="222">
        <f>SUM(E26-E27)</f>
        <v>6350</v>
      </c>
      <c r="F28" s="223"/>
    </row>
    <row r="29" spans="1:6" ht="15" customHeight="1">
      <c r="A29" s="99"/>
      <c r="B29" s="99"/>
      <c r="C29" s="99"/>
      <c r="D29" s="99"/>
      <c r="E29" s="99"/>
      <c r="F29" s="99"/>
    </row>
    <row r="30" spans="1:6" ht="15" customHeight="1">
      <c r="A30" s="99"/>
      <c r="B30" s="99"/>
      <c r="C30" s="99"/>
      <c r="D30" s="99"/>
      <c r="E30" s="99"/>
      <c r="F30" s="99"/>
    </row>
    <row r="31" spans="1:6" ht="15" customHeight="1">
      <c r="A31" s="390" t="s">
        <v>34</v>
      </c>
      <c r="B31" s="391"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tbridges</cp:lastModifiedBy>
  <cp:lastPrinted>2011-07-07T16:24:09Z</cp:lastPrinted>
  <dcterms:created xsi:type="dcterms:W3CDTF">1999-08-03T13:11:47Z</dcterms:created>
  <dcterms:modified xsi:type="dcterms:W3CDTF">2011-11-17T17:00:35Z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